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>
    <definedName name="_xlnm._FilterDatabase" localSheetId="0" hidden="1">'名单'!$A$2:$E$5209</definedName>
  </definedNames>
  <calcPr fullCalcOnLoad="1"/>
</workbook>
</file>

<file path=xl/sharedStrings.xml><?xml version="1.0" encoding="utf-8"?>
<sst xmlns="http://schemas.openxmlformats.org/spreadsheetml/2006/main" count="10420" uniqueCount="4542">
  <si>
    <t>海南省公路管理局2022年公开招聘事业编制人员资格初审通过人员名单</t>
  </si>
  <si>
    <t>序号</t>
  </si>
  <si>
    <t>姓名</t>
  </si>
  <si>
    <t>报考岗位</t>
  </si>
  <si>
    <t>身份证号码</t>
  </si>
  <si>
    <t>备注</t>
  </si>
  <si>
    <t>10101—海南省公路管理局-党建党务岗（九级管理）</t>
  </si>
  <si>
    <t>460003********6827</t>
  </si>
  <si>
    <t>460026********0948</t>
  </si>
  <si>
    <t>500233********6681</t>
  </si>
  <si>
    <t>460033********4781</t>
  </si>
  <si>
    <t>460002********6625</t>
  </si>
  <si>
    <t>460025********1216</t>
  </si>
  <si>
    <t>412826********2828</t>
  </si>
  <si>
    <t>460003********6625</t>
  </si>
  <si>
    <t>10102—海南省公路管理局-财务会计岗（十二级专技）</t>
  </si>
  <si>
    <t>220106********0237</t>
  </si>
  <si>
    <t>232332********0324</t>
  </si>
  <si>
    <t>460103********0611</t>
  </si>
  <si>
    <t>340504********0015</t>
  </si>
  <si>
    <t>460102********2110</t>
  </si>
  <si>
    <t>460004********0620</t>
  </si>
  <si>
    <t>460006********1628</t>
  </si>
  <si>
    <t>460004********6423</t>
  </si>
  <si>
    <t>460006********2726</t>
  </si>
  <si>
    <t>460004********3227</t>
  </si>
  <si>
    <t>460027********472X</t>
  </si>
  <si>
    <t>460102********1528</t>
  </si>
  <si>
    <t>460004********0468</t>
  </si>
  <si>
    <t>460001********0741</t>
  </si>
  <si>
    <t>460004********4624</t>
  </si>
  <si>
    <t>460003********6647</t>
  </si>
  <si>
    <t>460003********0011</t>
  </si>
  <si>
    <t>460004********3443</t>
  </si>
  <si>
    <t>460002********3829</t>
  </si>
  <si>
    <t>460104********1248</t>
  </si>
  <si>
    <t>460104********0929</t>
  </si>
  <si>
    <t>460103********0026</t>
  </si>
  <si>
    <t>460102********0641</t>
  </si>
  <si>
    <t>220284********262X</t>
  </si>
  <si>
    <t>460033********3600</t>
  </si>
  <si>
    <t>460033********6322</t>
  </si>
  <si>
    <t>412825********1024</t>
  </si>
  <si>
    <t>460004********0043</t>
  </si>
  <si>
    <t>460003********3447</t>
  </si>
  <si>
    <t>460004********2622</t>
  </si>
  <si>
    <t>460026********2143</t>
  </si>
  <si>
    <t>460031********0028</t>
  </si>
  <si>
    <t>460103********1824</t>
  </si>
  <si>
    <t>460005********0023</t>
  </si>
  <si>
    <t>460103********3622</t>
  </si>
  <si>
    <t>460003********2667</t>
  </si>
  <si>
    <t>460001********0767</t>
  </si>
  <si>
    <t>659001********0619</t>
  </si>
  <si>
    <t>460007********002X</t>
  </si>
  <si>
    <t>460006********441X</t>
  </si>
  <si>
    <t>460027********0621</t>
  </si>
  <si>
    <t>460034********5047</t>
  </si>
  <si>
    <t>460103********0017</t>
  </si>
  <si>
    <t>469007********8022</t>
  </si>
  <si>
    <t>500242********5914</t>
  </si>
  <si>
    <t>469027********4473</t>
  </si>
  <si>
    <t>460003********5223</t>
  </si>
  <si>
    <t>654101********2845</t>
  </si>
  <si>
    <t>460033********1786</t>
  </si>
  <si>
    <t>460003********1444</t>
  </si>
  <si>
    <t>230603********092X</t>
  </si>
  <si>
    <t>460002********0019</t>
  </si>
  <si>
    <t>421126********1722</t>
  </si>
  <si>
    <t>469003********6728</t>
  </si>
  <si>
    <t>460004********0237</t>
  </si>
  <si>
    <t>130705********1224</t>
  </si>
  <si>
    <t>430281********9140</t>
  </si>
  <si>
    <t>460036********0047</t>
  </si>
  <si>
    <t>460300********0041</t>
  </si>
  <si>
    <t>460035********0010</t>
  </si>
  <si>
    <t>610302********3547</t>
  </si>
  <si>
    <t>440825********0107</t>
  </si>
  <si>
    <t>460005********4320</t>
  </si>
  <si>
    <t>460004********0221</t>
  </si>
  <si>
    <t>460103********3023</t>
  </si>
  <si>
    <t>460003********0020</t>
  </si>
  <si>
    <t>460033********4483</t>
  </si>
  <si>
    <t>460004********2247</t>
  </si>
  <si>
    <t>460004********3464</t>
  </si>
  <si>
    <t>620111********0529</t>
  </si>
  <si>
    <t>460001********0729</t>
  </si>
  <si>
    <t>460028********2463</t>
  </si>
  <si>
    <t>460022********2747</t>
  </si>
  <si>
    <t>460028********0018</t>
  </si>
  <si>
    <t>460103********1527</t>
  </si>
  <si>
    <t>460004********002X</t>
  </si>
  <si>
    <t>460102********1219</t>
  </si>
  <si>
    <t>460028********6061</t>
  </si>
  <si>
    <t>460007********4960</t>
  </si>
  <si>
    <t>460033********4507</t>
  </si>
  <si>
    <t>460026********0035</t>
  </si>
  <si>
    <t>460028********1227</t>
  </si>
  <si>
    <t>460025********1546</t>
  </si>
  <si>
    <t>460003********3446</t>
  </si>
  <si>
    <t>460103********0610</t>
  </si>
  <si>
    <t>460028********562X</t>
  </si>
  <si>
    <t>370126********0042</t>
  </si>
  <si>
    <t>612601********4022</t>
  </si>
  <si>
    <t>460102********1518</t>
  </si>
  <si>
    <t>340123********3917</t>
  </si>
  <si>
    <t>460027********8822</t>
  </si>
  <si>
    <t>460103********0326</t>
  </si>
  <si>
    <t>460004********6421</t>
  </si>
  <si>
    <t>460033********3229</t>
  </si>
  <si>
    <t>460006********4419</t>
  </si>
  <si>
    <t>421302********7687</t>
  </si>
  <si>
    <t>440923********0257</t>
  </si>
  <si>
    <t>460026********0019</t>
  </si>
  <si>
    <t>460002********5815</t>
  </si>
  <si>
    <t>533221********272X</t>
  </si>
  <si>
    <t>140402********3228</t>
  </si>
  <si>
    <t>460200********334X</t>
  </si>
  <si>
    <t>460103********0646</t>
  </si>
  <si>
    <t>460004********4625</t>
  </si>
  <si>
    <t>460007********5788</t>
  </si>
  <si>
    <t>440825********0032</t>
  </si>
  <si>
    <t>460025********1222</t>
  </si>
  <si>
    <t>460035********0924</t>
  </si>
  <si>
    <t>460035********0060</t>
  </si>
  <si>
    <t>460027********0428</t>
  </si>
  <si>
    <t>460034********5827</t>
  </si>
  <si>
    <t>350600********2024</t>
  </si>
  <si>
    <t>500234********9440</t>
  </si>
  <si>
    <t>500383********7864</t>
  </si>
  <si>
    <t>460104********0322</t>
  </si>
  <si>
    <t>469007********5363</t>
  </si>
  <si>
    <t>460102********3321</t>
  </si>
  <si>
    <t>460033********5689</t>
  </si>
  <si>
    <t>230802********0547</t>
  </si>
  <si>
    <t>460022********2725</t>
  </si>
  <si>
    <t>460003********0244</t>
  </si>
  <si>
    <t>460007********5772</t>
  </si>
  <si>
    <t>460300********0627</t>
  </si>
  <si>
    <t>460004********0828</t>
  </si>
  <si>
    <t>460103********0349</t>
  </si>
  <si>
    <t>130682********2726</t>
  </si>
  <si>
    <t>460001********1021</t>
  </si>
  <si>
    <t>460106********3847</t>
  </si>
  <si>
    <t>460004********2824</t>
  </si>
  <si>
    <t>460030********6624</t>
  </si>
  <si>
    <t>460004********3622</t>
  </si>
  <si>
    <t>460028********7625</t>
  </si>
  <si>
    <t>460200********5387</t>
  </si>
  <si>
    <t>460007********7229</t>
  </si>
  <si>
    <t>460004********001X</t>
  </si>
  <si>
    <t>460004********3010</t>
  </si>
  <si>
    <t>460033********323X</t>
  </si>
  <si>
    <t>460003********4424</t>
  </si>
  <si>
    <t>460004********3466</t>
  </si>
  <si>
    <t>460103********1815</t>
  </si>
  <si>
    <t>460004********5833</t>
  </si>
  <si>
    <t>411328********0062</t>
  </si>
  <si>
    <t>460033********4847</t>
  </si>
  <si>
    <t>239005********2828</t>
  </si>
  <si>
    <t>460028********646X</t>
  </si>
  <si>
    <t>460006********443X</t>
  </si>
  <si>
    <t>460300********0024</t>
  </si>
  <si>
    <t>460102********1546</t>
  </si>
  <si>
    <t>460007********7625</t>
  </si>
  <si>
    <t>460007********4660</t>
  </si>
  <si>
    <t>460006********0029</t>
  </si>
  <si>
    <t>460027********002X</t>
  </si>
  <si>
    <t>460004********0049</t>
  </si>
  <si>
    <t>460022********0023</t>
  </si>
  <si>
    <t>460002********1813</t>
  </si>
  <si>
    <t>460031********4828</t>
  </si>
  <si>
    <t>460004********0240</t>
  </si>
  <si>
    <t>460028********5249</t>
  </si>
  <si>
    <t>460022********6260</t>
  </si>
  <si>
    <t>460004********6222</t>
  </si>
  <si>
    <t>460200********0978</t>
  </si>
  <si>
    <t>460006********2722</t>
  </si>
  <si>
    <t>460103********2727</t>
  </si>
  <si>
    <t>460103********1810</t>
  </si>
  <si>
    <t>230804********1343</t>
  </si>
  <si>
    <t>460102********212X</t>
  </si>
  <si>
    <t>460031********0024</t>
  </si>
  <si>
    <t>460006********2923</t>
  </si>
  <si>
    <t>510104********4881</t>
  </si>
  <si>
    <t>460005********1227</t>
  </si>
  <si>
    <t>460200********5114</t>
  </si>
  <si>
    <t>460033********4905</t>
  </si>
  <si>
    <t>460004********3426</t>
  </si>
  <si>
    <t>210105********161X</t>
  </si>
  <si>
    <t>460033********484X</t>
  </si>
  <si>
    <t>460103********1529</t>
  </si>
  <si>
    <t>410425********4027</t>
  </si>
  <si>
    <t>460006********484X</t>
  </si>
  <si>
    <t>460034********0440</t>
  </si>
  <si>
    <t>460004********202X</t>
  </si>
  <si>
    <t>469026********5229</t>
  </si>
  <si>
    <t>520201********0059</t>
  </si>
  <si>
    <t>460004********0423</t>
  </si>
  <si>
    <t>460006********2021</t>
  </si>
  <si>
    <t>460103********1227</t>
  </si>
  <si>
    <t>460200********494X</t>
  </si>
  <si>
    <t>460003********0222</t>
  </si>
  <si>
    <t>460033********0386</t>
  </si>
  <si>
    <t>460104********0328</t>
  </si>
  <si>
    <t>460022********3229</t>
  </si>
  <si>
    <t>460034********0022</t>
  </si>
  <si>
    <t>410503********5018</t>
  </si>
  <si>
    <t>460004********2429</t>
  </si>
  <si>
    <t>460028********6421</t>
  </si>
  <si>
    <t>460025********1534</t>
  </si>
  <si>
    <t>460030********0029</t>
  </si>
  <si>
    <t>412801********0827</t>
  </si>
  <si>
    <t>460035********0029</t>
  </si>
  <si>
    <t>460102********121X</t>
  </si>
  <si>
    <t>460027********102X</t>
  </si>
  <si>
    <t>460004********0227</t>
  </si>
  <si>
    <t>469022********2467</t>
  </si>
  <si>
    <t>460102********0329</t>
  </si>
  <si>
    <t>460102********2720</t>
  </si>
  <si>
    <t>460002********0015</t>
  </si>
  <si>
    <t>421081********062X</t>
  </si>
  <si>
    <t>460034********0465</t>
  </si>
  <si>
    <t>460021********4418</t>
  </si>
  <si>
    <t>532225********1714</t>
  </si>
  <si>
    <t>445281********090X</t>
  </si>
  <si>
    <t>460103********0923</t>
  </si>
  <si>
    <t>460102********1245</t>
  </si>
  <si>
    <t>460033********3249</t>
  </si>
  <si>
    <t>460007********7369</t>
  </si>
  <si>
    <t>460034********4727</t>
  </si>
  <si>
    <t>460004********0223</t>
  </si>
  <si>
    <t>460103********032X</t>
  </si>
  <si>
    <t>460028********5210</t>
  </si>
  <si>
    <t>460103********1829</t>
  </si>
  <si>
    <t>460002********4626</t>
  </si>
  <si>
    <t>430408********2041</t>
  </si>
  <si>
    <t>460027********4721</t>
  </si>
  <si>
    <t>460028********6025</t>
  </si>
  <si>
    <t>460001********0010</t>
  </si>
  <si>
    <t>230903********1445</t>
  </si>
  <si>
    <t>460102********0945</t>
  </si>
  <si>
    <t>130723********3021</t>
  </si>
  <si>
    <t>460031********0029</t>
  </si>
  <si>
    <t>460103********0329</t>
  </si>
  <si>
    <t>460006********2329</t>
  </si>
  <si>
    <t>513922********0020</t>
  </si>
  <si>
    <t>460033********3583</t>
  </si>
  <si>
    <t>460003********6648</t>
  </si>
  <si>
    <t>460002********2824</t>
  </si>
  <si>
    <t>460021********4426</t>
  </si>
  <si>
    <t>460006********0969</t>
  </si>
  <si>
    <t>232302********3268</t>
  </si>
  <si>
    <t>460025********0316</t>
  </si>
  <si>
    <t>460006********021X</t>
  </si>
  <si>
    <t>460004********5443</t>
  </si>
  <si>
    <t>460006********2315</t>
  </si>
  <si>
    <t>460102********0628</t>
  </si>
  <si>
    <t>460004********2623</t>
  </si>
  <si>
    <t>460004********0219</t>
  </si>
  <si>
    <t>460200********551X</t>
  </si>
  <si>
    <t>460102********302X</t>
  </si>
  <si>
    <t>469024********0066</t>
  </si>
  <si>
    <t>460028********2436</t>
  </si>
  <si>
    <t>460027********0041</t>
  </si>
  <si>
    <t>142603********8820</t>
  </si>
  <si>
    <t>460034********0016</t>
  </si>
  <si>
    <t>460022********3283</t>
  </si>
  <si>
    <t>460003********0211</t>
  </si>
  <si>
    <t>460033********5987</t>
  </si>
  <si>
    <t>460006********4449</t>
  </si>
  <si>
    <t>460103********1849</t>
  </si>
  <si>
    <t>460002********1821</t>
  </si>
  <si>
    <t>460003********0058</t>
  </si>
  <si>
    <t>460004********6428</t>
  </si>
  <si>
    <t>460027********291X</t>
  </si>
  <si>
    <t>460104********0021</t>
  </si>
  <si>
    <t>460004********006X</t>
  </si>
  <si>
    <t>460004********0021</t>
  </si>
  <si>
    <t>460004********5024</t>
  </si>
  <si>
    <t>460027********1748</t>
  </si>
  <si>
    <t>130682********0619</t>
  </si>
  <si>
    <t>460022********0543</t>
  </si>
  <si>
    <t>411625********7920</t>
  </si>
  <si>
    <t>460004********0216</t>
  </si>
  <si>
    <t>460006********1685</t>
  </si>
  <si>
    <t>420202********0834</t>
  </si>
  <si>
    <t>460031********642X</t>
  </si>
  <si>
    <t>460022********3256</t>
  </si>
  <si>
    <t>460002********0023</t>
  </si>
  <si>
    <t>460103********1224</t>
  </si>
  <si>
    <t>460200********0513</t>
  </si>
  <si>
    <t>321001********0015</t>
  </si>
  <si>
    <t>460028********0025</t>
  </si>
  <si>
    <t>460200********5342</t>
  </si>
  <si>
    <t>460030********0022</t>
  </si>
  <si>
    <t>460103********1844</t>
  </si>
  <si>
    <t>460104********0926</t>
  </si>
  <si>
    <t>460102********0617</t>
  </si>
  <si>
    <t>460027********5923</t>
  </si>
  <si>
    <t>231102********0044</t>
  </si>
  <si>
    <t>432503********7707</t>
  </si>
  <si>
    <t>460006********0620</t>
  </si>
  <si>
    <t>460104********1825</t>
  </si>
  <si>
    <t>460026********0024</t>
  </si>
  <si>
    <t>460103********1822</t>
  </si>
  <si>
    <t>230603********212X</t>
  </si>
  <si>
    <t>460102********1821</t>
  </si>
  <si>
    <t>460006********1641</t>
  </si>
  <si>
    <t>460025********0029</t>
  </si>
  <si>
    <t>230705********0327</t>
  </si>
  <si>
    <t>460003********0242</t>
  </si>
  <si>
    <t>460002********3828</t>
  </si>
  <si>
    <t>410526********771X</t>
  </si>
  <si>
    <t>460300********0022</t>
  </si>
  <si>
    <t>460027********4422</t>
  </si>
  <si>
    <t>460034********5022</t>
  </si>
  <si>
    <t>460103********0626</t>
  </si>
  <si>
    <t>460102********1222</t>
  </si>
  <si>
    <t>460200********052X</t>
  </si>
  <si>
    <t>460103********0310</t>
  </si>
  <si>
    <t>370923********4238</t>
  </si>
  <si>
    <t>460006********2727</t>
  </si>
  <si>
    <t>460003********5626</t>
  </si>
  <si>
    <t>220181********0026</t>
  </si>
  <si>
    <t>522725********0029</t>
  </si>
  <si>
    <t>460104********0029</t>
  </si>
  <si>
    <t>460006********1627</t>
  </si>
  <si>
    <t>460033********4525</t>
  </si>
  <si>
    <t>460028********0418</t>
  </si>
  <si>
    <t>623001********101X</t>
  </si>
  <si>
    <t>460025********0024</t>
  </si>
  <si>
    <t>441521********8817</t>
  </si>
  <si>
    <t>230107********1023</t>
  </si>
  <si>
    <t>441423********3665</t>
  </si>
  <si>
    <t>410882********8520</t>
  </si>
  <si>
    <t>230828********7424</t>
  </si>
  <si>
    <t>460106********3422</t>
  </si>
  <si>
    <t>460032********0827</t>
  </si>
  <si>
    <t>460031********0045</t>
  </si>
  <si>
    <t>460103********1826</t>
  </si>
  <si>
    <t>460200********313X</t>
  </si>
  <si>
    <t>231083********1070</t>
  </si>
  <si>
    <t>460027********6629</t>
  </si>
  <si>
    <t>460027********5917</t>
  </si>
  <si>
    <t>460103********0021</t>
  </si>
  <si>
    <t>460027********2944</t>
  </si>
  <si>
    <t>460102********1221</t>
  </si>
  <si>
    <t>469002********3812</t>
  </si>
  <si>
    <t>460033********4827</t>
  </si>
  <si>
    <t>460030********032X</t>
  </si>
  <si>
    <t>460003********5828</t>
  </si>
  <si>
    <t>460006********2024</t>
  </si>
  <si>
    <t>460103********0340</t>
  </si>
  <si>
    <t>460004********0863</t>
  </si>
  <si>
    <t>460034********2726</t>
  </si>
  <si>
    <t>460027********4429</t>
  </si>
  <si>
    <t>460003********7628</t>
  </si>
  <si>
    <t>460007********7629</t>
  </si>
  <si>
    <t>460006********3121</t>
  </si>
  <si>
    <t>460006********8746</t>
  </si>
  <si>
    <t>469026********0821</t>
  </si>
  <si>
    <t>460004********461X</t>
  </si>
  <si>
    <t>460103********3028</t>
  </si>
  <si>
    <t>460007********7624</t>
  </si>
  <si>
    <t>460022********4311</t>
  </si>
  <si>
    <t>460004********0027</t>
  </si>
  <si>
    <t>460027********4161</t>
  </si>
  <si>
    <t>460004********0820</t>
  </si>
  <si>
    <t>460104********0028</t>
  </si>
  <si>
    <t>460003********2644</t>
  </si>
  <si>
    <t>460033********3264</t>
  </si>
  <si>
    <t>460026********2441</t>
  </si>
  <si>
    <t>460102********2123</t>
  </si>
  <si>
    <t>460004********0224</t>
  </si>
  <si>
    <t>460108********1324</t>
  </si>
  <si>
    <t>460033********4903</t>
  </si>
  <si>
    <t>460036********0033</t>
  </si>
  <si>
    <t>469003********7315</t>
  </si>
  <si>
    <t>460007********0018</t>
  </si>
  <si>
    <t>460200********0028</t>
  </si>
  <si>
    <t>210904********0022</t>
  </si>
  <si>
    <t>140302********0428</t>
  </si>
  <si>
    <t>440582********1588</t>
  </si>
  <si>
    <t>341281********5008</t>
  </si>
  <si>
    <t>362502********6623</t>
  </si>
  <si>
    <t>460036********7026</t>
  </si>
  <si>
    <t>469003********842X</t>
  </si>
  <si>
    <t>371327********6424</t>
  </si>
  <si>
    <t>460025********4265</t>
  </si>
  <si>
    <t>460003********3045</t>
  </si>
  <si>
    <t>460022********0523</t>
  </si>
  <si>
    <t>460027********7628</t>
  </si>
  <si>
    <t>460033********4484</t>
  </si>
  <si>
    <t>460026********0640</t>
  </si>
  <si>
    <t>460022********3224</t>
  </si>
  <si>
    <t>460030********3628</t>
  </si>
  <si>
    <t>460003********344X</t>
  </si>
  <si>
    <t>460004********4023</t>
  </si>
  <si>
    <t>460300********0045</t>
  </si>
  <si>
    <t>440804********1844</t>
  </si>
  <si>
    <t>460007********2020</t>
  </si>
  <si>
    <t>460102********1226</t>
  </si>
  <si>
    <t>500243********0241</t>
  </si>
  <si>
    <t>430981********1823</t>
  </si>
  <si>
    <t>460103********2128</t>
  </si>
  <si>
    <t>460022********1227</t>
  </si>
  <si>
    <t>460002********3427</t>
  </si>
  <si>
    <t>460026********0026</t>
  </si>
  <si>
    <t>460028********7223</t>
  </si>
  <si>
    <t>10103—海南省公路管理局-法律法务岗（九级管理）</t>
  </si>
  <si>
    <t>469024********0010</t>
  </si>
  <si>
    <t>460005********5121</t>
  </si>
  <si>
    <t>430623********1212</t>
  </si>
  <si>
    <t>420621********9413</t>
  </si>
  <si>
    <t>460003********5027</t>
  </si>
  <si>
    <t>460004********2415</t>
  </si>
  <si>
    <t>142401********2133</t>
  </si>
  <si>
    <t>460035********3024</t>
  </si>
  <si>
    <t>460102********2428</t>
  </si>
  <si>
    <t>410526********7709</t>
  </si>
  <si>
    <t>460028********0411</t>
  </si>
  <si>
    <t>460200********0047</t>
  </si>
  <si>
    <t>460007********5022</t>
  </si>
  <si>
    <t>371421********0042</t>
  </si>
  <si>
    <t>460007********6162</t>
  </si>
  <si>
    <t>460003********2621</t>
  </si>
  <si>
    <t>460003********3028</t>
  </si>
  <si>
    <t>320982********0428</t>
  </si>
  <si>
    <t>360102********0043</t>
  </si>
  <si>
    <t>460027********622X</t>
  </si>
  <si>
    <t>460004********0631</t>
  </si>
  <si>
    <t>460006********4417</t>
  </si>
  <si>
    <t>460006********0021</t>
  </si>
  <si>
    <t>460004********3828</t>
  </si>
  <si>
    <t>460026********0705</t>
  </si>
  <si>
    <t>460004********2427</t>
  </si>
  <si>
    <t>460103********1848</t>
  </si>
  <si>
    <t>460033********3587</t>
  </si>
  <si>
    <t>460003********7226</t>
  </si>
  <si>
    <t>460007********0427</t>
  </si>
  <si>
    <t>460003********4442</t>
  </si>
  <si>
    <t>460200********5341</t>
  </si>
  <si>
    <t>412727********0422</t>
  </si>
  <si>
    <t>411322********5314</t>
  </si>
  <si>
    <t>460002********221X</t>
  </si>
  <si>
    <t>120225********1428</t>
  </si>
  <si>
    <t>460034********4714</t>
  </si>
  <si>
    <t>460034********0025</t>
  </si>
  <si>
    <t>469005********8528</t>
  </si>
  <si>
    <t>460102********0649</t>
  </si>
  <si>
    <t>460100********0320</t>
  </si>
  <si>
    <t>441521********4432</t>
  </si>
  <si>
    <t>460004********0082</t>
  </si>
  <si>
    <t>420521********2241</t>
  </si>
  <si>
    <t>460007********4976</t>
  </si>
  <si>
    <t>460006********4041</t>
  </si>
  <si>
    <t>460004********4824</t>
  </si>
  <si>
    <t>460003********145X</t>
  </si>
  <si>
    <t>460028********2826</t>
  </si>
  <si>
    <t>460003********0831</t>
  </si>
  <si>
    <t>460028********0023</t>
  </si>
  <si>
    <t>460108********2323</t>
  </si>
  <si>
    <t>440981********6192</t>
  </si>
  <si>
    <t>460104********0618</t>
  </si>
  <si>
    <t>220102********3127</t>
  </si>
  <si>
    <t>152101********2129</t>
  </si>
  <si>
    <t>460004********0846</t>
  </si>
  <si>
    <t>500228********0026</t>
  </si>
  <si>
    <t>460003********3224</t>
  </si>
  <si>
    <t>460004********3423</t>
  </si>
  <si>
    <t>350425********0343</t>
  </si>
  <si>
    <t>411329********5026</t>
  </si>
  <si>
    <t>460005********1526</t>
  </si>
  <si>
    <t>460034********5035</t>
  </si>
  <si>
    <t>460004********0234</t>
  </si>
  <si>
    <t>460007********3626</t>
  </si>
  <si>
    <t>460006********4010</t>
  </si>
  <si>
    <t>230523********4824</t>
  </si>
  <si>
    <t>460102********1824</t>
  </si>
  <si>
    <t>452226********5734</t>
  </si>
  <si>
    <t>460103********0022</t>
  </si>
  <si>
    <t>460106********3426</t>
  </si>
  <si>
    <t>460006********2326</t>
  </si>
  <si>
    <t>230624********2861</t>
  </si>
  <si>
    <t>500224********3345</t>
  </si>
  <si>
    <t>500242********579X</t>
  </si>
  <si>
    <t>460004********3623</t>
  </si>
  <si>
    <t>460106********4427</t>
  </si>
  <si>
    <t>460001********072X</t>
  </si>
  <si>
    <t>460006********0429</t>
  </si>
  <si>
    <t>460006********522X</t>
  </si>
  <si>
    <t>142702********3342</t>
  </si>
  <si>
    <t>341182********0214</t>
  </si>
  <si>
    <t>460006********5626</t>
  </si>
  <si>
    <t>460007********0817</t>
  </si>
  <si>
    <t>469003********3520</t>
  </si>
  <si>
    <t>450821********5626</t>
  </si>
  <si>
    <t>460200********4025</t>
  </si>
  <si>
    <t>460028********0824</t>
  </si>
  <si>
    <t>460003********2010</t>
  </si>
  <si>
    <t>460027********0028</t>
  </si>
  <si>
    <t>460034********0041</t>
  </si>
  <si>
    <t>460102********2722</t>
  </si>
  <si>
    <t>460003********6829</t>
  </si>
  <si>
    <t>460025********0927</t>
  </si>
  <si>
    <t>500382********6899</t>
  </si>
  <si>
    <t>460028********5238</t>
  </si>
  <si>
    <t>410823********007X</t>
  </si>
  <si>
    <t>460027********2323</t>
  </si>
  <si>
    <t>460004********0020</t>
  </si>
  <si>
    <t>460200********5722</t>
  </si>
  <si>
    <t>469003********6720</t>
  </si>
  <si>
    <t>460104********0027</t>
  </si>
  <si>
    <t>460102********0049</t>
  </si>
  <si>
    <t>441481********3853</t>
  </si>
  <si>
    <t>654123********5386</t>
  </si>
  <si>
    <t>460033********3880</t>
  </si>
  <si>
    <t>460035********2313</t>
  </si>
  <si>
    <t>460035********0024</t>
  </si>
  <si>
    <t>10201—高速公路养护管理中心-文秘岗（九级管理）</t>
  </si>
  <si>
    <t>460004********0210</t>
  </si>
  <si>
    <t>460031********1621</t>
  </si>
  <si>
    <t>362527********2517</t>
  </si>
  <si>
    <t>445122********0025</t>
  </si>
  <si>
    <t>460028********1214</t>
  </si>
  <si>
    <t>460004********0024</t>
  </si>
  <si>
    <t>411103********0022</t>
  </si>
  <si>
    <t>340823********0863</t>
  </si>
  <si>
    <t>460103********0023</t>
  </si>
  <si>
    <t>469023********6685</t>
  </si>
  <si>
    <t>460005********1920</t>
  </si>
  <si>
    <t>460031********0822</t>
  </si>
  <si>
    <t>460107********2613</t>
  </si>
  <si>
    <t>460004********1423</t>
  </si>
  <si>
    <t>460027********4726</t>
  </si>
  <si>
    <t>460006********5625</t>
  </si>
  <si>
    <t>469007********7261</t>
  </si>
  <si>
    <t>231026********0323</t>
  </si>
  <si>
    <t>460103********0343</t>
  </si>
  <si>
    <t>622103********1047</t>
  </si>
  <si>
    <t>460030********1843</t>
  </si>
  <si>
    <t>532126********1323</t>
  </si>
  <si>
    <t>10301—应急处置中心-法律法务岗（九级管理）</t>
  </si>
  <si>
    <t>460027********5944</t>
  </si>
  <si>
    <t>460004********0817</t>
  </si>
  <si>
    <t>460028********3223</t>
  </si>
  <si>
    <t>460002********3819</t>
  </si>
  <si>
    <t>460200********5521</t>
  </si>
  <si>
    <t>460004********0034</t>
  </si>
  <si>
    <t>460006********2321</t>
  </si>
  <si>
    <t>460102********0613</t>
  </si>
  <si>
    <t>460006********4016</t>
  </si>
  <si>
    <t>653201********1596</t>
  </si>
  <si>
    <t>460004********5283</t>
  </si>
  <si>
    <t>469025********4519</t>
  </si>
  <si>
    <t>460001********0724</t>
  </si>
  <si>
    <t>460104********0038</t>
  </si>
  <si>
    <t>460036********4129</t>
  </si>
  <si>
    <t>460004********0919</t>
  </si>
  <si>
    <t>460200********4712</t>
  </si>
  <si>
    <t>653125********0249</t>
  </si>
  <si>
    <t>460028********2810</t>
  </si>
  <si>
    <t>460002********0529</t>
  </si>
  <si>
    <t>430223********7226</t>
  </si>
  <si>
    <t>142332********1020</t>
  </si>
  <si>
    <t>460006********2034</t>
  </si>
  <si>
    <t>130921********1222</t>
  </si>
  <si>
    <t>460034********0021</t>
  </si>
  <si>
    <t>431024********0017</t>
  </si>
  <si>
    <t>460102********2717</t>
  </si>
  <si>
    <t>460004********481X</t>
  </si>
  <si>
    <t>362528********002X</t>
  </si>
  <si>
    <t>220502********0241</t>
  </si>
  <si>
    <t>460007********084X</t>
  </si>
  <si>
    <t>460004********0023</t>
  </si>
  <si>
    <t>460028********0020</t>
  </si>
  <si>
    <t>460103********1545</t>
  </si>
  <si>
    <t>130402********3322</t>
  </si>
  <si>
    <t>460003********0224</t>
  </si>
  <si>
    <t>460007********0048</t>
  </si>
  <si>
    <t>411121********0025</t>
  </si>
  <si>
    <t>460103********0322</t>
  </si>
  <si>
    <t>460027********5925</t>
  </si>
  <si>
    <t>460027********0018</t>
  </si>
  <si>
    <t>231121********1528</t>
  </si>
  <si>
    <t>460004********4026</t>
  </si>
  <si>
    <t>460004********342X</t>
  </si>
  <si>
    <t>460028********0818</t>
  </si>
  <si>
    <t>632121********0098</t>
  </si>
  <si>
    <t>460102********2124</t>
  </si>
  <si>
    <t>10302—应急处置中心-统计及信息化岗（九级管理）</t>
  </si>
  <si>
    <t>460030********6021</t>
  </si>
  <si>
    <t>460004********0825</t>
  </si>
  <si>
    <t>460104********0321</t>
  </si>
  <si>
    <t>460007********7643</t>
  </si>
  <si>
    <t>469003********4133</t>
  </si>
  <si>
    <t>433124********4020</t>
  </si>
  <si>
    <t>640203********0019</t>
  </si>
  <si>
    <t>460022********271X</t>
  </si>
  <si>
    <t>152502********0722</t>
  </si>
  <si>
    <t>460004********402X</t>
  </si>
  <si>
    <t>460003********2905</t>
  </si>
  <si>
    <t>460033********3894</t>
  </si>
  <si>
    <t>460103********1213</t>
  </si>
  <si>
    <t>460006********6846</t>
  </si>
  <si>
    <t>469027********3876</t>
  </si>
  <si>
    <t>460026********0014</t>
  </si>
  <si>
    <t>460004********1855</t>
  </si>
  <si>
    <t>460102********2718</t>
  </si>
  <si>
    <t>460103********0312</t>
  </si>
  <si>
    <t>460028********2838</t>
  </si>
  <si>
    <t>460025********1822</t>
  </si>
  <si>
    <t>460004********522X</t>
  </si>
  <si>
    <t>460028********6404</t>
  </si>
  <si>
    <t>460003********421X</t>
  </si>
  <si>
    <t>460002********5421</t>
  </si>
  <si>
    <t>460104********0924</t>
  </si>
  <si>
    <t>460007********5373</t>
  </si>
  <si>
    <t>230921********0411</t>
  </si>
  <si>
    <t>370921********1216</t>
  </si>
  <si>
    <t>460028********041X</t>
  </si>
  <si>
    <t>460003********4245</t>
  </si>
  <si>
    <t>469021********3318</t>
  </si>
  <si>
    <t>460104********0035</t>
  </si>
  <si>
    <t>460033********1774</t>
  </si>
  <si>
    <t>460103********1568</t>
  </si>
  <si>
    <t>469026********563X</t>
  </si>
  <si>
    <t>460004********3451</t>
  </si>
  <si>
    <t>460004********2618</t>
  </si>
  <si>
    <t>220382********0614</t>
  </si>
  <si>
    <t>460004********5255</t>
  </si>
  <si>
    <t>460003********1647</t>
  </si>
  <si>
    <t>460027********2923</t>
  </si>
  <si>
    <t>460103********0317</t>
  </si>
  <si>
    <t>460002********0322</t>
  </si>
  <si>
    <t>513902********5231</t>
  </si>
  <si>
    <t>460104********0313</t>
  </si>
  <si>
    <t>460028********0029</t>
  </si>
  <si>
    <t>420684********0017</t>
  </si>
  <si>
    <t>460028********601X</t>
  </si>
  <si>
    <t>460102********1833</t>
  </si>
  <si>
    <t>460102********3622</t>
  </si>
  <si>
    <t>460102********1814</t>
  </si>
  <si>
    <t>460102********0325</t>
  </si>
  <si>
    <t>460006********148X</t>
  </si>
  <si>
    <t>460102********0914</t>
  </si>
  <si>
    <t>460028********1244</t>
  </si>
  <si>
    <t>469023********0022</t>
  </si>
  <si>
    <t>460027********7933</t>
  </si>
  <si>
    <t>231102********0428</t>
  </si>
  <si>
    <t>460102********1529</t>
  </si>
  <si>
    <t>460003********2424</t>
  </si>
  <si>
    <t>460102********0639</t>
  </si>
  <si>
    <t>460002********1018</t>
  </si>
  <si>
    <t>460102********2148</t>
  </si>
  <si>
    <t>469026********5222</t>
  </si>
  <si>
    <t>460103********1516</t>
  </si>
  <si>
    <t>460007********723X</t>
  </si>
  <si>
    <t>460103********2119</t>
  </si>
  <si>
    <t>460025********0040</t>
  </si>
  <si>
    <t>460028********323X</t>
  </si>
  <si>
    <t>460033********3228</t>
  </si>
  <si>
    <t>622301********0339</t>
  </si>
  <si>
    <t>460027********6230</t>
  </si>
  <si>
    <t>460033********0018</t>
  </si>
  <si>
    <t>460007********4675</t>
  </si>
  <si>
    <t>440825********0337</t>
  </si>
  <si>
    <t>460003********1016</t>
  </si>
  <si>
    <t>460004********4217</t>
  </si>
  <si>
    <t>460005********4112</t>
  </si>
  <si>
    <t>152222********1942</t>
  </si>
  <si>
    <t>460007********0825</t>
  </si>
  <si>
    <t>460028********0028</t>
  </si>
  <si>
    <t>460005********0025</t>
  </si>
  <si>
    <t>410104********0115</t>
  </si>
  <si>
    <t>460003********245X</t>
  </si>
  <si>
    <t>460027********6225</t>
  </si>
  <si>
    <t>460028********0435</t>
  </si>
  <si>
    <t>460001********0317</t>
  </si>
  <si>
    <t>460036********0014</t>
  </si>
  <si>
    <t>460007********7212</t>
  </si>
  <si>
    <t>460104********1517</t>
  </si>
  <si>
    <t>450681********0317</t>
  </si>
  <si>
    <t>460103********1212</t>
  </si>
  <si>
    <t>460007********2027</t>
  </si>
  <si>
    <t>460004********301X</t>
  </si>
  <si>
    <t>460006********5227</t>
  </si>
  <si>
    <t>460004********0625</t>
  </si>
  <si>
    <t>460104********1280</t>
  </si>
  <si>
    <t>460003********3023</t>
  </si>
  <si>
    <t>460003********2827</t>
  </si>
  <si>
    <t>220402********143X</t>
  </si>
  <si>
    <t>460033********0674</t>
  </si>
  <si>
    <t>460001********1018</t>
  </si>
  <si>
    <t>460028********6051</t>
  </si>
  <si>
    <t>460103********0313</t>
  </si>
  <si>
    <t>460003********242X</t>
  </si>
  <si>
    <t>460002********2214</t>
  </si>
  <si>
    <t>460004********0411</t>
  </si>
  <si>
    <t>460007********724X</t>
  </si>
  <si>
    <t>460007********0826</t>
  </si>
  <si>
    <t>460102********2121</t>
  </si>
  <si>
    <t>460028********0439</t>
  </si>
  <si>
    <t>460028********6027</t>
  </si>
  <si>
    <t>430781********052X</t>
  </si>
  <si>
    <t>460102********1834</t>
  </si>
  <si>
    <t>460004********1410</t>
  </si>
  <si>
    <t>460033********4919</t>
  </si>
  <si>
    <t>460006********4812</t>
  </si>
  <si>
    <t>460031********5639</t>
  </si>
  <si>
    <t>460026********241X</t>
  </si>
  <si>
    <t>460006********2320</t>
  </si>
  <si>
    <t>469007********0091</t>
  </si>
  <si>
    <t>460005********5146</t>
  </si>
  <si>
    <t>460035********021X</t>
  </si>
  <si>
    <t>411322********2934</t>
  </si>
  <si>
    <t>460200********3132</t>
  </si>
  <si>
    <t>460003********7217</t>
  </si>
  <si>
    <t>460028********0042</t>
  </si>
  <si>
    <t>460102********151X</t>
  </si>
  <si>
    <t>460036********7028</t>
  </si>
  <si>
    <t>460004********6422</t>
  </si>
  <si>
    <t>460028********6860</t>
  </si>
  <si>
    <t>460003********2865</t>
  </si>
  <si>
    <t>640221********0015</t>
  </si>
  <si>
    <t>460002********2525</t>
  </si>
  <si>
    <t>460003********3453</t>
  </si>
  <si>
    <t>460027********0012</t>
  </si>
  <si>
    <t>460007********5393</t>
  </si>
  <si>
    <t>460004********0019</t>
  </si>
  <si>
    <t>141181********0024</t>
  </si>
  <si>
    <t>460004********2023</t>
  </si>
  <si>
    <t>460104********1214</t>
  </si>
  <si>
    <t>460200********0286</t>
  </si>
  <si>
    <t>460004********5235</t>
  </si>
  <si>
    <t>460300********0326</t>
  </si>
  <si>
    <t>460104********1215</t>
  </si>
  <si>
    <t>460004********4022</t>
  </si>
  <si>
    <t>460026********0011</t>
  </si>
  <si>
    <t>460033********3215</t>
  </si>
  <si>
    <t>460004********2412</t>
  </si>
  <si>
    <t>460022********001X</t>
  </si>
  <si>
    <t>532628********0014</t>
  </si>
  <si>
    <t>460006********0410</t>
  </si>
  <si>
    <t>460033********3279</t>
  </si>
  <si>
    <t>460027********6227</t>
  </si>
  <si>
    <t>460034********0412</t>
  </si>
  <si>
    <t>460004********0077</t>
  </si>
  <si>
    <t>411402********3012</t>
  </si>
  <si>
    <t>460025********0020</t>
  </si>
  <si>
    <t>460006********5217</t>
  </si>
  <si>
    <t>230903********0323</t>
  </si>
  <si>
    <t>460028********0016</t>
  </si>
  <si>
    <t>460026********181X</t>
  </si>
  <si>
    <t>460034********0039</t>
  </si>
  <si>
    <t>10401—海口公路局-人力资源管理岗（九级管理）</t>
  </si>
  <si>
    <t>460103********0024</t>
  </si>
  <si>
    <t>360102********161X</t>
  </si>
  <si>
    <t>411425********0325</t>
  </si>
  <si>
    <t>622701********4521</t>
  </si>
  <si>
    <t>460003********4687</t>
  </si>
  <si>
    <t>460003********3043</t>
  </si>
  <si>
    <t>440803********2919</t>
  </si>
  <si>
    <t>460021********4029</t>
  </si>
  <si>
    <t>460025********0311</t>
  </si>
  <si>
    <t>460004********502X</t>
  </si>
  <si>
    <t>460200********0023</t>
  </si>
  <si>
    <t>460006********1629</t>
  </si>
  <si>
    <t>460102********3312</t>
  </si>
  <si>
    <t>469024********5620</t>
  </si>
  <si>
    <t>460103********0325</t>
  </si>
  <si>
    <t>460007********0022</t>
  </si>
  <si>
    <t>460025********2129</t>
  </si>
  <si>
    <t>460028********1228</t>
  </si>
  <si>
    <t>460003********6619</t>
  </si>
  <si>
    <t>460035********2344</t>
  </si>
  <si>
    <t>460200********4706</t>
  </si>
  <si>
    <t>460003********2629</t>
  </si>
  <si>
    <t>460025********4525</t>
  </si>
  <si>
    <t>460028********0061</t>
  </si>
  <si>
    <t>460004********0074</t>
  </si>
  <si>
    <t>460103********1818</t>
  </si>
  <si>
    <t>460031********5269</t>
  </si>
  <si>
    <t>460027********7025</t>
  </si>
  <si>
    <t>460103********2142</t>
  </si>
  <si>
    <t>440582********7223</t>
  </si>
  <si>
    <t>460003********4223</t>
  </si>
  <si>
    <t>460034********0026</t>
  </si>
  <si>
    <t>460200********0034</t>
  </si>
  <si>
    <t>362229********0051</t>
  </si>
  <si>
    <t>460200********314X</t>
  </si>
  <si>
    <t>460004********5233</t>
  </si>
  <si>
    <t>460004********1828</t>
  </si>
  <si>
    <t>469024********0829</t>
  </si>
  <si>
    <t>460027********592X</t>
  </si>
  <si>
    <t>460025********0924</t>
  </si>
  <si>
    <t>460031********0025</t>
  </si>
  <si>
    <t>511323********1922</t>
  </si>
  <si>
    <t>460027********822X</t>
  </si>
  <si>
    <t>460035********1122</t>
  </si>
  <si>
    <t>460104********0985</t>
  </si>
  <si>
    <t>342623********2123</t>
  </si>
  <si>
    <t>460002********3229</t>
  </si>
  <si>
    <t>460027********4428</t>
  </si>
  <si>
    <t>460025********091X</t>
  </si>
  <si>
    <t>460003********4620</t>
  </si>
  <si>
    <t>441424********5790</t>
  </si>
  <si>
    <t>460006********0411</t>
  </si>
  <si>
    <t>460102********214X</t>
  </si>
  <si>
    <t>460003********3437</t>
  </si>
  <si>
    <t>460027********0029</t>
  </si>
  <si>
    <t>460005********0022</t>
  </si>
  <si>
    <t>460003********7212</t>
  </si>
  <si>
    <t>469021********2445</t>
  </si>
  <si>
    <t>630105********2027</t>
  </si>
  <si>
    <t>460103********002X</t>
  </si>
  <si>
    <t>460103********1828</t>
  </si>
  <si>
    <t>460104********002X</t>
  </si>
  <si>
    <t>460004********0414</t>
  </si>
  <si>
    <t>460028********0043</t>
  </si>
  <si>
    <t>422828********0041</t>
  </si>
  <si>
    <t>469003********002X</t>
  </si>
  <si>
    <t>460004********0225</t>
  </si>
  <si>
    <t>460026********0326</t>
  </si>
  <si>
    <t>362330********2503</t>
  </si>
  <si>
    <t>460004********5813</t>
  </si>
  <si>
    <t>460033********4503</t>
  </si>
  <si>
    <t>460002********0024</t>
  </si>
  <si>
    <t>460027********2948</t>
  </si>
  <si>
    <t>331023********3426</t>
  </si>
  <si>
    <t>460004********2629</t>
  </si>
  <si>
    <t>460103********3322</t>
  </si>
  <si>
    <t>460003********6425</t>
  </si>
  <si>
    <t>460102********0314</t>
  </si>
  <si>
    <t>460028********0024</t>
  </si>
  <si>
    <t>460004********4243</t>
  </si>
  <si>
    <t>460027********6260</t>
  </si>
  <si>
    <t>340223********3210</t>
  </si>
  <si>
    <t>460102********3620</t>
  </si>
  <si>
    <t>460004********041X</t>
  </si>
  <si>
    <t>460001********0751</t>
  </si>
  <si>
    <t>460027********7311</t>
  </si>
  <si>
    <t>360403********212X</t>
  </si>
  <si>
    <t>460034********6121</t>
  </si>
  <si>
    <t>460028********2821</t>
  </si>
  <si>
    <t>460004********5820</t>
  </si>
  <si>
    <t>460005********4516</t>
  </si>
  <si>
    <t>460004********0220</t>
  </si>
  <si>
    <t>460005********074X</t>
  </si>
  <si>
    <t>460022********3026</t>
  </si>
  <si>
    <t>230405********0626</t>
  </si>
  <si>
    <t>460025********0947</t>
  </si>
  <si>
    <t>460004********0420</t>
  </si>
  <si>
    <t>460103********2726</t>
  </si>
  <si>
    <t>460034********1817</t>
  </si>
  <si>
    <t>460025********2424</t>
  </si>
  <si>
    <t>460005********3723</t>
  </si>
  <si>
    <t>460033********1781</t>
  </si>
  <si>
    <t>460200********1192</t>
  </si>
  <si>
    <t>460103********1244</t>
  </si>
  <si>
    <t>469006********7821</t>
  </si>
  <si>
    <t>460036********2125</t>
  </si>
  <si>
    <t>130282********0021</t>
  </si>
  <si>
    <t>460200********5724</t>
  </si>
  <si>
    <t>460003********0427</t>
  </si>
  <si>
    <t>469022********0907</t>
  </si>
  <si>
    <t>460027********6624</t>
  </si>
  <si>
    <t>460004********2628</t>
  </si>
  <si>
    <t>460025********0026</t>
  </si>
  <si>
    <t>460005********212X</t>
  </si>
  <si>
    <t>431124********0320</t>
  </si>
  <si>
    <t>460300********0313</t>
  </si>
  <si>
    <t>460030********0028</t>
  </si>
  <si>
    <t>460102********1526</t>
  </si>
  <si>
    <t>469005********1726</t>
  </si>
  <si>
    <t>460006********8127</t>
  </si>
  <si>
    <t>460028********0026</t>
  </si>
  <si>
    <t>460004********3448</t>
  </si>
  <si>
    <t>420802********1925</t>
  </si>
  <si>
    <t>460035********3225</t>
  </si>
  <si>
    <t>460003********1428</t>
  </si>
  <si>
    <t>220722********4429</t>
  </si>
  <si>
    <t>460102********062X</t>
  </si>
  <si>
    <t>460200********1406</t>
  </si>
  <si>
    <t>440921********6042</t>
  </si>
  <si>
    <t>460006********1625</t>
  </si>
  <si>
    <t>460004********3682</t>
  </si>
  <si>
    <t>460102********1220</t>
  </si>
  <si>
    <t>460200********001X</t>
  </si>
  <si>
    <t>460003********5860</t>
  </si>
  <si>
    <t>460028********0027</t>
  </si>
  <si>
    <t>460200********3827</t>
  </si>
  <si>
    <t>460006********0046</t>
  </si>
  <si>
    <t>230803********0016</t>
  </si>
  <si>
    <t>460022********6045</t>
  </si>
  <si>
    <t>612732********1223</t>
  </si>
  <si>
    <t>460028********0812</t>
  </si>
  <si>
    <t>320305********3025</t>
  </si>
  <si>
    <t>420621********572X</t>
  </si>
  <si>
    <t>331082********7857</t>
  </si>
  <si>
    <t>460027********1728</t>
  </si>
  <si>
    <t>460108********0029</t>
  </si>
  <si>
    <t>460200********5527</t>
  </si>
  <si>
    <t>140581********0028</t>
  </si>
  <si>
    <t>460003********6020</t>
  </si>
  <si>
    <t>460034********0444</t>
  </si>
  <si>
    <t>460028********6868</t>
  </si>
  <si>
    <t>460030********332X</t>
  </si>
  <si>
    <t>460102********1523</t>
  </si>
  <si>
    <t>460026********0926</t>
  </si>
  <si>
    <t>460003********5829</t>
  </si>
  <si>
    <t>460036********0022</t>
  </si>
  <si>
    <t>460004********4429</t>
  </si>
  <si>
    <t>450921********0022</t>
  </si>
  <si>
    <t>469003********5640</t>
  </si>
  <si>
    <t>430521********1422</t>
  </si>
  <si>
    <t>460027********292X</t>
  </si>
  <si>
    <t>460003********0029</t>
  </si>
  <si>
    <t>460107********266X</t>
  </si>
  <si>
    <t>432522********8256</t>
  </si>
  <si>
    <t>460033********3882</t>
  </si>
  <si>
    <t>460004********262X</t>
  </si>
  <si>
    <t>460025********2121</t>
  </si>
  <si>
    <t>460103********0921</t>
  </si>
  <si>
    <t>460102********242X</t>
  </si>
  <si>
    <t>511024********0026</t>
  </si>
  <si>
    <t>460035********0715</t>
  </si>
  <si>
    <t>440802********1927</t>
  </si>
  <si>
    <t>230803********0625</t>
  </si>
  <si>
    <t>460003********4026</t>
  </si>
  <si>
    <t>460005********4826</t>
  </si>
  <si>
    <t>460004********3411</t>
  </si>
  <si>
    <t>460030********0041</t>
  </si>
  <si>
    <t>460026********1224</t>
  </si>
  <si>
    <t>460030********7228</t>
  </si>
  <si>
    <t>460004********0047</t>
  </si>
  <si>
    <t>460027********0027</t>
  </si>
  <si>
    <t>411002********1060</t>
  </si>
  <si>
    <t>460003********4210</t>
  </si>
  <si>
    <t>460004********2224</t>
  </si>
  <si>
    <t>460104********0062</t>
  </si>
  <si>
    <t>530402********1825</t>
  </si>
  <si>
    <t>460033********3224</t>
  </si>
  <si>
    <t>460004********0012</t>
  </si>
  <si>
    <t>460002********4420</t>
  </si>
  <si>
    <t>460002********6021</t>
  </si>
  <si>
    <t>460200********4481</t>
  </si>
  <si>
    <t>460028********0845</t>
  </si>
  <si>
    <t>460103********2143</t>
  </si>
  <si>
    <t>460006********4488</t>
  </si>
  <si>
    <t>460200********0020</t>
  </si>
  <si>
    <t>370786********6622</t>
  </si>
  <si>
    <t>460027********0026</t>
  </si>
  <si>
    <t>460025********0023</t>
  </si>
  <si>
    <t>460028********3284</t>
  </si>
  <si>
    <t>460033********4558</t>
  </si>
  <si>
    <t>410503********1539</t>
  </si>
  <si>
    <t>422825********2740</t>
  </si>
  <si>
    <t>460003********0264</t>
  </si>
  <si>
    <t>410225********6641</t>
  </si>
  <si>
    <t>411381********0303</t>
  </si>
  <si>
    <t>469024********0845</t>
  </si>
  <si>
    <t>460021********4423</t>
  </si>
  <si>
    <t>460005********5622</t>
  </si>
  <si>
    <t>460005********6229</t>
  </si>
  <si>
    <t>460022********6220</t>
  </si>
  <si>
    <t>460031********0829</t>
  </si>
  <si>
    <t>460028********0849</t>
  </si>
  <si>
    <t>410726********122X</t>
  </si>
  <si>
    <t>460034********1226</t>
  </si>
  <si>
    <t>460102********0623</t>
  </si>
  <si>
    <t>460102********1520</t>
  </si>
  <si>
    <t>460103********1523</t>
  </si>
  <si>
    <t>420682********654X</t>
  </si>
  <si>
    <t>10402—海口公路局-财务会计岗（九级管理）</t>
  </si>
  <si>
    <t>469024********0827</t>
  </si>
  <si>
    <t>429004********2660</t>
  </si>
  <si>
    <t>460103********0641</t>
  </si>
  <si>
    <t>410881********0525</t>
  </si>
  <si>
    <t>460003********3048</t>
  </si>
  <si>
    <t>469003********2221</t>
  </si>
  <si>
    <t>460102********0612</t>
  </si>
  <si>
    <t>460005********2113</t>
  </si>
  <si>
    <t>460004********1613</t>
  </si>
  <si>
    <t>469026********5624</t>
  </si>
  <si>
    <t>460300********0027</t>
  </si>
  <si>
    <t>460103********3021</t>
  </si>
  <si>
    <t>460102********1512</t>
  </si>
  <si>
    <t>522101********7663</t>
  </si>
  <si>
    <t>460033********688X</t>
  </si>
  <si>
    <t>210111********2542</t>
  </si>
  <si>
    <t>230231********5438</t>
  </si>
  <si>
    <t>460028********4447</t>
  </si>
  <si>
    <t>460102********1517</t>
  </si>
  <si>
    <t>341226********384X</t>
  </si>
  <si>
    <t>210402********1325</t>
  </si>
  <si>
    <t>460006********0927</t>
  </si>
  <si>
    <t>460200********5726</t>
  </si>
  <si>
    <t>460003********0210</t>
  </si>
  <si>
    <t>460003********0422</t>
  </si>
  <si>
    <t>460033********7481</t>
  </si>
  <si>
    <t>460031********0424</t>
  </si>
  <si>
    <t>522725********002X</t>
  </si>
  <si>
    <t>460004********0031</t>
  </si>
  <si>
    <t>350600********2045</t>
  </si>
  <si>
    <t>469021********0622</t>
  </si>
  <si>
    <t>460102********1569</t>
  </si>
  <si>
    <t>460026********3926</t>
  </si>
  <si>
    <t>460028********6428</t>
  </si>
  <si>
    <t>460200********4920</t>
  </si>
  <si>
    <t>460033********4509</t>
  </si>
  <si>
    <t>460005********5110</t>
  </si>
  <si>
    <t>460033********508X</t>
  </si>
  <si>
    <t>460004********3820</t>
  </si>
  <si>
    <t>469027********4783</t>
  </si>
  <si>
    <t>460036********0015</t>
  </si>
  <si>
    <t>460102********0611</t>
  </si>
  <si>
    <t>460006********4423</t>
  </si>
  <si>
    <t>460200********0782</t>
  </si>
  <si>
    <t>460200********1668</t>
  </si>
  <si>
    <t>460006********2318</t>
  </si>
  <si>
    <t>460027********0418</t>
  </si>
  <si>
    <t>410702********0547</t>
  </si>
  <si>
    <t>469026********0043</t>
  </si>
  <si>
    <t>460004********1428</t>
  </si>
  <si>
    <t>142233********0026</t>
  </si>
  <si>
    <t>460005********0048</t>
  </si>
  <si>
    <t>632802********0028</t>
  </si>
  <si>
    <t>460007********0424</t>
  </si>
  <si>
    <t>460005********3235</t>
  </si>
  <si>
    <t>460103********1520</t>
  </si>
  <si>
    <t>460025********001X</t>
  </si>
  <si>
    <t>340825********1928</t>
  </si>
  <si>
    <t>460002********4425</t>
  </si>
  <si>
    <t>460004********3222</t>
  </si>
  <si>
    <t>460031********0858</t>
  </si>
  <si>
    <t>210904********0520</t>
  </si>
  <si>
    <t>410802********0047</t>
  </si>
  <si>
    <t>460200********0283</t>
  </si>
  <si>
    <t>460035********001X</t>
  </si>
  <si>
    <t>440785********6314</t>
  </si>
  <si>
    <t>460033********0024</t>
  </si>
  <si>
    <t>469003********4822</t>
  </si>
  <si>
    <t>460033********0032</t>
  </si>
  <si>
    <t>522529********0030</t>
  </si>
  <si>
    <t>460300********0611</t>
  </si>
  <si>
    <t>460003********3027</t>
  </si>
  <si>
    <t>460003********8828</t>
  </si>
  <si>
    <t>431022********020X</t>
  </si>
  <si>
    <t>431121********0085</t>
  </si>
  <si>
    <t>460033********0020</t>
  </si>
  <si>
    <t>460033********3928</t>
  </si>
  <si>
    <t>460027********2984</t>
  </si>
  <si>
    <t>460005********2321</t>
  </si>
  <si>
    <t>460007********7220</t>
  </si>
  <si>
    <t>110102********332X</t>
  </si>
  <si>
    <t>469027********3257</t>
  </si>
  <si>
    <t>429001********6922</t>
  </si>
  <si>
    <t>460027********6616</t>
  </si>
  <si>
    <t>460003********0028</t>
  </si>
  <si>
    <t>460007********041X</t>
  </si>
  <si>
    <t>220221********7742</t>
  </si>
  <si>
    <t>460200********533X</t>
  </si>
  <si>
    <t>460027********5653</t>
  </si>
  <si>
    <t>460028********6026</t>
  </si>
  <si>
    <t>460028********001X</t>
  </si>
  <si>
    <t>460007********5760</t>
  </si>
  <si>
    <t>460035********0023</t>
  </si>
  <si>
    <t>460033********0021</t>
  </si>
  <si>
    <t>460102********1244</t>
  </si>
  <si>
    <t>460033********0039</t>
  </si>
  <si>
    <t>469023********0041</t>
  </si>
  <si>
    <t>460004********5240</t>
  </si>
  <si>
    <t>460103********0327</t>
  </si>
  <si>
    <t>469024********3222</t>
  </si>
  <si>
    <t>469026********0045</t>
  </si>
  <si>
    <t>460028********3258</t>
  </si>
  <si>
    <t>460002********3821</t>
  </si>
  <si>
    <t>330106********082X</t>
  </si>
  <si>
    <t>533525********0612</t>
  </si>
  <si>
    <t>460102********0962</t>
  </si>
  <si>
    <t>441581********5984</t>
  </si>
  <si>
    <t>460001********0757</t>
  </si>
  <si>
    <t>460033********3283</t>
  </si>
  <si>
    <t>10403—海口公路局-统计及信息化岗（九级管理）</t>
  </si>
  <si>
    <t>460200********5117</t>
  </si>
  <si>
    <t>460025********421X</t>
  </si>
  <si>
    <t>460025********0310</t>
  </si>
  <si>
    <t>460103********2712</t>
  </si>
  <si>
    <t>460003********5618</t>
  </si>
  <si>
    <t>460006********0416</t>
  </si>
  <si>
    <t>460004********5828</t>
  </si>
  <si>
    <t>460004********1818</t>
  </si>
  <si>
    <t>460006********4422</t>
  </si>
  <si>
    <t>469023********0026</t>
  </si>
  <si>
    <t>460004********5243</t>
  </si>
  <si>
    <t>460003********3065</t>
  </si>
  <si>
    <t>460028********0819</t>
  </si>
  <si>
    <t>520103********6414</t>
  </si>
  <si>
    <t>460200********0017</t>
  </si>
  <si>
    <t>460004********1215</t>
  </si>
  <si>
    <t>460028********2414</t>
  </si>
  <si>
    <t>460033********321X</t>
  </si>
  <si>
    <t>460025********0028</t>
  </si>
  <si>
    <t>460200********0273</t>
  </si>
  <si>
    <t>460102********0911</t>
  </si>
  <si>
    <t>460102********0910</t>
  </si>
  <si>
    <t>460034********0010</t>
  </si>
  <si>
    <t>460003********1625</t>
  </si>
  <si>
    <t>460027********7617</t>
  </si>
  <si>
    <t>460200********2915</t>
  </si>
  <si>
    <t>460027********0019</t>
  </si>
  <si>
    <t>460033********5076</t>
  </si>
  <si>
    <t>460102********1817</t>
  </si>
  <si>
    <t>460007********0024</t>
  </si>
  <si>
    <t>460006********4819</t>
  </si>
  <si>
    <t>460106********3437</t>
  </si>
  <si>
    <t>130725********1460</t>
  </si>
  <si>
    <t>410225********9849</t>
  </si>
  <si>
    <t>460028********2416</t>
  </si>
  <si>
    <t>460103********122X</t>
  </si>
  <si>
    <t>460027********001X</t>
  </si>
  <si>
    <t>460004********1627</t>
  </si>
  <si>
    <t>370826********1218</t>
  </si>
  <si>
    <t>522501********0419</t>
  </si>
  <si>
    <t>460003********2242</t>
  </si>
  <si>
    <t>460002********6614</t>
  </si>
  <si>
    <t>411323********5812</t>
  </si>
  <si>
    <t>460031********561X</t>
  </si>
  <si>
    <t>460102********3316</t>
  </si>
  <si>
    <t>460104********0024</t>
  </si>
  <si>
    <t>130702********0614</t>
  </si>
  <si>
    <t>460103********2738</t>
  </si>
  <si>
    <t>460025********032X</t>
  </si>
  <si>
    <t>460004********341X</t>
  </si>
  <si>
    <t>460200********2492</t>
  </si>
  <si>
    <t>460027********0013</t>
  </si>
  <si>
    <t>460007********0011</t>
  </si>
  <si>
    <t>460003********4018</t>
  </si>
  <si>
    <t>460003********3835</t>
  </si>
  <si>
    <t>460102********0333</t>
  </si>
  <si>
    <t>460103********2719</t>
  </si>
  <si>
    <t>370921********0033</t>
  </si>
  <si>
    <t>460030********0020</t>
  </si>
  <si>
    <t>460102********1516</t>
  </si>
  <si>
    <t>469027********3224</t>
  </si>
  <si>
    <t>460002********1216</t>
  </si>
  <si>
    <t>460103********0918</t>
  </si>
  <si>
    <t>460031********1626</t>
  </si>
  <si>
    <t>460102********2112</t>
  </si>
  <si>
    <t>460006********1620</t>
  </si>
  <si>
    <t>460004********4046</t>
  </si>
  <si>
    <t>460102********3023</t>
  </si>
  <si>
    <t>469022********5129</t>
  </si>
  <si>
    <t>10404—海口公路局-法律法务岗（九级管理）</t>
  </si>
  <si>
    <t>460006********0015</t>
  </si>
  <si>
    <t>230702********0737</t>
  </si>
  <si>
    <t>131102********0228</t>
  </si>
  <si>
    <t>460003********0435</t>
  </si>
  <si>
    <t>445281********374X</t>
  </si>
  <si>
    <t>360781********004X</t>
  </si>
  <si>
    <t>460200********2917</t>
  </si>
  <si>
    <t>460031********0048</t>
  </si>
  <si>
    <t>652122********3725</t>
  </si>
  <si>
    <t>460200********0297</t>
  </si>
  <si>
    <t>460033********3906</t>
  </si>
  <si>
    <t>460003********3440</t>
  </si>
  <si>
    <t>460102********0043</t>
  </si>
  <si>
    <t>460102********1228</t>
  </si>
  <si>
    <t>460200********2725</t>
  </si>
  <si>
    <t>411081********2568</t>
  </si>
  <si>
    <t>460001********1047</t>
  </si>
  <si>
    <t>460003********6623</t>
  </si>
  <si>
    <t>460104********0020</t>
  </si>
  <si>
    <t>410105********0205</t>
  </si>
  <si>
    <t>445221********4522</t>
  </si>
  <si>
    <t>622301********7881</t>
  </si>
  <si>
    <t>460028********0037</t>
  </si>
  <si>
    <t>460200********3330</t>
  </si>
  <si>
    <t>460104********2126</t>
  </si>
  <si>
    <t>371502********1526</t>
  </si>
  <si>
    <t>460200********0042</t>
  </si>
  <si>
    <t>460026********1522</t>
  </si>
  <si>
    <t>460028********0055</t>
  </si>
  <si>
    <t>469007********5001</t>
  </si>
  <si>
    <t>460107********3411</t>
  </si>
  <si>
    <t>460005********032X</t>
  </si>
  <si>
    <t>460028********0010</t>
  </si>
  <si>
    <t>460025********4228</t>
  </si>
  <si>
    <t>460006********0920</t>
  </si>
  <si>
    <t>469003********0326</t>
  </si>
  <si>
    <t>460004********0039</t>
  </si>
  <si>
    <t>460200********0027</t>
  </si>
  <si>
    <t>460004********2626</t>
  </si>
  <si>
    <t>460004********3617</t>
  </si>
  <si>
    <t>460004********004X</t>
  </si>
  <si>
    <t>232700********6024</t>
  </si>
  <si>
    <t>460102********0622</t>
  </si>
  <si>
    <t>420114********0042</t>
  </si>
  <si>
    <t>460027********1329</t>
  </si>
  <si>
    <t>460025********0917</t>
  </si>
  <si>
    <t>460102********2714</t>
  </si>
  <si>
    <t>460004********3023</t>
  </si>
  <si>
    <t>460031********0026</t>
  </si>
  <si>
    <t>622323********0528</t>
  </si>
  <si>
    <t>460003********3429</t>
  </si>
  <si>
    <t>460006********5225</t>
  </si>
  <si>
    <t>460006********0626</t>
  </si>
  <si>
    <t>460003********0614</t>
  </si>
  <si>
    <t>440882********5036</t>
  </si>
  <si>
    <t>460103********1528</t>
  </si>
  <si>
    <t>460002********4411</t>
  </si>
  <si>
    <t>532625********1328</t>
  </si>
  <si>
    <t>460003********0622</t>
  </si>
  <si>
    <t>411002********2022</t>
  </si>
  <si>
    <t>460007********4379</t>
  </si>
  <si>
    <t>440823********1722</t>
  </si>
  <si>
    <t>460007********362X</t>
  </si>
  <si>
    <t>10405—海口公路局-党建党务岗（九级管理）</t>
  </si>
  <si>
    <t>460102********0920</t>
  </si>
  <si>
    <t>440582********5427</t>
  </si>
  <si>
    <t>460035********1329</t>
  </si>
  <si>
    <t>460003********4624</t>
  </si>
  <si>
    <t>362430********0046</t>
  </si>
  <si>
    <t>10406—海口公路局-安全生产管理岗（九级管理）</t>
  </si>
  <si>
    <t>460025********0018</t>
  </si>
  <si>
    <t>410782********0450</t>
  </si>
  <si>
    <t>460004********0029</t>
  </si>
  <si>
    <t>460103********182X</t>
  </si>
  <si>
    <t>460102********1211</t>
  </si>
  <si>
    <t>460103********1820</t>
  </si>
  <si>
    <t>460004********0434</t>
  </si>
  <si>
    <t>460033********3214</t>
  </si>
  <si>
    <t>460006********2019</t>
  </si>
  <si>
    <t>440882********8515</t>
  </si>
  <si>
    <t>460004********0818</t>
  </si>
  <si>
    <t>460006********4459</t>
  </si>
  <si>
    <t>460027********7013</t>
  </si>
  <si>
    <t>460103********1814</t>
  </si>
  <si>
    <t>413001********2526</t>
  </si>
  <si>
    <t>460033********0023</t>
  </si>
  <si>
    <t>220381********3218</t>
  </si>
  <si>
    <t>460022********4318</t>
  </si>
  <si>
    <t>460300********0334</t>
  </si>
  <si>
    <t>460200********0982</t>
  </si>
  <si>
    <t>460200********0276</t>
  </si>
  <si>
    <t>460033********5074</t>
  </si>
  <si>
    <t>460102********0930</t>
  </si>
  <si>
    <t>511623********7338</t>
  </si>
  <si>
    <t>460200********0021</t>
  </si>
  <si>
    <t>412824********6813</t>
  </si>
  <si>
    <t>460033********3890</t>
  </si>
  <si>
    <t>460022********3014</t>
  </si>
  <si>
    <t>130984********1515</t>
  </si>
  <si>
    <t>460002********4612</t>
  </si>
  <si>
    <t>211322********103X</t>
  </si>
  <si>
    <t>340321********6531</t>
  </si>
  <si>
    <t>440281********0805</t>
  </si>
  <si>
    <t>460033********5142</t>
  </si>
  <si>
    <t>460103********0629</t>
  </si>
  <si>
    <t>412722********614X</t>
  </si>
  <si>
    <t>150421********0920</t>
  </si>
  <si>
    <t>469027********5987</t>
  </si>
  <si>
    <t>460103********1821</t>
  </si>
  <si>
    <t>460027********0417</t>
  </si>
  <si>
    <t>460007********4364</t>
  </si>
  <si>
    <t>460003********2836</t>
  </si>
  <si>
    <t>460027********3710</t>
  </si>
  <si>
    <t>460004********4825</t>
  </si>
  <si>
    <t>142225********3036</t>
  </si>
  <si>
    <t>410703********1515</t>
  </si>
  <si>
    <t>460033********0873</t>
  </si>
  <si>
    <t>460027********6219</t>
  </si>
  <si>
    <t>460005********5624</t>
  </si>
  <si>
    <t>460033********5094</t>
  </si>
  <si>
    <t>460033********4511</t>
  </si>
  <si>
    <t>350424********1439</t>
  </si>
  <si>
    <t>659001********0343</t>
  </si>
  <si>
    <t>220521********0019</t>
  </si>
  <si>
    <t>460004********0217</t>
  </si>
  <si>
    <t>460102********2711</t>
  </si>
  <si>
    <t>460102********2417</t>
  </si>
  <si>
    <t>460104********001X</t>
  </si>
  <si>
    <t>460004********0017</t>
  </si>
  <si>
    <t>460200********4704</t>
  </si>
  <si>
    <t>460004********4617</t>
  </si>
  <si>
    <t>440883********0350</t>
  </si>
  <si>
    <t>460033********1776</t>
  </si>
  <si>
    <t>430225********0025</t>
  </si>
  <si>
    <t>460027********4141</t>
  </si>
  <si>
    <t>460028********0412</t>
  </si>
  <si>
    <t>620423********1010</t>
  </si>
  <si>
    <t>460103********2115</t>
  </si>
  <si>
    <t>460006********0051</t>
  </si>
  <si>
    <t>230303********4013</t>
  </si>
  <si>
    <t>350802********1049</t>
  </si>
  <si>
    <t>460102********1825</t>
  </si>
  <si>
    <t>460027********7652</t>
  </si>
  <si>
    <t>460004********4045</t>
  </si>
  <si>
    <t>460007********5363</t>
  </si>
  <si>
    <t>460003********4216</t>
  </si>
  <si>
    <t>460004********021X</t>
  </si>
  <si>
    <t>460028********0954</t>
  </si>
  <si>
    <t>130527********2015</t>
  </si>
  <si>
    <t>460103********1249</t>
  </si>
  <si>
    <t>620122********1050</t>
  </si>
  <si>
    <t>460006********2916</t>
  </si>
  <si>
    <t>440825********3454</t>
  </si>
  <si>
    <t>460022********0011</t>
  </si>
  <si>
    <t>460027********231X</t>
  </si>
  <si>
    <t>460004********1412</t>
  </si>
  <si>
    <t>510106********2927</t>
  </si>
  <si>
    <t>460006********2926</t>
  </si>
  <si>
    <t>460006********4414</t>
  </si>
  <si>
    <t>460005********4559</t>
  </si>
  <si>
    <t>460004********5049</t>
  </si>
  <si>
    <t>460006********0936</t>
  </si>
  <si>
    <t>460006********4012</t>
  </si>
  <si>
    <t>460103********0038</t>
  </si>
  <si>
    <t>460025********4827</t>
  </si>
  <si>
    <t>460104********0923</t>
  </si>
  <si>
    <t>220422********2047</t>
  </si>
  <si>
    <t>460006********8437</t>
  </si>
  <si>
    <t>130682********4510</t>
  </si>
  <si>
    <t>460030********3323</t>
  </si>
  <si>
    <t>460004********4413</t>
  </si>
  <si>
    <t>460006********0012</t>
  </si>
  <si>
    <t>220204********2412</t>
  </si>
  <si>
    <t>10407—海口公路局-路桥技术岗（十二级专技）</t>
  </si>
  <si>
    <t>460033********4472</t>
  </si>
  <si>
    <t>469023********0014</t>
  </si>
  <si>
    <t>460004********5279</t>
  </si>
  <si>
    <t>460028********0866</t>
  </si>
  <si>
    <t>432524********8875</t>
  </si>
  <si>
    <t>460028********0032</t>
  </si>
  <si>
    <t>460027********5719</t>
  </si>
  <si>
    <t>460034********044X</t>
  </si>
  <si>
    <t>460006********8732</t>
  </si>
  <si>
    <t>411424********8431</t>
  </si>
  <si>
    <t>460035********0937</t>
  </si>
  <si>
    <t>460028********2873</t>
  </si>
  <si>
    <t>460200********1428</t>
  </si>
  <si>
    <t>460103********2137</t>
  </si>
  <si>
    <t>460028********0011</t>
  </si>
  <si>
    <t>460026********1216</t>
  </si>
  <si>
    <t>460027********0424</t>
  </si>
  <si>
    <t>460004********2210</t>
  </si>
  <si>
    <t>411628********0661</t>
  </si>
  <si>
    <t>460102********2133</t>
  </si>
  <si>
    <t>460006********0039</t>
  </si>
  <si>
    <t>460102********0912</t>
  </si>
  <si>
    <t>460007********8025</t>
  </si>
  <si>
    <t>152104********1625</t>
  </si>
  <si>
    <t>460002********0013</t>
  </si>
  <si>
    <t>460027********2919</t>
  </si>
  <si>
    <t>460031********0020</t>
  </si>
  <si>
    <t>460028********2438</t>
  </si>
  <si>
    <t>460103********0614</t>
  </si>
  <si>
    <t>362324********5437</t>
  </si>
  <si>
    <t>460102********031X</t>
  </si>
  <si>
    <t>460004********4816</t>
  </si>
  <si>
    <t>460004********5831</t>
  </si>
  <si>
    <t>460028********0019</t>
  </si>
  <si>
    <t>460027********7935</t>
  </si>
  <si>
    <t>460200********0030</t>
  </si>
  <si>
    <t>460033********3615</t>
  </si>
  <si>
    <t>360124********5111</t>
  </si>
  <si>
    <t>460033********3876</t>
  </si>
  <si>
    <t>152801********8524</t>
  </si>
  <si>
    <t>460004********0816</t>
  </si>
  <si>
    <t>460006********4014</t>
  </si>
  <si>
    <t>460003********0033</t>
  </si>
  <si>
    <t>460103********0011</t>
  </si>
  <si>
    <t>460300********0013</t>
  </si>
  <si>
    <t>210603********201X</t>
  </si>
  <si>
    <t>460104********0932</t>
  </si>
  <si>
    <t>460200********5332</t>
  </si>
  <si>
    <t>460027********8250</t>
  </si>
  <si>
    <t>460104********0312</t>
  </si>
  <si>
    <t>460026********5124</t>
  </si>
  <si>
    <t>460102********0022</t>
  </si>
  <si>
    <t>460103********0910</t>
  </si>
  <si>
    <t>440811********0359</t>
  </si>
  <si>
    <t>510922********7250</t>
  </si>
  <si>
    <t>130635********1155</t>
  </si>
  <si>
    <t>469005********4818</t>
  </si>
  <si>
    <t>460006********3112</t>
  </si>
  <si>
    <t>460034********1839</t>
  </si>
  <si>
    <t>460102********0028</t>
  </si>
  <si>
    <t>460004********0014</t>
  </si>
  <si>
    <t>141031********0033</t>
  </si>
  <si>
    <t>460002********1013</t>
  </si>
  <si>
    <t>460006********0420</t>
  </si>
  <si>
    <t>460002********4613</t>
  </si>
  <si>
    <t>460030********3915</t>
  </si>
  <si>
    <t>460025********3028</t>
  </si>
  <si>
    <t>370802********0320</t>
  </si>
  <si>
    <t>460034********2412</t>
  </si>
  <si>
    <t>460102********1816</t>
  </si>
  <si>
    <t>460103********1539</t>
  </si>
  <si>
    <t>460022********0017</t>
  </si>
  <si>
    <t>460102********0918</t>
  </si>
  <si>
    <t>460006********4817</t>
  </si>
  <si>
    <t>372324********0030</t>
  </si>
  <si>
    <t>460033********5079</t>
  </si>
  <si>
    <t>460003********2436</t>
  </si>
  <si>
    <t>460002********1010</t>
  </si>
  <si>
    <t>460102********1210</t>
  </si>
  <si>
    <t>460033********3235</t>
  </si>
  <si>
    <t>460003********045X</t>
  </si>
  <si>
    <t>460006********091X</t>
  </si>
  <si>
    <t>460004********0613</t>
  </si>
  <si>
    <t>460034********0414</t>
  </si>
  <si>
    <t>460102********2411</t>
  </si>
  <si>
    <t>360428********0056</t>
  </si>
  <si>
    <t>460006********8419</t>
  </si>
  <si>
    <t>460006********2917</t>
  </si>
  <si>
    <t>460004********1212</t>
  </si>
  <si>
    <t>460003********0825</t>
  </si>
  <si>
    <t>330327********2040</t>
  </si>
  <si>
    <t>460103********0025</t>
  </si>
  <si>
    <t>654324********0514</t>
  </si>
  <si>
    <t>420105********1624</t>
  </si>
  <si>
    <t>460003********4835</t>
  </si>
  <si>
    <t>460004********3045</t>
  </si>
  <si>
    <t>460004********6415</t>
  </si>
  <si>
    <t>460034********5019</t>
  </si>
  <si>
    <t>460033********5998</t>
  </si>
  <si>
    <t>460036********0019</t>
  </si>
  <si>
    <t>530324********0018</t>
  </si>
  <si>
    <t>460003********3821</t>
  </si>
  <si>
    <t>460003********0218</t>
  </si>
  <si>
    <t>460033********5091</t>
  </si>
  <si>
    <t>460027********2927</t>
  </si>
  <si>
    <t>500227********7725</t>
  </si>
  <si>
    <t>130404********2720</t>
  </si>
  <si>
    <t>10408—海口公路局-筑路机械与材料管理岗（九级管理）</t>
  </si>
  <si>
    <t>460103********0337</t>
  </si>
  <si>
    <t>460103********1517</t>
  </si>
  <si>
    <t>460033********0029</t>
  </si>
  <si>
    <t>210802********452X</t>
  </si>
  <si>
    <t>460027********2939</t>
  </si>
  <si>
    <t>460027********1710</t>
  </si>
  <si>
    <t>460005********0718</t>
  </si>
  <si>
    <t>460027********0415</t>
  </si>
  <si>
    <t>142727********0315</t>
  </si>
  <si>
    <t>370702********1015</t>
  </si>
  <si>
    <t>340104********2019</t>
  </si>
  <si>
    <t>469022********1826</t>
  </si>
  <si>
    <t>460003********5619</t>
  </si>
  <si>
    <t>460003********3815</t>
  </si>
  <si>
    <t>460004********0617</t>
  </si>
  <si>
    <t>460102********1238</t>
  </si>
  <si>
    <t>460003********2633</t>
  </si>
  <si>
    <t>460033********0015</t>
  </si>
  <si>
    <t>10409—海口公路局-园林技术岗（十二级专技）</t>
  </si>
  <si>
    <t>469005********2323</t>
  </si>
  <si>
    <t>469005********4527</t>
  </si>
  <si>
    <t>460200********4701</t>
  </si>
  <si>
    <t>469007********7347</t>
  </si>
  <si>
    <t>460028********0884</t>
  </si>
  <si>
    <t>522424********0023</t>
  </si>
  <si>
    <t>460005********1229</t>
  </si>
  <si>
    <t>330624********0016</t>
  </si>
  <si>
    <t>460028********7242</t>
  </si>
  <si>
    <t>460003********8844</t>
  </si>
  <si>
    <t>410105********001X</t>
  </si>
  <si>
    <t>421202********1511</t>
  </si>
  <si>
    <t>410102********0016</t>
  </si>
  <si>
    <t>460102********3343</t>
  </si>
  <si>
    <t>469023********2653</t>
  </si>
  <si>
    <t>412827********2013</t>
  </si>
  <si>
    <t>460005********0517</t>
  </si>
  <si>
    <t>10501—儋州公路局-文秘岗（九级管理）</t>
  </si>
  <si>
    <t>460029********6022</t>
  </si>
  <si>
    <t>130682********0680</t>
  </si>
  <si>
    <t>460028********0021</t>
  </si>
  <si>
    <t>460107********2320</t>
  </si>
  <si>
    <t>622727********7155</t>
  </si>
  <si>
    <t>460006********312X</t>
  </si>
  <si>
    <t>460028********2427</t>
  </si>
  <si>
    <t>460003********3049</t>
  </si>
  <si>
    <t>460030********4528</t>
  </si>
  <si>
    <t>460003********4667</t>
  </si>
  <si>
    <t>460006********5226</t>
  </si>
  <si>
    <t>460003********6863</t>
  </si>
  <si>
    <t>230229********0324</t>
  </si>
  <si>
    <t>460036********5227</t>
  </si>
  <si>
    <t>469003********2228</t>
  </si>
  <si>
    <t>460003********2626</t>
  </si>
  <si>
    <t>10502—儋州公路局-党建党务岗（九级管理）</t>
  </si>
  <si>
    <t>469003********2421</t>
  </si>
  <si>
    <t>460003********464X</t>
  </si>
  <si>
    <t>460200********2544</t>
  </si>
  <si>
    <t>460007********0025</t>
  </si>
  <si>
    <t>460003********4221</t>
  </si>
  <si>
    <t>460300********0620</t>
  </si>
  <si>
    <t>460007********4128</t>
  </si>
  <si>
    <t>513030********0364</t>
  </si>
  <si>
    <t>10503—儋州公路局-财务会计岗（九级管理）</t>
  </si>
  <si>
    <t>460103********2127</t>
  </si>
  <si>
    <t>460003********2821</t>
  </si>
  <si>
    <t>460003********1825</t>
  </si>
  <si>
    <t>469024********6423</t>
  </si>
  <si>
    <t>460004********0626</t>
  </si>
  <si>
    <t>460028********5622</t>
  </si>
  <si>
    <t>10504—儋州公路局-统计及信息化岗（九级管理）</t>
  </si>
  <si>
    <t>460003********7619</t>
  </si>
  <si>
    <t>469003********2782</t>
  </si>
  <si>
    <t>460003********2625</t>
  </si>
  <si>
    <t>460003********303X</t>
  </si>
  <si>
    <t>460003********4826</t>
  </si>
  <si>
    <t>10505—儋州公路局-路桥技术岗（九级管理）</t>
  </si>
  <si>
    <t>460003********765X</t>
  </si>
  <si>
    <t>460007********7227</t>
  </si>
  <si>
    <t>460003********1829</t>
  </si>
  <si>
    <t>460033********3877</t>
  </si>
  <si>
    <t>460003********1636</t>
  </si>
  <si>
    <t>340825********5010</t>
  </si>
  <si>
    <t>460003********7639</t>
  </si>
  <si>
    <t>460003********2810</t>
  </si>
  <si>
    <t>460003********3441</t>
  </si>
  <si>
    <t>460003********0017</t>
  </si>
  <si>
    <t>469003********2238</t>
  </si>
  <si>
    <t>532924********0019</t>
  </si>
  <si>
    <t>460003********2419</t>
  </si>
  <si>
    <t>460033********4857</t>
  </si>
  <si>
    <t>460035********3011</t>
  </si>
  <si>
    <t>460300********0618</t>
  </si>
  <si>
    <t>460003********0215</t>
  </si>
  <si>
    <t>130132********4103</t>
  </si>
  <si>
    <t>460028********0017</t>
  </si>
  <si>
    <t>460003********6616</t>
  </si>
  <si>
    <t>460003********2039</t>
  </si>
  <si>
    <t>460033********4631</t>
  </si>
  <si>
    <t>220523********0121</t>
  </si>
  <si>
    <t>460200********5710</t>
  </si>
  <si>
    <t>460003********301X</t>
  </si>
  <si>
    <t>460033********3234</t>
  </si>
  <si>
    <t>510504********1828</t>
  </si>
  <si>
    <t>460003********7034</t>
  </si>
  <si>
    <t>460003********2416</t>
  </si>
  <si>
    <t>620102********5027</t>
  </si>
  <si>
    <t>460003********4237</t>
  </si>
  <si>
    <t>460033********0376</t>
  </si>
  <si>
    <t>460004********403X</t>
  </si>
  <si>
    <t>460003********0024</t>
  </si>
  <si>
    <t>460003********3020</t>
  </si>
  <si>
    <t>460003********2616</t>
  </si>
  <si>
    <t>220122********0954</t>
  </si>
  <si>
    <t>460003********2855</t>
  </si>
  <si>
    <t>460200********0032</t>
  </si>
  <si>
    <t>460003********4433</t>
  </si>
  <si>
    <t>460033********4951</t>
  </si>
  <si>
    <t>460003********1824</t>
  </si>
  <si>
    <t>460003********081X</t>
  </si>
  <si>
    <t>460003********4615</t>
  </si>
  <si>
    <t>410183********5822</t>
  </si>
  <si>
    <t>232724********0017</t>
  </si>
  <si>
    <t>460003********0239</t>
  </si>
  <si>
    <t>460003********4631</t>
  </si>
  <si>
    <t>460003********0012</t>
  </si>
  <si>
    <t>460028********2493</t>
  </si>
  <si>
    <t>460003********3250</t>
  </si>
  <si>
    <t>460003********6612</t>
  </si>
  <si>
    <t>460003********4816</t>
  </si>
  <si>
    <t>460003********2670</t>
  </si>
  <si>
    <t>150429********4620</t>
  </si>
  <si>
    <t>460003********3816</t>
  </si>
  <si>
    <t>460300********0613</t>
  </si>
  <si>
    <t>150426********001X</t>
  </si>
  <si>
    <t>460027********003X</t>
  </si>
  <si>
    <t>460003********2410</t>
  </si>
  <si>
    <t>130425********5533</t>
  </si>
  <si>
    <t>410901********4071</t>
  </si>
  <si>
    <t>460003********2432</t>
  </si>
  <si>
    <t>10506—儋州公路局-法律法务岗（九级管理）</t>
  </si>
  <si>
    <t>460003********2218</t>
  </si>
  <si>
    <t>469003********5323</t>
  </si>
  <si>
    <t>469003********5628</t>
  </si>
  <si>
    <t>460300********0040</t>
  </si>
  <si>
    <t>460033********7162</t>
  </si>
  <si>
    <t>460031********4827</t>
  </si>
  <si>
    <t>460003********0233</t>
  </si>
  <si>
    <t>460003********6632</t>
  </si>
  <si>
    <t>460003********6027</t>
  </si>
  <si>
    <t>460003********3239</t>
  </si>
  <si>
    <t>460003********7240</t>
  </si>
  <si>
    <t>10507—儋州公路局-安全生产管理岗（九级管理）</t>
  </si>
  <si>
    <t>460003********2671</t>
  </si>
  <si>
    <t>460003********7255</t>
  </si>
  <si>
    <t>460003********241X</t>
  </si>
  <si>
    <t>460200********0015</t>
  </si>
  <si>
    <t>460003********3280</t>
  </si>
  <si>
    <t>460003********3451</t>
  </si>
  <si>
    <t>430424********4811</t>
  </si>
  <si>
    <t>460003********001X</t>
  </si>
  <si>
    <t>460003********2415</t>
  </si>
  <si>
    <t>460103********1816</t>
  </si>
  <si>
    <t>460003********0411</t>
  </si>
  <si>
    <t>460003********0037</t>
  </si>
  <si>
    <t>460003********5821</t>
  </si>
  <si>
    <t>460003********0630</t>
  </si>
  <si>
    <t>469003********673X</t>
  </si>
  <si>
    <t>460003********2630</t>
  </si>
  <si>
    <t>460003********3418</t>
  </si>
  <si>
    <t>460300********0312</t>
  </si>
  <si>
    <t>460003********6650</t>
  </si>
  <si>
    <t>460003********1813</t>
  </si>
  <si>
    <t>460003********2413</t>
  </si>
  <si>
    <t>460033********5077</t>
  </si>
  <si>
    <t>460003********3228</t>
  </si>
  <si>
    <t>460003********0019</t>
  </si>
  <si>
    <t>460028********3216</t>
  </si>
  <si>
    <t>10508—儋州公路局-筑路机械与材料管理岗（九级管理）</t>
  </si>
  <si>
    <t>360203********1012</t>
  </si>
  <si>
    <t>232302********0418</t>
  </si>
  <si>
    <t>460006********651X</t>
  </si>
  <si>
    <t>460028********0892</t>
  </si>
  <si>
    <t>460003********0436</t>
  </si>
  <si>
    <t>152224********0531</t>
  </si>
  <si>
    <t>460028********2019</t>
  </si>
  <si>
    <t>460007********5018</t>
  </si>
  <si>
    <t>460003********0216</t>
  </si>
  <si>
    <t>460003********3010</t>
  </si>
  <si>
    <t>460003********7430</t>
  </si>
  <si>
    <t>460003********4217</t>
  </si>
  <si>
    <t>460003********2217</t>
  </si>
  <si>
    <t>460004********0417</t>
  </si>
  <si>
    <t>460003********1832</t>
  </si>
  <si>
    <t>460003********3074</t>
  </si>
  <si>
    <t>460003********2456</t>
  </si>
  <si>
    <t>469003********6715</t>
  </si>
  <si>
    <t>460031********5634</t>
  </si>
  <si>
    <t>460002********1022</t>
  </si>
  <si>
    <t>460003********0014</t>
  </si>
  <si>
    <t>460028********4816</t>
  </si>
  <si>
    <t>469007********7214</t>
  </si>
  <si>
    <t>460027********853X</t>
  </si>
  <si>
    <t>460035********3038</t>
  </si>
  <si>
    <t>460003********0219</t>
  </si>
  <si>
    <t>210106********0937</t>
  </si>
  <si>
    <t>460003********0418</t>
  </si>
  <si>
    <t>460003********6216</t>
  </si>
  <si>
    <t>460300********009X</t>
  </si>
  <si>
    <t>460003********7235</t>
  </si>
  <si>
    <t>460031********5212</t>
  </si>
  <si>
    <t>460003********523X</t>
  </si>
  <si>
    <t>460003********2819</t>
  </si>
  <si>
    <t>460300********0616</t>
  </si>
  <si>
    <t>460028********0419</t>
  </si>
  <si>
    <t>460028********1219</t>
  </si>
  <si>
    <t>460031********1211</t>
  </si>
  <si>
    <t>460003********3459</t>
  </si>
  <si>
    <t>130731********0021</t>
  </si>
  <si>
    <t>460003********8218</t>
  </si>
  <si>
    <t>460028********7222</t>
  </si>
  <si>
    <t>460003********2850</t>
  </si>
  <si>
    <t>460028********5221</t>
  </si>
  <si>
    <t>460003********3817</t>
  </si>
  <si>
    <t>469003********3515</t>
  </si>
  <si>
    <t>460003********0232</t>
  </si>
  <si>
    <t>362202********507X</t>
  </si>
  <si>
    <t>460003********225X</t>
  </si>
  <si>
    <t>460003********4453</t>
  </si>
  <si>
    <t>460033********3232</t>
  </si>
  <si>
    <t>460007********0811</t>
  </si>
  <si>
    <t>460031********0011</t>
  </si>
  <si>
    <t>460003********3050</t>
  </si>
  <si>
    <t>460003********4038</t>
  </si>
  <si>
    <t>460003********0430</t>
  </si>
  <si>
    <t>460003********4434</t>
  </si>
  <si>
    <t>460007********0030</t>
  </si>
  <si>
    <t>460031********4816</t>
  </si>
  <si>
    <t>460003********2813</t>
  </si>
  <si>
    <t>460003********7635</t>
  </si>
  <si>
    <t>460003********3832</t>
  </si>
  <si>
    <t>460300********0635</t>
  </si>
  <si>
    <t>460031********1232</t>
  </si>
  <si>
    <t>460028********5617</t>
  </si>
  <si>
    <t>340881********0811</t>
  </si>
  <si>
    <t>460007********5371</t>
  </si>
  <si>
    <t>460028********5611</t>
  </si>
  <si>
    <t>460003********0454</t>
  </si>
  <si>
    <t>460007********4992</t>
  </si>
  <si>
    <t>460003********0040</t>
  </si>
  <si>
    <t>460300********0011</t>
  </si>
  <si>
    <t>460003********6617</t>
  </si>
  <si>
    <t>460003********4610</t>
  </si>
  <si>
    <t>460003********0612</t>
  </si>
  <si>
    <t>460007********7631</t>
  </si>
  <si>
    <t>460200********0270</t>
  </si>
  <si>
    <t>460003********2215</t>
  </si>
  <si>
    <t>460007********0034</t>
  </si>
  <si>
    <t>460027********1715</t>
  </si>
  <si>
    <t>460003********6673</t>
  </si>
  <si>
    <t>460003********6668</t>
  </si>
  <si>
    <t>460004********5213</t>
  </si>
  <si>
    <t>460003********2617</t>
  </si>
  <si>
    <t>420582********3594</t>
  </si>
  <si>
    <t>460006********2419</t>
  </si>
  <si>
    <t>460028********5229</t>
  </si>
  <si>
    <t>460003********2231</t>
  </si>
  <si>
    <t>460003********6239</t>
  </si>
  <si>
    <t>362202********7630</t>
  </si>
  <si>
    <t>460007********5775</t>
  </si>
  <si>
    <t>612401********7138</t>
  </si>
  <si>
    <t>460003********3423</t>
  </si>
  <si>
    <t>460003********2811</t>
  </si>
  <si>
    <t>460003********2815</t>
  </si>
  <si>
    <t>211324********0015</t>
  </si>
  <si>
    <t>210703********2075</t>
  </si>
  <si>
    <t>460007********721X</t>
  </si>
  <si>
    <t>460003********2411</t>
  </si>
  <si>
    <t>460003********5411</t>
  </si>
  <si>
    <t>10601—文昌公路分局-园林技术岗（十二级专技）</t>
  </si>
  <si>
    <t>460003********0228</t>
  </si>
  <si>
    <t>460002********002X</t>
  </si>
  <si>
    <t>460036********3521</t>
  </si>
  <si>
    <t>371581********1753</t>
  </si>
  <si>
    <t>460026********392X</t>
  </si>
  <si>
    <t>460104********0022</t>
  </si>
  <si>
    <t>460003********7611</t>
  </si>
  <si>
    <t>421123********7648</t>
  </si>
  <si>
    <t>612401********2889</t>
  </si>
  <si>
    <t>460027********4775</t>
  </si>
  <si>
    <t>421122********6839</t>
  </si>
  <si>
    <t>460002********4126</t>
  </si>
  <si>
    <t>460028********5222</t>
  </si>
  <si>
    <t>460031********3241</t>
  </si>
  <si>
    <t>460103********0046</t>
  </si>
  <si>
    <t>460002********4620</t>
  </si>
  <si>
    <t>460033********0038</t>
  </si>
  <si>
    <t>460004********4446</t>
  </si>
  <si>
    <t>460032********7645</t>
  </si>
  <si>
    <t>469023********0024</t>
  </si>
  <si>
    <t>469023********3727</t>
  </si>
  <si>
    <t>460028********0060</t>
  </si>
  <si>
    <t>410322********9874</t>
  </si>
  <si>
    <t>460005********4515</t>
  </si>
  <si>
    <t>130602********0948</t>
  </si>
  <si>
    <t>469007********7643</t>
  </si>
  <si>
    <t>421125********8238</t>
  </si>
  <si>
    <t>460004********2855</t>
  </si>
  <si>
    <t>460103********331X</t>
  </si>
  <si>
    <t>460200********4447</t>
  </si>
  <si>
    <t>460022********1215</t>
  </si>
  <si>
    <t>460004********0243</t>
  </si>
  <si>
    <t>460102********3325</t>
  </si>
  <si>
    <t>460003********284X</t>
  </si>
  <si>
    <t>460104********0921</t>
  </si>
  <si>
    <t>460006********0219</t>
  </si>
  <si>
    <t>460022********5122</t>
  </si>
  <si>
    <t>460034********121X</t>
  </si>
  <si>
    <t>460028********3611</t>
  </si>
  <si>
    <t>460022********0012</t>
  </si>
  <si>
    <t>460004********4621</t>
  </si>
  <si>
    <t>460003********7428</t>
  </si>
  <si>
    <t>460004********4215</t>
  </si>
  <si>
    <t>460025********0038</t>
  </si>
  <si>
    <t>230103********4284</t>
  </si>
  <si>
    <t>460004********0447</t>
  </si>
  <si>
    <t>460033********4505</t>
  </si>
  <si>
    <t>460004********5629</t>
  </si>
  <si>
    <t>460004********0048</t>
  </si>
  <si>
    <t>431026********0027</t>
  </si>
  <si>
    <t>230106********0027</t>
  </si>
  <si>
    <t>460004********3816</t>
  </si>
  <si>
    <t>460027********6223</t>
  </si>
  <si>
    <t>460004********5646</t>
  </si>
  <si>
    <t>460028********3281</t>
  </si>
  <si>
    <t>460007********001X</t>
  </si>
  <si>
    <t>460025********3022</t>
  </si>
  <si>
    <t>460005********3044</t>
  </si>
  <si>
    <t>460005********0725</t>
  </si>
  <si>
    <t>460104********0325</t>
  </si>
  <si>
    <t>450305********1011</t>
  </si>
  <si>
    <t>460004********0841</t>
  </si>
  <si>
    <t>460026********002X</t>
  </si>
  <si>
    <t>520424********9831</t>
  </si>
  <si>
    <t>460005********0548</t>
  </si>
  <si>
    <t>460028********6029</t>
  </si>
  <si>
    <t>460006********0419</t>
  </si>
  <si>
    <t>460025********3346</t>
  </si>
  <si>
    <t>460028********4837</t>
  </si>
  <si>
    <t>522132********8526</t>
  </si>
  <si>
    <t>460027********4445</t>
  </si>
  <si>
    <t>460022********0028</t>
  </si>
  <si>
    <t>460004********2624</t>
  </si>
  <si>
    <t>320581********0246</t>
  </si>
  <si>
    <t>460028********6414</t>
  </si>
  <si>
    <t>140107********0610</t>
  </si>
  <si>
    <t>460005********3227</t>
  </si>
  <si>
    <t>460025********184X</t>
  </si>
  <si>
    <t>460004********3643</t>
  </si>
  <si>
    <t>460025********2410</t>
  </si>
  <si>
    <t>460004********4025</t>
  </si>
  <si>
    <t>460025********3328</t>
  </si>
  <si>
    <t>460022********1222</t>
  </si>
  <si>
    <t>460102********0317</t>
  </si>
  <si>
    <t>460025********002X</t>
  </si>
  <si>
    <t>452123********4027</t>
  </si>
  <si>
    <t>460004********0821</t>
  </si>
  <si>
    <t>460026********0989</t>
  </si>
  <si>
    <t>460033********4808</t>
  </si>
  <si>
    <t>460028********0431</t>
  </si>
  <si>
    <t>469024********2427</t>
  </si>
  <si>
    <t>469007********4988</t>
  </si>
  <si>
    <t>460022********1024</t>
  </si>
  <si>
    <t>460034********0445</t>
  </si>
  <si>
    <t>460036********2714</t>
  </si>
  <si>
    <t>460104********0324</t>
  </si>
  <si>
    <t>469007********5864</t>
  </si>
  <si>
    <t>421002********1412</t>
  </si>
  <si>
    <t>460031********084X</t>
  </si>
  <si>
    <t>460028********2015</t>
  </si>
  <si>
    <t>460102********2120</t>
  </si>
  <si>
    <t>460005********2122</t>
  </si>
  <si>
    <t>460006********682X</t>
  </si>
  <si>
    <t>460004********0641</t>
  </si>
  <si>
    <t>460026********0929</t>
  </si>
  <si>
    <t>460028********3622</t>
  </si>
  <si>
    <t>460028********0445</t>
  </si>
  <si>
    <t>652301********1512</t>
  </si>
  <si>
    <t>460104********0922</t>
  </si>
  <si>
    <t>460022********1026</t>
  </si>
  <si>
    <t>620202********0663</t>
  </si>
  <si>
    <t>460200********2089</t>
  </si>
  <si>
    <t>460006********0724</t>
  </si>
  <si>
    <t>140106********1844</t>
  </si>
  <si>
    <t>460004********4815</t>
  </si>
  <si>
    <t>372930********0060</t>
  </si>
  <si>
    <t>460004********3627</t>
  </si>
  <si>
    <t>420921********558X</t>
  </si>
  <si>
    <t>469003********5020</t>
  </si>
  <si>
    <t>460004********366X</t>
  </si>
  <si>
    <t>460104********121X</t>
  </si>
  <si>
    <t>460022********1526</t>
  </si>
  <si>
    <t>460003********5225</t>
  </si>
  <si>
    <t>460027********0014</t>
  </si>
  <si>
    <t>460022********0717</t>
  </si>
  <si>
    <t>460005********0028</t>
  </si>
  <si>
    <t>460025********0920</t>
  </si>
  <si>
    <t>460004********6625</t>
  </si>
  <si>
    <t>460028********8024</t>
  </si>
  <si>
    <t>460005********1726</t>
  </si>
  <si>
    <t>130729********0047</t>
  </si>
  <si>
    <t>460002********4112</t>
  </si>
  <si>
    <t>460004********4089</t>
  </si>
  <si>
    <t>412824********475X</t>
  </si>
  <si>
    <t>460028********0034</t>
  </si>
  <si>
    <t>372930********0042</t>
  </si>
  <si>
    <t>460025********0327</t>
  </si>
  <si>
    <t>432301********0021</t>
  </si>
  <si>
    <t>460004********1823</t>
  </si>
  <si>
    <t>522101********2024</t>
  </si>
  <si>
    <t>10602—文昌公路分局-安全生产管理岗（九级管理）</t>
  </si>
  <si>
    <t>460030********002X</t>
  </si>
  <si>
    <t>460033********3291</t>
  </si>
  <si>
    <t>469024********0414</t>
  </si>
  <si>
    <t>460028********8011</t>
  </si>
  <si>
    <t>460006********131X</t>
  </si>
  <si>
    <t>460022********2134</t>
  </si>
  <si>
    <t>230523********0419</t>
  </si>
  <si>
    <t>142729********0020</t>
  </si>
  <si>
    <t>469021********2421</t>
  </si>
  <si>
    <t>460021********4011</t>
  </si>
  <si>
    <t>460032********7613</t>
  </si>
  <si>
    <t>460026********0046</t>
  </si>
  <si>
    <t>370829********6635</t>
  </si>
  <si>
    <t>220302********062X</t>
  </si>
  <si>
    <t>460002********4111</t>
  </si>
  <si>
    <t>469027********4771</t>
  </si>
  <si>
    <t>460028********0836</t>
  </si>
  <si>
    <t>469003********5914</t>
  </si>
  <si>
    <t>460004********121X</t>
  </si>
  <si>
    <t>460003********3471</t>
  </si>
  <si>
    <t>460022********4813</t>
  </si>
  <si>
    <t>460027********0412</t>
  </si>
  <si>
    <t>460004********4610</t>
  </si>
  <si>
    <t>460002********6017</t>
  </si>
  <si>
    <t>460004********042X</t>
  </si>
  <si>
    <t>460027********6213</t>
  </si>
  <si>
    <t>460005********4536</t>
  </si>
  <si>
    <t>460102********1223</t>
  </si>
  <si>
    <t>460028********721X</t>
  </si>
  <si>
    <t>432503********0048</t>
  </si>
  <si>
    <t>522125********1912</t>
  </si>
  <si>
    <t>460025********2150</t>
  </si>
  <si>
    <t>460102********2719</t>
  </si>
  <si>
    <t>460003********7615</t>
  </si>
  <si>
    <t>460028********1657</t>
  </si>
  <si>
    <t>10603—文昌公路分局-财务会计岗（九级管理）</t>
  </si>
  <si>
    <t>460022********3927</t>
  </si>
  <si>
    <t>460102********0334</t>
  </si>
  <si>
    <t>460028********2418</t>
  </si>
  <si>
    <t>460005********3521</t>
  </si>
  <si>
    <t>460005********2347</t>
  </si>
  <si>
    <t>460027********0036</t>
  </si>
  <si>
    <t>460005********0727</t>
  </si>
  <si>
    <t>130731********0029</t>
  </si>
  <si>
    <t>460028********0036</t>
  </si>
  <si>
    <t>460033********3585</t>
  </si>
  <si>
    <t>460005********1228</t>
  </si>
  <si>
    <t>460022********0010</t>
  </si>
  <si>
    <t>460006********8721</t>
  </si>
  <si>
    <t>460005********2127</t>
  </si>
  <si>
    <t>460022********3262</t>
  </si>
  <si>
    <t>460001********0366</t>
  </si>
  <si>
    <t>460028********0422</t>
  </si>
  <si>
    <t>460005********5127</t>
  </si>
  <si>
    <t>230321********6204</t>
  </si>
  <si>
    <t>460005********0012</t>
  </si>
  <si>
    <t>460027********4729</t>
  </si>
  <si>
    <t>460004********5810</t>
  </si>
  <si>
    <t>460031********0427</t>
  </si>
  <si>
    <t>460022********0742</t>
  </si>
  <si>
    <t>469005********482X</t>
  </si>
  <si>
    <t>460003********0416</t>
  </si>
  <si>
    <t>460022********483X</t>
  </si>
  <si>
    <t>460027********104X</t>
  </si>
  <si>
    <t>622427********0201</t>
  </si>
  <si>
    <t>441481********4394</t>
  </si>
  <si>
    <t>460027********1372</t>
  </si>
  <si>
    <t>460033********4476</t>
  </si>
  <si>
    <t>460027********792X</t>
  </si>
  <si>
    <t>640322********0043</t>
  </si>
  <si>
    <t>460002********4429</t>
  </si>
  <si>
    <t>460103********1220</t>
  </si>
  <si>
    <t>460104********0026</t>
  </si>
  <si>
    <t>460007********0423</t>
  </si>
  <si>
    <t>460022********2312</t>
  </si>
  <si>
    <t>460004********0833</t>
  </si>
  <si>
    <t>460005********3241</t>
  </si>
  <si>
    <t>460005********6025</t>
  </si>
  <si>
    <t>500233********2182</t>
  </si>
  <si>
    <t>460102********1241</t>
  </si>
  <si>
    <t>460004********005X</t>
  </si>
  <si>
    <t>460006********6820</t>
  </si>
  <si>
    <t>460026********3922</t>
  </si>
  <si>
    <t>460006********232X</t>
  </si>
  <si>
    <t>460022********1028</t>
  </si>
  <si>
    <t>460200********2303</t>
  </si>
  <si>
    <t>460005********1716</t>
  </si>
  <si>
    <t>460004********5825</t>
  </si>
  <si>
    <t>460200********1207</t>
  </si>
  <si>
    <t>460022********4320</t>
  </si>
  <si>
    <t>460006********0026</t>
  </si>
  <si>
    <t>460004********1036</t>
  </si>
  <si>
    <t>460033********1183</t>
  </si>
  <si>
    <t>469005********3924</t>
  </si>
  <si>
    <t>460027********5924</t>
  </si>
  <si>
    <t>460035********1923</t>
  </si>
  <si>
    <t>460006********3187</t>
  </si>
  <si>
    <t>460003********4247</t>
  </si>
  <si>
    <t>460103********2114</t>
  </si>
  <si>
    <t>460102********0647</t>
  </si>
  <si>
    <t>421182********0229</t>
  </si>
  <si>
    <t>460005********3026</t>
  </si>
  <si>
    <t>460027********0423</t>
  </si>
  <si>
    <t>460007********7664</t>
  </si>
  <si>
    <t>460003********4722</t>
  </si>
  <si>
    <t>460035********0028</t>
  </si>
  <si>
    <t>460007********5364</t>
  </si>
  <si>
    <t>460004********6022</t>
  </si>
  <si>
    <t>340881********1226</t>
  </si>
  <si>
    <t>460031********1226</t>
  </si>
  <si>
    <t>460006********4641</t>
  </si>
  <si>
    <t>460028********7228</t>
  </si>
  <si>
    <t>460002********3810</t>
  </si>
  <si>
    <t>460004********0624</t>
  </si>
  <si>
    <t>150124********2763</t>
  </si>
  <si>
    <t>510703********002X</t>
  </si>
  <si>
    <t>460007********0026</t>
  </si>
  <si>
    <t>460022********0021</t>
  </si>
  <si>
    <t>460103********092X</t>
  </si>
  <si>
    <t>460002********4826</t>
  </si>
  <si>
    <t>460004********1224</t>
  </si>
  <si>
    <t>460033********0035</t>
  </si>
  <si>
    <t>441502********0241</t>
  </si>
  <si>
    <t>460004********3028</t>
  </si>
  <si>
    <t>460027********1721</t>
  </si>
  <si>
    <t>460022********1023</t>
  </si>
  <si>
    <t>460005********4124</t>
  </si>
  <si>
    <t>460022********3223</t>
  </si>
  <si>
    <t>460005********0544</t>
  </si>
  <si>
    <t>460003********5221</t>
  </si>
  <si>
    <t>460033********4628</t>
  </si>
  <si>
    <t>460002********1823</t>
  </si>
  <si>
    <t>460005********5128</t>
  </si>
  <si>
    <t>460005********3211</t>
  </si>
  <si>
    <t>460004********5424</t>
  </si>
  <si>
    <t>230602********7527</t>
  </si>
  <si>
    <t>460003********2848</t>
  </si>
  <si>
    <t>450922********370X</t>
  </si>
  <si>
    <t>371002********1028</t>
  </si>
  <si>
    <t>460033********4206</t>
  </si>
  <si>
    <t>460004********3221</t>
  </si>
  <si>
    <t>460005********482X</t>
  </si>
  <si>
    <t>460028********8013</t>
  </si>
  <si>
    <t>460006********2345</t>
  </si>
  <si>
    <t>460200********5537</t>
  </si>
  <si>
    <t>460106********2826</t>
  </si>
  <si>
    <t>460022********0722</t>
  </si>
  <si>
    <t>460003********2226</t>
  </si>
  <si>
    <t>460022********2522</t>
  </si>
  <si>
    <t>469005********072X</t>
  </si>
  <si>
    <t>460005********3016</t>
  </si>
  <si>
    <t>460004********1866</t>
  </si>
  <si>
    <t>469005********4321</t>
  </si>
  <si>
    <t>460033********6005</t>
  </si>
  <si>
    <t>230703********0128</t>
  </si>
  <si>
    <t>460005********2728</t>
  </si>
  <si>
    <t>460005********0722</t>
  </si>
  <si>
    <t>460022********6022</t>
  </si>
  <si>
    <t>460006********842X</t>
  </si>
  <si>
    <t>460102********3045</t>
  </si>
  <si>
    <t>460022********0034</t>
  </si>
  <si>
    <t>460006********0611</t>
  </si>
  <si>
    <t>460200********0035</t>
  </si>
  <si>
    <t>130223********0610</t>
  </si>
  <si>
    <t>460022********4524</t>
  </si>
  <si>
    <t>360702********067X</t>
  </si>
  <si>
    <t>460003********3025</t>
  </si>
  <si>
    <t>460028********002X</t>
  </si>
  <si>
    <t>460005********052X</t>
  </si>
  <si>
    <t>460003********6628</t>
  </si>
  <si>
    <t>460022********0324</t>
  </si>
  <si>
    <t>460102********0016</t>
  </si>
  <si>
    <t>140181********0212</t>
  </si>
  <si>
    <t>10604—文昌公路分局-法律法务岗（九级管理）</t>
  </si>
  <si>
    <t>432522********8182</t>
  </si>
  <si>
    <t>460004********062X</t>
  </si>
  <si>
    <t>445281********3757</t>
  </si>
  <si>
    <t>469024********0024</t>
  </si>
  <si>
    <t>460004********5822</t>
  </si>
  <si>
    <t>460034********0459</t>
  </si>
  <si>
    <t>460003********4224</t>
  </si>
  <si>
    <t>460102********2429</t>
  </si>
  <si>
    <t>460103********0315</t>
  </si>
  <si>
    <t>460003********0623</t>
  </si>
  <si>
    <t>460004********2725</t>
  </si>
  <si>
    <t>460030********394X</t>
  </si>
  <si>
    <t>10605—文昌公路分局-统计及信息化岗（十二级专技）</t>
  </si>
  <si>
    <t>460005********0527</t>
  </si>
  <si>
    <t>460006********8124</t>
  </si>
  <si>
    <t>440882********8627</t>
  </si>
  <si>
    <t>460004********1417</t>
  </si>
  <si>
    <t>610502********7423</t>
  </si>
  <si>
    <t>10606—文昌公路分局-文秘岗（九级管理）</t>
  </si>
  <si>
    <t>460103********3648</t>
  </si>
  <si>
    <t>460102********0326</t>
  </si>
  <si>
    <t>500381********6028</t>
  </si>
  <si>
    <t>10608—文昌公路分局-路桥技术岗（十二级专技）</t>
  </si>
  <si>
    <t>460005********3911</t>
  </si>
  <si>
    <t>460102********0318</t>
  </si>
  <si>
    <t>460004********2635</t>
  </si>
  <si>
    <t>460004********422X</t>
  </si>
  <si>
    <t>460022********231X</t>
  </si>
  <si>
    <t>460022********1237</t>
  </si>
  <si>
    <t>460005********4858</t>
  </si>
  <si>
    <t>460003********0613</t>
  </si>
  <si>
    <t>460005********2722</t>
  </si>
  <si>
    <t>460002********321X</t>
  </si>
  <si>
    <t>460034********0456</t>
  </si>
  <si>
    <t>460006********0615</t>
  </si>
  <si>
    <t>460022********3948</t>
  </si>
  <si>
    <t>460022********2729</t>
  </si>
  <si>
    <t>142301********0070</t>
  </si>
  <si>
    <t>460106********4415</t>
  </si>
  <si>
    <t>460022********0710</t>
  </si>
  <si>
    <t>460031********0018</t>
  </si>
  <si>
    <t>460034********5511</t>
  </si>
  <si>
    <t>469003********2710</t>
  </si>
  <si>
    <t>460022********6012</t>
  </si>
  <si>
    <t>460002********1015</t>
  </si>
  <si>
    <t>460033********4199</t>
  </si>
  <si>
    <t>460026********4823</t>
  </si>
  <si>
    <t>230107********1523</t>
  </si>
  <si>
    <t>460005********2517</t>
  </si>
  <si>
    <t>460022********4812</t>
  </si>
  <si>
    <t>460004********081X</t>
  </si>
  <si>
    <t>460102********1812</t>
  </si>
  <si>
    <t>460022********0018</t>
  </si>
  <si>
    <t>460002********4929</t>
  </si>
  <si>
    <t>431121********0030</t>
  </si>
  <si>
    <t>152325********0014</t>
  </si>
  <si>
    <t>469028********4714</t>
  </si>
  <si>
    <t>460200********0532</t>
  </si>
  <si>
    <t>460026********4532</t>
  </si>
  <si>
    <t>460006********4037</t>
  </si>
  <si>
    <t>460006********4415</t>
  </si>
  <si>
    <t>460033********479X</t>
  </si>
  <si>
    <t>460005********3216</t>
  </si>
  <si>
    <t>10609—文昌公路分局-筑路机械与材料管理岗（九级管理）</t>
  </si>
  <si>
    <t>460005********4518</t>
  </si>
  <si>
    <t>220821********0011</t>
  </si>
  <si>
    <t>460004********5035</t>
  </si>
  <si>
    <t>460025********425X</t>
  </si>
  <si>
    <t>460022********4162</t>
  </si>
  <si>
    <t>450422********1716</t>
  </si>
  <si>
    <t>460104********0910</t>
  </si>
  <si>
    <t>460104********0936</t>
  </si>
  <si>
    <t>460001********0717</t>
  </si>
  <si>
    <t>460004********4034</t>
  </si>
  <si>
    <t>460006********4076</t>
  </si>
  <si>
    <t>460007********0437</t>
  </si>
  <si>
    <t>460022********5113</t>
  </si>
  <si>
    <t>460028********0832</t>
  </si>
  <si>
    <t>440803********2420</t>
  </si>
  <si>
    <t>460032********0855</t>
  </si>
  <si>
    <t>460103********0319</t>
  </si>
  <si>
    <t>460022********2714</t>
  </si>
  <si>
    <t>460004********3212</t>
  </si>
  <si>
    <t>460002********2518</t>
  </si>
  <si>
    <t>460022********1714</t>
  </si>
  <si>
    <t>460031********0817</t>
  </si>
  <si>
    <t>469003********6117</t>
  </si>
  <si>
    <t>230604********4115</t>
  </si>
  <si>
    <t>460200********4909</t>
  </si>
  <si>
    <t>460004********3437</t>
  </si>
  <si>
    <t>460033********5070</t>
  </si>
  <si>
    <t>460002********3816</t>
  </si>
  <si>
    <t>460027********5680</t>
  </si>
  <si>
    <t>460006********3718</t>
  </si>
  <si>
    <t>460006********4057</t>
  </si>
  <si>
    <t>460005********2117</t>
  </si>
  <si>
    <t>460002********2510</t>
  </si>
  <si>
    <t>460034********5837</t>
  </si>
  <si>
    <t>460200********2295</t>
  </si>
  <si>
    <t>460027********2311</t>
  </si>
  <si>
    <t>460028********0814</t>
  </si>
  <si>
    <t>460006********1634</t>
  </si>
  <si>
    <t>211203********4019</t>
  </si>
  <si>
    <t>460102********1898</t>
  </si>
  <si>
    <t>460004********5815</t>
  </si>
  <si>
    <t>510703********9537</t>
  </si>
  <si>
    <t>152634********0314</t>
  </si>
  <si>
    <t>460002********4614</t>
  </si>
  <si>
    <t>460027********8510</t>
  </si>
  <si>
    <t>460027********2019</t>
  </si>
  <si>
    <t>460104********0611</t>
  </si>
  <si>
    <t>460027********2015</t>
  </si>
  <si>
    <t>460004********2616</t>
  </si>
  <si>
    <t>469023********0010</t>
  </si>
  <si>
    <t>460006********4455</t>
  </si>
  <si>
    <t>460003********0213</t>
  </si>
  <si>
    <t>420322********3319</t>
  </si>
  <si>
    <t>220122********0718</t>
  </si>
  <si>
    <t>460030********1813</t>
  </si>
  <si>
    <t>460104********0930</t>
  </si>
  <si>
    <t>469023********0418</t>
  </si>
  <si>
    <t>460034********0432</t>
  </si>
  <si>
    <t>460004********4055</t>
  </si>
  <si>
    <t>232302********1011</t>
  </si>
  <si>
    <t>460005********5617</t>
  </si>
  <si>
    <t>460034********3018</t>
  </si>
  <si>
    <t>460035********1131</t>
  </si>
  <si>
    <t>460035********1920</t>
  </si>
  <si>
    <t>460002********0316</t>
  </si>
  <si>
    <t>421123********0099</t>
  </si>
  <si>
    <t>460004********2617</t>
  </si>
  <si>
    <t>460103********2714</t>
  </si>
  <si>
    <t>460022********1211</t>
  </si>
  <si>
    <t>460004********4040</t>
  </si>
  <si>
    <t>460103********2113</t>
  </si>
  <si>
    <t>620422********0239</t>
  </si>
  <si>
    <t>460025********0611</t>
  </si>
  <si>
    <t>460027********0634</t>
  </si>
  <si>
    <t>350583********1076</t>
  </si>
  <si>
    <t>10701—定安公路分局-文秘岗（九级管理）</t>
  </si>
  <si>
    <t>460004********5046</t>
  </si>
  <si>
    <t>460025********4811</t>
  </si>
  <si>
    <t>460034********5026</t>
  </si>
  <si>
    <t>460028********324X</t>
  </si>
  <si>
    <t>469021********0919</t>
  </si>
  <si>
    <t>469025********0923</t>
  </si>
  <si>
    <t>460026********1523</t>
  </si>
  <si>
    <t>460107********2619</t>
  </si>
  <si>
    <t>460004********2227</t>
  </si>
  <si>
    <t>10703—定安公路分局-园林技术岗（十二级专技）</t>
  </si>
  <si>
    <t>460103********2722</t>
  </si>
  <si>
    <t>460007********616X</t>
  </si>
  <si>
    <t>469027********4780</t>
  </si>
  <si>
    <t>412822********3093</t>
  </si>
  <si>
    <t>460003********2648</t>
  </si>
  <si>
    <t>460026********1212</t>
  </si>
  <si>
    <t>460027********1380</t>
  </si>
  <si>
    <t>460028********5214</t>
  </si>
  <si>
    <t>460006********4427</t>
  </si>
  <si>
    <t>460007********5001</t>
  </si>
  <si>
    <t>460006********401X</t>
  </si>
  <si>
    <t>460006********3428</t>
  </si>
  <si>
    <t>460003********5427</t>
  </si>
  <si>
    <t>460034********0013</t>
  </si>
  <si>
    <t>460033********7475</t>
  </si>
  <si>
    <t>340102********0544</t>
  </si>
  <si>
    <t>130225********004X</t>
  </si>
  <si>
    <t>460031********5213</t>
  </si>
  <si>
    <t>460006********2346</t>
  </si>
  <si>
    <t>460006********8120</t>
  </si>
  <si>
    <t>460102********0917</t>
  </si>
  <si>
    <t>460004********0213</t>
  </si>
  <si>
    <t>460103********1246</t>
  </si>
  <si>
    <t>460025********0016</t>
  </si>
  <si>
    <t>460027********0030</t>
  </si>
  <si>
    <t>460002********3843</t>
  </si>
  <si>
    <t>460007********0035</t>
  </si>
  <si>
    <t>340881********5320</t>
  </si>
  <si>
    <t>460006********1621</t>
  </si>
  <si>
    <t>460006********5221</t>
  </si>
  <si>
    <t>230521********002X</t>
  </si>
  <si>
    <t>460103********1823</t>
  </si>
  <si>
    <t>460003********0022</t>
  </si>
  <si>
    <t>460028********1224</t>
  </si>
  <si>
    <t>460006********0649</t>
  </si>
  <si>
    <t>460200********0279</t>
  </si>
  <si>
    <t>421126********6624</t>
  </si>
  <si>
    <t>460102********0925</t>
  </si>
  <si>
    <t>469021********3622</t>
  </si>
  <si>
    <t>460021********4422</t>
  </si>
  <si>
    <t>460025********2748</t>
  </si>
  <si>
    <t>460002********382X</t>
  </si>
  <si>
    <t>460004********1220</t>
  </si>
  <si>
    <t>460034********1253</t>
  </si>
  <si>
    <t>460025********1252</t>
  </si>
  <si>
    <t>152103********1519</t>
  </si>
  <si>
    <t>460103********3615</t>
  </si>
  <si>
    <t>330781********5914</t>
  </si>
  <si>
    <t>430703********926X</t>
  </si>
  <si>
    <t>460031********0040</t>
  </si>
  <si>
    <t>460027********7029</t>
  </si>
  <si>
    <t>142730********0611</t>
  </si>
  <si>
    <t>460004********4845</t>
  </si>
  <si>
    <t>460033********3247</t>
  </si>
  <si>
    <t>460004********0612</t>
  </si>
  <si>
    <t>430426********8293</t>
  </si>
  <si>
    <t>460004********3620</t>
  </si>
  <si>
    <t>460004********0630</t>
  </si>
  <si>
    <t>460028********3643</t>
  </si>
  <si>
    <t>460007********4112</t>
  </si>
  <si>
    <t>460102********2139</t>
  </si>
  <si>
    <t>460002********491X</t>
  </si>
  <si>
    <t>460028********0050</t>
  </si>
  <si>
    <t>460103********3012</t>
  </si>
  <si>
    <t>10704—定安公路分局-统计及信息化岗（九级管理）</t>
  </si>
  <si>
    <t>469007********7616</t>
  </si>
  <si>
    <t>460025********0324</t>
  </si>
  <si>
    <t>460027********4136</t>
  </si>
  <si>
    <t>460027********7917</t>
  </si>
  <si>
    <t>460025********4524</t>
  </si>
  <si>
    <t>10705—定安公路分局-路桥技术岗（十二级专技）</t>
  </si>
  <si>
    <t>460025********2719</t>
  </si>
  <si>
    <t>460025********1228</t>
  </si>
  <si>
    <t>460102********181X</t>
  </si>
  <si>
    <t>460006********4811</t>
  </si>
  <si>
    <t>460006********0913</t>
  </si>
  <si>
    <t>460002********2210</t>
  </si>
  <si>
    <t>460103********1813</t>
  </si>
  <si>
    <t>460027********261X</t>
  </si>
  <si>
    <t>460103********2718</t>
  </si>
  <si>
    <t>460006********4810</t>
  </si>
  <si>
    <t>460025********0916</t>
  </si>
  <si>
    <t>460004********0638</t>
  </si>
  <si>
    <t>460103********1812</t>
  </si>
  <si>
    <t>460025********2411</t>
  </si>
  <si>
    <t>460200********5110</t>
  </si>
  <si>
    <t>460025********0030</t>
  </si>
  <si>
    <t>460025********0918</t>
  </si>
  <si>
    <t>220422********0039</t>
  </si>
  <si>
    <t>460004********1253</t>
  </si>
  <si>
    <t>460006********8710</t>
  </si>
  <si>
    <t>460025********4214</t>
  </si>
  <si>
    <t>460103********3658</t>
  </si>
  <si>
    <t>460002********001X</t>
  </si>
  <si>
    <t>10706—定安公路分局-财务会计岗（十二级专技）</t>
  </si>
  <si>
    <t>460033********5098</t>
  </si>
  <si>
    <t>460025********006X</t>
  </si>
  <si>
    <t>460006********0440</t>
  </si>
  <si>
    <t>460027********4127</t>
  </si>
  <si>
    <t>460004********4416</t>
  </si>
  <si>
    <t>230803********0863</t>
  </si>
  <si>
    <t>460033********004X</t>
  </si>
  <si>
    <t>460006********0054</t>
  </si>
  <si>
    <t>460004********2018</t>
  </si>
  <si>
    <t>460025********4826</t>
  </si>
  <si>
    <t>460027********0622</t>
  </si>
  <si>
    <t>460025********1224</t>
  </si>
  <si>
    <t>460025********3321</t>
  </si>
  <si>
    <t>460022********352X</t>
  </si>
  <si>
    <t>460006********2724</t>
  </si>
  <si>
    <t>460026********3322</t>
  </si>
  <si>
    <t>460028********2818</t>
  </si>
  <si>
    <t>220122********5329</t>
  </si>
  <si>
    <t>460103********0041</t>
  </si>
  <si>
    <t>460035********0945</t>
  </si>
  <si>
    <t>460028********4427</t>
  </si>
  <si>
    <t>460006********4060</t>
  </si>
  <si>
    <t>460103********2747</t>
  </si>
  <si>
    <t>460006********4827</t>
  </si>
  <si>
    <t>460103********3647</t>
  </si>
  <si>
    <t>460027********042X</t>
  </si>
  <si>
    <t>460002********6619</t>
  </si>
  <si>
    <t>469021********0025</t>
  </si>
  <si>
    <t>460027********7613</t>
  </si>
  <si>
    <t>460003********4850</t>
  </si>
  <si>
    <t>460034********0023</t>
  </si>
  <si>
    <t>460004********4223</t>
  </si>
  <si>
    <t>460027********0044</t>
  </si>
  <si>
    <t>460028********0444</t>
  </si>
  <si>
    <t>460300********0322</t>
  </si>
  <si>
    <t>460003********6624</t>
  </si>
  <si>
    <t>460103********1858</t>
  </si>
  <si>
    <t>460102********1227</t>
  </si>
  <si>
    <t>460027********0031</t>
  </si>
  <si>
    <t>460027********0408</t>
  </si>
  <si>
    <t>460006********4823</t>
  </si>
  <si>
    <t>460007********0844</t>
  </si>
  <si>
    <t>460007********5026</t>
  </si>
  <si>
    <t>460001********0627</t>
  </si>
  <si>
    <t>469024********322X</t>
  </si>
  <si>
    <t>460025********3333</t>
  </si>
  <si>
    <t>460103********0624</t>
  </si>
  <si>
    <t>460001********0715</t>
  </si>
  <si>
    <t>460102********091X</t>
  </si>
  <si>
    <t>460025********0623</t>
  </si>
  <si>
    <t>469023********0402</t>
  </si>
  <si>
    <t>460006********002X</t>
  </si>
  <si>
    <t>460025********0044</t>
  </si>
  <si>
    <t>460006********8122</t>
  </si>
  <si>
    <t>460026********0924</t>
  </si>
  <si>
    <t>460025********4866</t>
  </si>
  <si>
    <t>460025********2115</t>
  </si>
  <si>
    <t>460007********537X</t>
  </si>
  <si>
    <t>460102********0923</t>
  </si>
  <si>
    <t>460028********0031</t>
  </si>
  <si>
    <t>411421********2020</t>
  </si>
  <si>
    <t>220702********961X</t>
  </si>
  <si>
    <t>469007********5788</t>
  </si>
  <si>
    <t>460022********3220</t>
  </si>
  <si>
    <t>460103********0639</t>
  </si>
  <si>
    <t>460004********2242</t>
  </si>
  <si>
    <t>460028********4026</t>
  </si>
  <si>
    <t>460004********0435</t>
  </si>
  <si>
    <t>460033********5081</t>
  </si>
  <si>
    <t>460028********0013</t>
  </si>
  <si>
    <t>430524********0028</t>
  </si>
  <si>
    <t>460028********6047</t>
  </si>
  <si>
    <t>460027********5669</t>
  </si>
  <si>
    <t>460107********2620</t>
  </si>
  <si>
    <t>460104********1829</t>
  </si>
  <si>
    <t>460103********3026</t>
  </si>
  <si>
    <t>469002********4621</t>
  </si>
  <si>
    <t>460006********0225</t>
  </si>
  <si>
    <t>460004********2020</t>
  </si>
  <si>
    <t>460026********0047</t>
  </si>
  <si>
    <t>460022********0020</t>
  </si>
  <si>
    <t>460002********2520</t>
  </si>
  <si>
    <t>460002********0329</t>
  </si>
  <si>
    <t>460027********8524</t>
  </si>
  <si>
    <t>460036********4828</t>
  </si>
  <si>
    <t>460022********0015</t>
  </si>
  <si>
    <t>469028********0029</t>
  </si>
  <si>
    <t>460006********4011</t>
  </si>
  <si>
    <t>460022********0725</t>
  </si>
  <si>
    <t>460004********4427</t>
  </si>
  <si>
    <t>460030********0618</t>
  </si>
  <si>
    <t>460006********0415</t>
  </si>
  <si>
    <t>460106********3428</t>
  </si>
  <si>
    <t>460006********4822</t>
  </si>
  <si>
    <t>460028********7229</t>
  </si>
  <si>
    <t>460004********364X</t>
  </si>
  <si>
    <t>460004********4036</t>
  </si>
  <si>
    <t>460033********4477</t>
  </si>
  <si>
    <t>460102********1225</t>
  </si>
  <si>
    <t>460027********062X</t>
  </si>
  <si>
    <t>460006********1646</t>
  </si>
  <si>
    <t>460104********032X</t>
  </si>
  <si>
    <t>460027********134X</t>
  </si>
  <si>
    <t>460006********2020</t>
  </si>
  <si>
    <t>460004********2025</t>
  </si>
  <si>
    <t>460102********2726</t>
  </si>
  <si>
    <t>152104********6622</t>
  </si>
  <si>
    <t>460027********4759</t>
  </si>
  <si>
    <t>469021********2721</t>
  </si>
  <si>
    <t>460006********0628</t>
  </si>
  <si>
    <t>10801—琼海公路分局-财务会计岗（九级管理）</t>
  </si>
  <si>
    <t>460004********6426</t>
  </si>
  <si>
    <t>460002********0368</t>
  </si>
  <si>
    <t>460002********3822</t>
  </si>
  <si>
    <t>532323********1719</t>
  </si>
  <si>
    <t>412726********3715</t>
  </si>
  <si>
    <t>460002********4426</t>
  </si>
  <si>
    <t>460006********003X</t>
  </si>
  <si>
    <t>460001********0737</t>
  </si>
  <si>
    <t>500382********0857</t>
  </si>
  <si>
    <t>469026********3220</t>
  </si>
  <si>
    <t>460002********1548</t>
  </si>
  <si>
    <t>10802—琼海公路分局-统计及信息化岗（九级管理）</t>
  </si>
  <si>
    <t>469027********598X</t>
  </si>
  <si>
    <t>230802********0148</t>
  </si>
  <si>
    <t>460002********1815</t>
  </si>
  <si>
    <t>532331********362X</t>
  </si>
  <si>
    <t>460002********2218</t>
  </si>
  <si>
    <t>460005********0019</t>
  </si>
  <si>
    <t>460002********1213</t>
  </si>
  <si>
    <t>460003********2412</t>
  </si>
  <si>
    <t>460002********6616</t>
  </si>
  <si>
    <t>460102********1213</t>
  </si>
  <si>
    <t>460003********3029</t>
  </si>
  <si>
    <t>460002********6628</t>
  </si>
  <si>
    <t>460200********078X</t>
  </si>
  <si>
    <t>469023********1323</t>
  </si>
  <si>
    <t>460033********0025</t>
  </si>
  <si>
    <t>460002********0029</t>
  </si>
  <si>
    <t>460002********0330</t>
  </si>
  <si>
    <t>460002********6613</t>
  </si>
  <si>
    <t>460005********5141</t>
  </si>
  <si>
    <t>469028********3025</t>
  </si>
  <si>
    <t>469023********1354</t>
  </si>
  <si>
    <t>620302********1424</t>
  </si>
  <si>
    <t>460002********0334</t>
  </si>
  <si>
    <t>460003********4858</t>
  </si>
  <si>
    <t>10804—琼海公路分局-法律法务岗（十级管理）</t>
  </si>
  <si>
    <t>460007********5012</t>
  </si>
  <si>
    <t>460200********4448</t>
  </si>
  <si>
    <t>469024********0043</t>
  </si>
  <si>
    <t>460006********6212</t>
  </si>
  <si>
    <t>460102********0014</t>
  </si>
  <si>
    <t>460028********7617</t>
  </si>
  <si>
    <t>10805—琼海公路分局-园林技术岗（九级管理）</t>
  </si>
  <si>
    <t>469006********8728</t>
  </si>
  <si>
    <t>130202********8021</t>
  </si>
  <si>
    <t>460033********4774</t>
  </si>
  <si>
    <t>460102********2119</t>
  </si>
  <si>
    <t>469027********0028</t>
  </si>
  <si>
    <t>10806—琼海公路分局-文秘岗（十级管理）</t>
  </si>
  <si>
    <t>460002********1225</t>
  </si>
  <si>
    <t>460002********6228</t>
  </si>
  <si>
    <t>460006********5224</t>
  </si>
  <si>
    <t>460002********0517</t>
  </si>
  <si>
    <t>460033********3284</t>
  </si>
  <si>
    <t>460006********272X</t>
  </si>
  <si>
    <t>410522********2249</t>
  </si>
  <si>
    <t>460036********005X</t>
  </si>
  <si>
    <t>10901—万宁公路分局-路桥技术岗（九级管理）</t>
  </si>
  <si>
    <t>460030********0013</t>
  </si>
  <si>
    <t>460006********4013</t>
  </si>
  <si>
    <t>460006********0930</t>
  </si>
  <si>
    <t>460034********3073</t>
  </si>
  <si>
    <t>460034********0918</t>
  </si>
  <si>
    <t>460006********2713</t>
  </si>
  <si>
    <t>460006********8718</t>
  </si>
  <si>
    <t>460006********0918</t>
  </si>
  <si>
    <t>460002********0017</t>
  </si>
  <si>
    <t>612522********5913</t>
  </si>
  <si>
    <t>460006********8716</t>
  </si>
  <si>
    <t>460002********2538</t>
  </si>
  <si>
    <t>210283********1013</t>
  </si>
  <si>
    <t>460035********3228</t>
  </si>
  <si>
    <t>460006********0019</t>
  </si>
  <si>
    <t>460006********8715</t>
  </si>
  <si>
    <t>411522********4599</t>
  </si>
  <si>
    <t>460034********581X</t>
  </si>
  <si>
    <t>460034********0435</t>
  </si>
  <si>
    <t>460033********4779</t>
  </si>
  <si>
    <t>460200********5111</t>
  </si>
  <si>
    <t>460033********3238</t>
  </si>
  <si>
    <t>460006********4416</t>
  </si>
  <si>
    <t>460034********1213</t>
  </si>
  <si>
    <t>460200********2749</t>
  </si>
  <si>
    <t>460006********4079</t>
  </si>
  <si>
    <t>460034********0031</t>
  </si>
  <si>
    <t>460006********4018</t>
  </si>
  <si>
    <t>460006********5212</t>
  </si>
  <si>
    <t>10902—万宁公路分局-筑路机械与材料管理岗（九级管理）</t>
  </si>
  <si>
    <t>231083********5119</t>
  </si>
  <si>
    <t>460006********2312</t>
  </si>
  <si>
    <t>460002********2017</t>
  </si>
  <si>
    <t>460034********6118</t>
  </si>
  <si>
    <t>130127********1831</t>
  </si>
  <si>
    <t>460102********0913</t>
  </si>
  <si>
    <t>460006********1637</t>
  </si>
  <si>
    <t>460033********455X</t>
  </si>
  <si>
    <t>460003********4618</t>
  </si>
  <si>
    <t>460034********501X</t>
  </si>
  <si>
    <t>460006********3126</t>
  </si>
  <si>
    <t>460002********3616</t>
  </si>
  <si>
    <t>460104********0918</t>
  </si>
  <si>
    <t>460200********229X</t>
  </si>
  <si>
    <t>460006********5215</t>
  </si>
  <si>
    <t>460200********4450</t>
  </si>
  <si>
    <t>460003********7654</t>
  </si>
  <si>
    <t>210124********1059</t>
  </si>
  <si>
    <t>460006********8714</t>
  </si>
  <si>
    <t>460006********291X</t>
  </si>
  <si>
    <t>460006********293X</t>
  </si>
  <si>
    <t>460006********525X</t>
  </si>
  <si>
    <t>460006********2341</t>
  </si>
  <si>
    <t>460007********0037</t>
  </si>
  <si>
    <t>460006********0915</t>
  </si>
  <si>
    <t>460022********4512</t>
  </si>
  <si>
    <t>460033********4838</t>
  </si>
  <si>
    <t>460006********4439</t>
  </si>
  <si>
    <t>460033********0676</t>
  </si>
  <si>
    <t>460034********3318</t>
  </si>
  <si>
    <t>460200********4698</t>
  </si>
  <si>
    <t>362502********5635</t>
  </si>
  <si>
    <t>362330********4239</t>
  </si>
  <si>
    <t>460200********333X</t>
  </si>
  <si>
    <t>469028********5827</t>
  </si>
  <si>
    <t>460007********0414</t>
  </si>
  <si>
    <t>10903—万宁公路分局-法律法务岗（九级管理）</t>
  </si>
  <si>
    <t>469006********8723</t>
  </si>
  <si>
    <t>460200********5120</t>
  </si>
  <si>
    <t>460006********482X</t>
  </si>
  <si>
    <t>460006********4020</t>
  </si>
  <si>
    <t>460006********4022</t>
  </si>
  <si>
    <t>460003********6636</t>
  </si>
  <si>
    <t>460002********2211</t>
  </si>
  <si>
    <t>460004********3814</t>
  </si>
  <si>
    <t>460025********2765</t>
  </si>
  <si>
    <t>460002********0324</t>
  </si>
  <si>
    <t>460200********5118</t>
  </si>
  <si>
    <t>460007********2318</t>
  </si>
  <si>
    <t>460026********0015</t>
  </si>
  <si>
    <t>460002********5428</t>
  </si>
  <si>
    <t>460027********4411</t>
  </si>
  <si>
    <t>460003********0025</t>
  </si>
  <si>
    <t>460006********0421</t>
  </si>
  <si>
    <t>460200********2493</t>
  </si>
  <si>
    <t>622101********1922</t>
  </si>
  <si>
    <t>469025********4524</t>
  </si>
  <si>
    <t>460103********0028</t>
  </si>
  <si>
    <t>460200********1421</t>
  </si>
  <si>
    <t>469028********2146</t>
  </si>
  <si>
    <t>460002********1525</t>
  </si>
  <si>
    <t>460004********2610</t>
  </si>
  <si>
    <t>460006********0218</t>
  </si>
  <si>
    <t>460027********8225</t>
  </si>
  <si>
    <t>460003********5820</t>
  </si>
  <si>
    <t>10904—万宁公路分局-统计及信息化岗（九级管理）</t>
  </si>
  <si>
    <t>460006********2735</t>
  </si>
  <si>
    <t>460006********7548</t>
  </si>
  <si>
    <t>460006********0014</t>
  </si>
  <si>
    <t>460300********0324</t>
  </si>
  <si>
    <t>460006********2922</t>
  </si>
  <si>
    <t>460006********0612</t>
  </si>
  <si>
    <t>460006********2332</t>
  </si>
  <si>
    <t>460006********2338</t>
  </si>
  <si>
    <t>460002********0035</t>
  </si>
  <si>
    <t>460006********0414</t>
  </si>
  <si>
    <t>460006********2723</t>
  </si>
  <si>
    <t>410926********0099</t>
  </si>
  <si>
    <t>460200********4435</t>
  </si>
  <si>
    <t>460006********4815</t>
  </si>
  <si>
    <t>460006********4410</t>
  </si>
  <si>
    <t>460006********2920</t>
  </si>
  <si>
    <t>460002********5211</t>
  </si>
  <si>
    <t>460006********001X</t>
  </si>
  <si>
    <t>460022********1512</t>
  </si>
  <si>
    <t>460006********4021</t>
  </si>
  <si>
    <t>460006********4457</t>
  </si>
  <si>
    <t>460104********1526</t>
  </si>
  <si>
    <t>10905—万宁公路分局-财务会计岗（九级管理）</t>
  </si>
  <si>
    <t>460006********0450</t>
  </si>
  <si>
    <t>130984********124X</t>
  </si>
  <si>
    <t>469024********0049</t>
  </si>
  <si>
    <t>460006********1636</t>
  </si>
  <si>
    <t>500102********8462</t>
  </si>
  <si>
    <t>460006********2352</t>
  </si>
  <si>
    <t>460006********8128</t>
  </si>
  <si>
    <t>460006********8725</t>
  </si>
  <si>
    <t>460006********3122</t>
  </si>
  <si>
    <t>460006********4421</t>
  </si>
  <si>
    <t>460006********4448</t>
  </si>
  <si>
    <t>460006********8724</t>
  </si>
  <si>
    <t>460006********1683</t>
  </si>
  <si>
    <t>10906—万宁公路分局-安全生产管理岗（九级管理）</t>
  </si>
  <si>
    <t>460034********0027</t>
  </si>
  <si>
    <t>460006********7234</t>
  </si>
  <si>
    <t>460004********5818</t>
  </si>
  <si>
    <t>460034********1214</t>
  </si>
  <si>
    <t>460001********1022</t>
  </si>
  <si>
    <t>460002********6615</t>
  </si>
  <si>
    <t>460034********2136</t>
  </si>
  <si>
    <t>210303********2011</t>
  </si>
  <si>
    <t>460006********2942</t>
  </si>
  <si>
    <t>460034********0418</t>
  </si>
  <si>
    <t>460007********7217</t>
  </si>
  <si>
    <t>460006********406X</t>
  </si>
  <si>
    <t>460026********3916</t>
  </si>
  <si>
    <t>460006********0013</t>
  </si>
  <si>
    <t>460003********4637</t>
  </si>
  <si>
    <t>460006********1482</t>
  </si>
  <si>
    <t>460006********8726</t>
  </si>
  <si>
    <t>460034********1516</t>
  </si>
  <si>
    <t>460034********5816</t>
  </si>
  <si>
    <t>460002********3813</t>
  </si>
  <si>
    <t>11001—陵水公路分局-统计及信息化岗（九级管理）</t>
  </si>
  <si>
    <t>460200********0545</t>
  </si>
  <si>
    <t>460006********0214</t>
  </si>
  <si>
    <t>460027********3728</t>
  </si>
  <si>
    <t>460034********0035</t>
  </si>
  <si>
    <t>360722********0015</t>
  </si>
  <si>
    <t>460033********3872</t>
  </si>
  <si>
    <t>421125********7953</t>
  </si>
  <si>
    <t>460200********1400</t>
  </si>
  <si>
    <t>130702********0311</t>
  </si>
  <si>
    <t>460034********0017</t>
  </si>
  <si>
    <t>460200********5112</t>
  </si>
  <si>
    <t>460034********0497</t>
  </si>
  <si>
    <t>460034********1837</t>
  </si>
  <si>
    <t>460034********1816</t>
  </si>
  <si>
    <t>460034********0029</t>
  </si>
  <si>
    <t>460034********1212</t>
  </si>
  <si>
    <t>460035********0011</t>
  </si>
  <si>
    <t>460106********3413</t>
  </si>
  <si>
    <t>460004********5212</t>
  </si>
  <si>
    <t>231085********3118</t>
  </si>
  <si>
    <t>460027********5915</t>
  </si>
  <si>
    <t>460006********4617</t>
  </si>
  <si>
    <t>460034********4123</t>
  </si>
  <si>
    <t>460200********3818</t>
  </si>
  <si>
    <t>460034********0028</t>
  </si>
  <si>
    <t>460003********4037</t>
  </si>
  <si>
    <t>460034********0020</t>
  </si>
  <si>
    <t>450803********6327</t>
  </si>
  <si>
    <t>460003********6614</t>
  </si>
  <si>
    <t>460006********3737</t>
  </si>
  <si>
    <t>411521********3514</t>
  </si>
  <si>
    <t>500242********2585</t>
  </si>
  <si>
    <t>460034********0012</t>
  </si>
  <si>
    <t>420117********394X</t>
  </si>
  <si>
    <t>460022********0038</t>
  </si>
  <si>
    <t>460003********4275</t>
  </si>
  <si>
    <t>431081********0816</t>
  </si>
  <si>
    <t>152104********2812</t>
  </si>
  <si>
    <t>460034********0417</t>
  </si>
  <si>
    <t>460034********0713</t>
  </si>
  <si>
    <t>460200********5338</t>
  </si>
  <si>
    <t>460200********3863</t>
  </si>
  <si>
    <t>11002—陵水公路分局-文秘岗（九级管理）</t>
  </si>
  <si>
    <t>460036********1514</t>
  </si>
  <si>
    <t>230106********0410</t>
  </si>
  <si>
    <t>220802********0924</t>
  </si>
  <si>
    <t>460006********1346</t>
  </si>
  <si>
    <t>460030********0320</t>
  </si>
  <si>
    <t>469007********5820</t>
  </si>
  <si>
    <t>460003********0027</t>
  </si>
  <si>
    <t>460034********047X</t>
  </si>
  <si>
    <t>460035********2520</t>
  </si>
  <si>
    <t>420982********0099</t>
  </si>
  <si>
    <t>469003********6722</t>
  </si>
  <si>
    <t>460200********3812</t>
  </si>
  <si>
    <t>460034********0018</t>
  </si>
  <si>
    <t>460002********6626</t>
  </si>
  <si>
    <t>460003********0226</t>
  </si>
  <si>
    <t>469028********0045</t>
  </si>
  <si>
    <t>220421********5326</t>
  </si>
  <si>
    <t>460003********1826</t>
  </si>
  <si>
    <t>460034********0046</t>
  </si>
  <si>
    <t>460200********4926</t>
  </si>
  <si>
    <t>460034********0042</t>
  </si>
  <si>
    <t>460033********5109</t>
  </si>
  <si>
    <t>460004********0229</t>
  </si>
  <si>
    <t>622224********0021</t>
  </si>
  <si>
    <t>460033********5084</t>
  </si>
  <si>
    <t>460002********2566</t>
  </si>
  <si>
    <t>362201********4024</t>
  </si>
  <si>
    <t>410204********6027</t>
  </si>
  <si>
    <t>460026********2418</t>
  </si>
  <si>
    <t>460035********3427</t>
  </si>
  <si>
    <t>460006********4026</t>
  </si>
  <si>
    <t>460034********0019</t>
  </si>
  <si>
    <t>460006********202X</t>
  </si>
  <si>
    <t>469027********6278</t>
  </si>
  <si>
    <t>460200********5116</t>
  </si>
  <si>
    <t>460200********3140</t>
  </si>
  <si>
    <t>460004********5026</t>
  </si>
  <si>
    <t>370404********145X</t>
  </si>
  <si>
    <t>460027********4418</t>
  </si>
  <si>
    <t>460006********2720</t>
  </si>
  <si>
    <t>460034********6127</t>
  </si>
  <si>
    <t>460003********282X</t>
  </si>
  <si>
    <t>230622********1078</t>
  </si>
  <si>
    <t>460005********0728</t>
  </si>
  <si>
    <t>460035********3049</t>
  </si>
  <si>
    <t>460026********0020</t>
  </si>
  <si>
    <t>460036********0821</t>
  </si>
  <si>
    <t>460006********3142</t>
  </si>
  <si>
    <t>460103********1540</t>
  </si>
  <si>
    <t>522401********512X</t>
  </si>
  <si>
    <t>411422********0046</t>
  </si>
  <si>
    <t>460028********6028</t>
  </si>
  <si>
    <t>460006********0227</t>
  </si>
  <si>
    <t>460006********2022</t>
  </si>
  <si>
    <t>450881********2003</t>
  </si>
  <si>
    <t>522723********0623</t>
  </si>
  <si>
    <t>230202********1024</t>
  </si>
  <si>
    <t>460033********3246</t>
  </si>
  <si>
    <t>460200********0025</t>
  </si>
  <si>
    <t>460025********0014</t>
  </si>
  <si>
    <t>460025********2734</t>
  </si>
  <si>
    <t>460002********1524</t>
  </si>
  <si>
    <t>460006********5265</t>
  </si>
  <si>
    <t>460034********411X</t>
  </si>
  <si>
    <t>460036********0846</t>
  </si>
  <si>
    <t>342222********0259</t>
  </si>
  <si>
    <t>460200********4442</t>
  </si>
  <si>
    <t>460031********3625</t>
  </si>
  <si>
    <t>460002********2812</t>
  </si>
  <si>
    <t>460003********0616</t>
  </si>
  <si>
    <t>460033********3225</t>
  </si>
  <si>
    <t>460103********0019</t>
  </si>
  <si>
    <t>460003********3445</t>
  </si>
  <si>
    <t>460034********1526</t>
  </si>
  <si>
    <t>460036********7565</t>
  </si>
  <si>
    <t>460200********3349</t>
  </si>
  <si>
    <t>460200********2521</t>
  </si>
  <si>
    <t>460028********6069</t>
  </si>
  <si>
    <t>460102********0625</t>
  </si>
  <si>
    <t>140226********6022</t>
  </si>
  <si>
    <t>460027********0648</t>
  </si>
  <si>
    <t>460004********4049</t>
  </si>
  <si>
    <t>460025********2171</t>
  </si>
  <si>
    <t>460035********0012</t>
  </si>
  <si>
    <t>460034********0428</t>
  </si>
  <si>
    <t>460007********6828</t>
  </si>
  <si>
    <t>460006********2928</t>
  </si>
  <si>
    <t>460031********0812</t>
  </si>
  <si>
    <t>460034********5821</t>
  </si>
  <si>
    <t>460034********0043</t>
  </si>
  <si>
    <t>460102********1547</t>
  </si>
  <si>
    <t>433101********0521</t>
  </si>
  <si>
    <t>460004********0944</t>
  </si>
  <si>
    <t>460034********0912</t>
  </si>
  <si>
    <t>460105********7126</t>
  </si>
  <si>
    <t>460034********3621</t>
  </si>
  <si>
    <t>460030********0924</t>
  </si>
  <si>
    <t>432502********6023</t>
  </si>
  <si>
    <t>460300********0325</t>
  </si>
  <si>
    <t>460004********2028</t>
  </si>
  <si>
    <t>460027********0025</t>
  </si>
  <si>
    <t>460030********5424</t>
  </si>
  <si>
    <t>460006********8142</t>
  </si>
  <si>
    <t>460104********0329</t>
  </si>
  <si>
    <t>460103********094X</t>
  </si>
  <si>
    <t>460003********0426</t>
  </si>
  <si>
    <t>460036********4528</t>
  </si>
  <si>
    <t>460030********6928</t>
  </si>
  <si>
    <t>460034********002X</t>
  </si>
  <si>
    <t>460002********3848</t>
  </si>
  <si>
    <t>460007********0038</t>
  </si>
  <si>
    <t>460003********2654</t>
  </si>
  <si>
    <t>460006********4425</t>
  </si>
  <si>
    <t>469003********2427</t>
  </si>
  <si>
    <t>460035********022X</t>
  </si>
  <si>
    <t>460006********0648</t>
  </si>
  <si>
    <t>460006********1328</t>
  </si>
  <si>
    <t>460026********0034</t>
  </si>
  <si>
    <t>460006********5222</t>
  </si>
  <si>
    <t>460005********0060</t>
  </si>
  <si>
    <t>11101—屯昌公路分局-法律法务岗（九级管理）</t>
  </si>
  <si>
    <t>460027********3725</t>
  </si>
  <si>
    <t>460003********4612</t>
  </si>
  <si>
    <t>460026********242X</t>
  </si>
  <si>
    <t>460036********0815</t>
  </si>
  <si>
    <t>460026********4219</t>
  </si>
  <si>
    <t>11102—屯昌公路分局-财务会计岗（九级管理）</t>
  </si>
  <si>
    <t>460026********1827</t>
  </si>
  <si>
    <t>460033********1472</t>
  </si>
  <si>
    <t>130723********2723</t>
  </si>
  <si>
    <t>460004********5445</t>
  </si>
  <si>
    <t>460033********0682</t>
  </si>
  <si>
    <t>460026********0941</t>
  </si>
  <si>
    <t>11104—屯昌公路分局-统计及信息化岗（九级管理）</t>
  </si>
  <si>
    <t>460026********482X</t>
  </si>
  <si>
    <t>460026********0918</t>
  </si>
  <si>
    <t>532527********2921</t>
  </si>
  <si>
    <t>460027********821X</t>
  </si>
  <si>
    <t>11105—屯昌公路分局-路桥技术岗（九级管理）</t>
  </si>
  <si>
    <t>460027********0451</t>
  </si>
  <si>
    <t>460026********4551</t>
  </si>
  <si>
    <t>460028********6819</t>
  </si>
  <si>
    <t>460102********2113</t>
  </si>
  <si>
    <t>460026********3912</t>
  </si>
  <si>
    <t>460027********0414</t>
  </si>
  <si>
    <t>460026********126X</t>
  </si>
  <si>
    <t>460026********0312</t>
  </si>
  <si>
    <t>460026********4218</t>
  </si>
  <si>
    <t>460106********3423</t>
  </si>
  <si>
    <t>460026********0911</t>
  </si>
  <si>
    <t>460026********1815</t>
  </si>
  <si>
    <t>469003********1716</t>
  </si>
  <si>
    <t>460004********4035</t>
  </si>
  <si>
    <t>460026********0915</t>
  </si>
  <si>
    <t>460026********1810</t>
  </si>
  <si>
    <t>460025********0322</t>
  </si>
  <si>
    <t>460033********5117</t>
  </si>
  <si>
    <t>460108********381X</t>
  </si>
  <si>
    <t>460026********0614</t>
  </si>
  <si>
    <t>460026********481X</t>
  </si>
  <si>
    <t>11201—琼中公路分局-路桥技术岗（九级管理）</t>
  </si>
  <si>
    <t>460007********0411</t>
  </si>
  <si>
    <t>460036********5510</t>
  </si>
  <si>
    <t>460033********3250</t>
  </si>
  <si>
    <t>460003********3859</t>
  </si>
  <si>
    <t>460006********4038</t>
  </si>
  <si>
    <t>460002********4419</t>
  </si>
  <si>
    <t>460002********1047</t>
  </si>
  <si>
    <t>460036********083X</t>
  </si>
  <si>
    <t>460036********0031</t>
  </si>
  <si>
    <t>460007********722X</t>
  </si>
  <si>
    <t>460006********4831</t>
  </si>
  <si>
    <t>430122********7159</t>
  </si>
  <si>
    <t>622628********0011</t>
  </si>
  <si>
    <t>460034********0033</t>
  </si>
  <si>
    <t>460007********7214</t>
  </si>
  <si>
    <t>360602********1017</t>
  </si>
  <si>
    <t>460003********0212</t>
  </si>
  <si>
    <t>460006********0113</t>
  </si>
  <si>
    <t>460030********092X</t>
  </si>
  <si>
    <t>460036********0456</t>
  </si>
  <si>
    <t>460003********4239</t>
  </si>
  <si>
    <t>460036********2119</t>
  </si>
  <si>
    <t>430526********0033</t>
  </si>
  <si>
    <t>460022********3243</t>
  </si>
  <si>
    <t>230223********3230</t>
  </si>
  <si>
    <t>460036********6812</t>
  </si>
  <si>
    <t>460036********0018</t>
  </si>
  <si>
    <t>530421********0039</t>
  </si>
  <si>
    <t>460002********1518</t>
  </si>
  <si>
    <t>460004********5239</t>
  </si>
  <si>
    <t>460003********3033</t>
  </si>
  <si>
    <t>460006********8712</t>
  </si>
  <si>
    <t>460003********341X</t>
  </si>
  <si>
    <t>460002********0016</t>
  </si>
  <si>
    <t>460036********041X</t>
  </si>
  <si>
    <t>469003********1212</t>
  </si>
  <si>
    <t>460025********4219</t>
  </si>
  <si>
    <t>460005********1038</t>
  </si>
  <si>
    <t>460027********7558</t>
  </si>
  <si>
    <t>460028********7212</t>
  </si>
  <si>
    <t>460002********4414</t>
  </si>
  <si>
    <t>362426********5210</t>
  </si>
  <si>
    <t>460003********0410</t>
  </si>
  <si>
    <t>632801********1013</t>
  </si>
  <si>
    <t>460027********2950</t>
  </si>
  <si>
    <t>460006********1613</t>
  </si>
  <si>
    <t>460103********1855</t>
  </si>
  <si>
    <t>150103********0118</t>
  </si>
  <si>
    <t>460003********2417</t>
  </si>
  <si>
    <t>460036********0016</t>
  </si>
  <si>
    <t>460006********0231</t>
  </si>
  <si>
    <t>460025********2714</t>
  </si>
  <si>
    <t>469003********9511</t>
  </si>
  <si>
    <t>11202—琼中公路分局-筑路机械与材料管理岗（九级管理）</t>
  </si>
  <si>
    <t>460033********5071</t>
  </si>
  <si>
    <t>460036********0419</t>
  </si>
  <si>
    <t>460026********3319</t>
  </si>
  <si>
    <t>460027********4737</t>
  </si>
  <si>
    <t>460003********0038</t>
  </si>
  <si>
    <t>460300********0631</t>
  </si>
  <si>
    <t>460006********2317</t>
  </si>
  <si>
    <t>460103********0014</t>
  </si>
  <si>
    <t>460028********7219</t>
  </si>
  <si>
    <t>460033********3233</t>
  </si>
  <si>
    <t>460031********601X</t>
  </si>
  <si>
    <t>460002********2232</t>
  </si>
  <si>
    <t>513022********7998</t>
  </si>
  <si>
    <t>460027********0696</t>
  </si>
  <si>
    <t>460003********7033</t>
  </si>
  <si>
    <t>460003********4196</t>
  </si>
  <si>
    <t>460028********4013</t>
  </si>
  <si>
    <t>460026********031X</t>
  </si>
  <si>
    <t>460026********0958</t>
  </si>
  <si>
    <t>460200********0299</t>
  </si>
  <si>
    <t>460006********1617</t>
  </si>
  <si>
    <t>460033********447X</t>
  </si>
  <si>
    <t>460028********4818</t>
  </si>
  <si>
    <t>460027********0011</t>
  </si>
  <si>
    <t>460034********5014</t>
  </si>
  <si>
    <t>460026********0939</t>
  </si>
  <si>
    <t>460036********6816</t>
  </si>
  <si>
    <t>460003********4258</t>
  </si>
  <si>
    <t>460003********401X</t>
  </si>
  <si>
    <t>460027********3715</t>
  </si>
  <si>
    <t>460002********2013</t>
  </si>
  <si>
    <t>460104********1217</t>
  </si>
  <si>
    <t>460006********4413</t>
  </si>
  <si>
    <t>460003********2858</t>
  </si>
  <si>
    <t>460030********0014</t>
  </si>
  <si>
    <t>460027********1019</t>
  </si>
  <si>
    <t>460027********041X</t>
  </si>
  <si>
    <t>460006********0234</t>
  </si>
  <si>
    <t>460030********5410</t>
  </si>
  <si>
    <t>460003********2240</t>
  </si>
  <si>
    <t>460006********2712</t>
  </si>
  <si>
    <t>460030********5412</t>
  </si>
  <si>
    <t>460007********0021</t>
  </si>
  <si>
    <t>460027********1038</t>
  </si>
  <si>
    <t>460003********4214</t>
  </si>
  <si>
    <t>460026********0316</t>
  </si>
  <si>
    <t>460003********2013</t>
  </si>
  <si>
    <t>460007********4995</t>
  </si>
  <si>
    <t>460031********5230</t>
  </si>
  <si>
    <t>460025********0017</t>
  </si>
  <si>
    <t>469028********0033</t>
  </si>
  <si>
    <t>460006********4814</t>
  </si>
  <si>
    <t>460004********5033</t>
  </si>
  <si>
    <t>460007********0059</t>
  </si>
  <si>
    <t>460026********2137</t>
  </si>
  <si>
    <t>460004********5237</t>
  </si>
  <si>
    <t>460027********2036</t>
  </si>
  <si>
    <t>460025********0914</t>
  </si>
  <si>
    <t>460032********3874</t>
  </si>
  <si>
    <t>11203—琼中公路分局-财务会计岗（九级管理）</t>
  </si>
  <si>
    <t>231182********6425</t>
  </si>
  <si>
    <t>460022********0723</t>
  </si>
  <si>
    <t>460026********092X</t>
  </si>
  <si>
    <t>460200********4502</t>
  </si>
  <si>
    <t>510403********1013</t>
  </si>
  <si>
    <t>460006********0644</t>
  </si>
  <si>
    <t>230121********3029</t>
  </si>
  <si>
    <t>460036********0421</t>
  </si>
  <si>
    <t>460006********0621</t>
  </si>
  <si>
    <t>460006********2323</t>
  </si>
  <si>
    <t>460001********1316</t>
  </si>
  <si>
    <t>460006********5916</t>
  </si>
  <si>
    <t>460007********5361</t>
  </si>
  <si>
    <t>130126********0062</t>
  </si>
  <si>
    <t>460103********3037</t>
  </si>
  <si>
    <t>469030********0028</t>
  </si>
  <si>
    <t>460036********0447</t>
  </si>
  <si>
    <t>460003********164X</t>
  </si>
  <si>
    <t>460027********6246</t>
  </si>
  <si>
    <t>460028********5665</t>
  </si>
  <si>
    <t>460004********0426</t>
  </si>
  <si>
    <t>460031********0862</t>
  </si>
  <si>
    <t>460036********7522</t>
  </si>
  <si>
    <t>460036********0023</t>
  </si>
  <si>
    <t>460033********0022</t>
  </si>
  <si>
    <t>460036********5222</t>
  </si>
  <si>
    <t>460006********6220</t>
  </si>
  <si>
    <t>460036********3528</t>
  </si>
  <si>
    <t>460036********0024</t>
  </si>
  <si>
    <t>460025********3320</t>
  </si>
  <si>
    <t>460033********4501</t>
  </si>
  <si>
    <t>460033********3222</t>
  </si>
  <si>
    <t>460036********0029</t>
  </si>
  <si>
    <t>460033********478X</t>
  </si>
  <si>
    <t>460026********1242</t>
  </si>
  <si>
    <t>230422********1327</t>
  </si>
  <si>
    <t>460035********0026</t>
  </si>
  <si>
    <t>460102********0921</t>
  </si>
  <si>
    <t>460004********4629</t>
  </si>
  <si>
    <t>460022********4517</t>
  </si>
  <si>
    <t>460006********062X</t>
  </si>
  <si>
    <t>460006********1615</t>
  </si>
  <si>
    <t>469003********8929</t>
  </si>
  <si>
    <t>460003********7818</t>
  </si>
  <si>
    <t>460022********2310</t>
  </si>
  <si>
    <t>460036********4541</t>
  </si>
  <si>
    <t>460036********0046</t>
  </si>
  <si>
    <t>460027********7948</t>
  </si>
  <si>
    <t>460003********4248</t>
  </si>
  <si>
    <t>460004********0036</t>
  </si>
  <si>
    <t>460028********4416</t>
  </si>
  <si>
    <t>460033********5680</t>
  </si>
  <si>
    <t>460022********0511</t>
  </si>
  <si>
    <t>460026********0928</t>
  </si>
  <si>
    <t>460028********0465</t>
  </si>
  <si>
    <t>460003********1617</t>
  </si>
  <si>
    <t>460004********4048</t>
  </si>
  <si>
    <t>460003********7443</t>
  </si>
  <si>
    <t>460027********2926</t>
  </si>
  <si>
    <t>460031********0019</t>
  </si>
  <si>
    <t>460006********0417</t>
  </si>
  <si>
    <t>460003********3820</t>
  </si>
  <si>
    <t>460003********2466</t>
  </si>
  <si>
    <t>460007********0815</t>
  </si>
  <si>
    <t>460026********2723</t>
  </si>
  <si>
    <t>460003********3825</t>
  </si>
  <si>
    <t>460004********3418</t>
  </si>
  <si>
    <t>460026********4212</t>
  </si>
  <si>
    <t>460003********2838</t>
  </si>
  <si>
    <t>431229********2444</t>
  </si>
  <si>
    <t>460025********3024</t>
  </si>
  <si>
    <t>460036********2123</t>
  </si>
  <si>
    <t>460003********7687</t>
  </si>
  <si>
    <t>460026********0022</t>
  </si>
  <si>
    <t>460036********751X</t>
  </si>
  <si>
    <t>469002********5410</t>
  </si>
  <si>
    <t>460034********0426</t>
  </si>
  <si>
    <t>460002********2847</t>
  </si>
  <si>
    <t>460103********001X</t>
  </si>
  <si>
    <t>130184********3523</t>
  </si>
  <si>
    <t>460027********1319</t>
  </si>
  <si>
    <t>460026********0010</t>
  </si>
  <si>
    <t>460003********7821</t>
  </si>
  <si>
    <t>460027********2930</t>
  </si>
  <si>
    <t>460036********0425</t>
  </si>
  <si>
    <t>460022********0764</t>
  </si>
  <si>
    <t>460006********5213</t>
  </si>
  <si>
    <t>460006********4411</t>
  </si>
  <si>
    <t>460102********2738</t>
  </si>
  <si>
    <t>460026********2119</t>
  </si>
  <si>
    <t>460033********4862</t>
  </si>
  <si>
    <t>460003********2429</t>
  </si>
  <si>
    <t>460036********2728</t>
  </si>
  <si>
    <t>460006********7529</t>
  </si>
  <si>
    <t>460030********3312</t>
  </si>
  <si>
    <t>460027********6626</t>
  </si>
  <si>
    <t>433122********1042</t>
  </si>
  <si>
    <t>460004********0045</t>
  </si>
  <si>
    <t>460006********0041</t>
  </si>
  <si>
    <t>460033********3223</t>
  </si>
  <si>
    <t>460036********0824</t>
  </si>
  <si>
    <t>460030********0023</t>
  </si>
  <si>
    <t>469003********1915</t>
  </si>
  <si>
    <t>460200********2721</t>
  </si>
  <si>
    <t>460200********2535</t>
  </si>
  <si>
    <t>460026********0961</t>
  </si>
  <si>
    <t>460036********0013</t>
  </si>
  <si>
    <t>460007********4121</t>
  </si>
  <si>
    <t>460003********0415</t>
  </si>
  <si>
    <t>460036********0021</t>
  </si>
  <si>
    <t>460027********0039</t>
  </si>
  <si>
    <t>460025********2724</t>
  </si>
  <si>
    <t>460004********0839</t>
  </si>
  <si>
    <t>360321********001X</t>
  </si>
  <si>
    <t>11204—琼中公路分局-统计及信息化岗（九级管理）</t>
  </si>
  <si>
    <t>460033********3870</t>
  </si>
  <si>
    <t>460006********0610</t>
  </si>
  <si>
    <t>460034********1512</t>
  </si>
  <si>
    <t>460027********1738</t>
  </si>
  <si>
    <t>460027********3416</t>
  </si>
  <si>
    <t>460004********3410</t>
  </si>
  <si>
    <t>460006********0028</t>
  </si>
  <si>
    <t>460003********4232</t>
  </si>
  <si>
    <t>460034********2127</t>
  </si>
  <si>
    <t>460036********4518</t>
  </si>
  <si>
    <t>460003********4113</t>
  </si>
  <si>
    <t>460036********0027</t>
  </si>
  <si>
    <t>460036********4517</t>
  </si>
  <si>
    <t>460036********3513</t>
  </si>
  <si>
    <t>460027********2079</t>
  </si>
  <si>
    <t>460022********0025</t>
  </si>
  <si>
    <t>211224********5734</t>
  </si>
  <si>
    <t>460003********8615</t>
  </si>
  <si>
    <t>460036********1544</t>
  </si>
  <si>
    <t>460025********2416</t>
  </si>
  <si>
    <t>460028********2817</t>
  </si>
  <si>
    <t>460036********7510</t>
  </si>
  <si>
    <t>460025********1210</t>
  </si>
  <si>
    <t>460036********0420</t>
  </si>
  <si>
    <t>469026********1219</t>
  </si>
  <si>
    <t>460036********0828</t>
  </si>
  <si>
    <t>450922********3090</t>
  </si>
  <si>
    <t>420102********4018</t>
  </si>
  <si>
    <t>460027********1023</t>
  </si>
  <si>
    <t>460026********0012</t>
  </si>
  <si>
    <t>469003********5622</t>
  </si>
  <si>
    <t>460036********7223</t>
  </si>
  <si>
    <t>460036********0028</t>
  </si>
  <si>
    <t>460022********0019</t>
  </si>
  <si>
    <t>460036********4819</t>
  </si>
  <si>
    <t>460007********4968</t>
  </si>
  <si>
    <t>11205—琼中公路分局-法律法务岗（九级管理）</t>
  </si>
  <si>
    <t>460036********7016</t>
  </si>
  <si>
    <t>460027********298X</t>
  </si>
  <si>
    <t>460007********7228</t>
  </si>
  <si>
    <t>362202********4416</t>
  </si>
  <si>
    <t>460036********0034</t>
  </si>
  <si>
    <t>460036********3541</t>
  </si>
  <si>
    <t>430211********0017</t>
  </si>
  <si>
    <t>460027********1313</t>
  </si>
  <si>
    <t>460026********0017</t>
  </si>
  <si>
    <t>460031********5621</t>
  </si>
  <si>
    <t>460002********5410</t>
  </si>
  <si>
    <t>522321********4644</t>
  </si>
  <si>
    <t>460006********4434</t>
  </si>
  <si>
    <t>460036********7521</t>
  </si>
  <si>
    <t>460036********1516</t>
  </si>
  <si>
    <t>460036********1241</t>
  </si>
  <si>
    <t>412822********1179</t>
  </si>
  <si>
    <t>410926********1617</t>
  </si>
  <si>
    <t>460102********0019</t>
  </si>
  <si>
    <t>445221********4992</t>
  </si>
  <si>
    <t>460036********0411</t>
  </si>
  <si>
    <t>460102********0328</t>
  </si>
  <si>
    <t>460036********0823</t>
  </si>
  <si>
    <t>460036********7525</t>
  </si>
  <si>
    <t>460006********3111</t>
  </si>
  <si>
    <t>460036********6815</t>
  </si>
  <si>
    <t>460027********1435</t>
  </si>
  <si>
    <t>460036********1822</t>
  </si>
  <si>
    <t>460006********1492</t>
  </si>
  <si>
    <t>460034********5888</t>
  </si>
  <si>
    <t>460003********7695</t>
  </si>
  <si>
    <t>460026********0049</t>
  </si>
  <si>
    <t>460036********0414</t>
  </si>
  <si>
    <t>460036********0010</t>
  </si>
  <si>
    <t>460036********0017</t>
  </si>
  <si>
    <t>460002********5213</t>
  </si>
  <si>
    <t>460027********4424</t>
  </si>
  <si>
    <t>460002********4164</t>
  </si>
  <si>
    <t>460006********4839</t>
  </si>
  <si>
    <t>460036********3529</t>
  </si>
  <si>
    <t>460026********1824</t>
  </si>
  <si>
    <t>460002********6621</t>
  </si>
  <si>
    <t>460036********7229</t>
  </si>
  <si>
    <t>460105********7564</t>
  </si>
  <si>
    <t>460027********5116</t>
  </si>
  <si>
    <t>460036********004X</t>
  </si>
  <si>
    <t>460036********6522</t>
  </si>
  <si>
    <t>460004********3016</t>
  </si>
  <si>
    <t>460004********1017</t>
  </si>
  <si>
    <t>460036********3220</t>
  </si>
  <si>
    <t>532627********4150</t>
  </si>
  <si>
    <t>460003********5418</t>
  </si>
  <si>
    <t>460036********3221</t>
  </si>
  <si>
    <t>460103********2122</t>
  </si>
  <si>
    <t>460006********1314</t>
  </si>
  <si>
    <t>11301—五指山公路分局-人力资源管理岗（九级管理）</t>
  </si>
  <si>
    <t>460006********4428</t>
  </si>
  <si>
    <t>460036********0423</t>
  </si>
  <si>
    <t>460033********4529</t>
  </si>
  <si>
    <t>460004********1447</t>
  </si>
  <si>
    <t>460003********1822</t>
  </si>
  <si>
    <t>460200********0046</t>
  </si>
  <si>
    <t>460200********5528</t>
  </si>
  <si>
    <t>460003********0035</t>
  </si>
  <si>
    <t>460002********492X</t>
  </si>
  <si>
    <t>460200********3591</t>
  </si>
  <si>
    <t>460036********2427</t>
  </si>
  <si>
    <t>460034********0429</t>
  </si>
  <si>
    <t>460001********0721</t>
  </si>
  <si>
    <t>460033********3289</t>
  </si>
  <si>
    <t>460001********1035</t>
  </si>
  <si>
    <t>460006********3123</t>
  </si>
  <si>
    <t>460022********4326</t>
  </si>
  <si>
    <t>469003********6723</t>
  </si>
  <si>
    <t>460032********4375</t>
  </si>
  <si>
    <t>460028********0895</t>
  </si>
  <si>
    <t>460027********0047</t>
  </si>
  <si>
    <t>460026********5137</t>
  </si>
  <si>
    <t>460200********1665</t>
  </si>
  <si>
    <t>460030********2123</t>
  </si>
  <si>
    <t>460102********0343</t>
  </si>
  <si>
    <t>460200********3332</t>
  </si>
  <si>
    <t>460003********3225</t>
  </si>
  <si>
    <t>460027********4724</t>
  </si>
  <si>
    <t>460035********0244</t>
  </si>
  <si>
    <t>460036********2129</t>
  </si>
  <si>
    <t>460001********0529</t>
  </si>
  <si>
    <t>460001********071X</t>
  </si>
  <si>
    <t>460022********4822</t>
  </si>
  <si>
    <t>460027********0022</t>
  </si>
  <si>
    <t>460001********1928</t>
  </si>
  <si>
    <t>460034********4725</t>
  </si>
  <si>
    <t>460034********1249</t>
  </si>
  <si>
    <t>469003********1924</t>
  </si>
  <si>
    <t>440811********2350</t>
  </si>
  <si>
    <t>460036********2127</t>
  </si>
  <si>
    <t>460030********5123</t>
  </si>
  <si>
    <t>460034********4737</t>
  </si>
  <si>
    <t>522622********002X</t>
  </si>
  <si>
    <t>460034********1826</t>
  </si>
  <si>
    <t>460025********1529</t>
  </si>
  <si>
    <t>460102********0021</t>
  </si>
  <si>
    <t>460003********7427</t>
  </si>
  <si>
    <t>460025********4245</t>
  </si>
  <si>
    <t>460200********5345</t>
  </si>
  <si>
    <t>460034********471X</t>
  </si>
  <si>
    <t>460036********0829</t>
  </si>
  <si>
    <t>460036********0467</t>
  </si>
  <si>
    <t>469025********0327</t>
  </si>
  <si>
    <t>460003********1848</t>
  </si>
  <si>
    <t>11302—五指山公路分局-法律法务岗（九级管理）</t>
  </si>
  <si>
    <t>460035********1729</t>
  </si>
  <si>
    <t>460006********2025</t>
  </si>
  <si>
    <t>460200********1407</t>
  </si>
  <si>
    <t>460035********0020</t>
  </si>
  <si>
    <t>460035********3224</t>
  </si>
  <si>
    <t>460001********0736</t>
  </si>
  <si>
    <t>440582********1583</t>
  </si>
  <si>
    <t>460028********0078</t>
  </si>
  <si>
    <t>460102********0065</t>
  </si>
  <si>
    <t>460027********2997</t>
  </si>
  <si>
    <t>460035********292X</t>
  </si>
  <si>
    <t>460034********3322</t>
  </si>
  <si>
    <t>412727********7721</t>
  </si>
  <si>
    <t>372330********2453</t>
  </si>
  <si>
    <t>460034********3097</t>
  </si>
  <si>
    <t>460002********3841</t>
  </si>
  <si>
    <t>460003********8336</t>
  </si>
  <si>
    <t>230621********0065</t>
  </si>
  <si>
    <t>460035********0027</t>
  </si>
  <si>
    <t>460002********3827</t>
  </si>
  <si>
    <t>469001********2220</t>
  </si>
  <si>
    <t>460035********0013</t>
  </si>
  <si>
    <t>460034********0410</t>
  </si>
  <si>
    <t>460001********1916</t>
  </si>
  <si>
    <t>460022********3264</t>
  </si>
  <si>
    <t>211404********4446</t>
  </si>
  <si>
    <t>460035********002X</t>
  </si>
  <si>
    <t>450502********0628</t>
  </si>
  <si>
    <t>440602********0015</t>
  </si>
  <si>
    <t>460004********5415</t>
  </si>
  <si>
    <t>460003********4242</t>
  </si>
  <si>
    <t>460034********2424</t>
  </si>
  <si>
    <t>230703********0712</t>
  </si>
  <si>
    <t>460104********0317</t>
  </si>
  <si>
    <t>460001********0515</t>
  </si>
  <si>
    <t>469003********5627</t>
  </si>
  <si>
    <t>460035********2123</t>
  </si>
  <si>
    <t>460006********5219</t>
  </si>
  <si>
    <t>460036********3526</t>
  </si>
  <si>
    <t>460001********152X</t>
  </si>
  <si>
    <t>460003********2423</t>
  </si>
  <si>
    <t>460033********3210</t>
  </si>
  <si>
    <t>460035********1724</t>
  </si>
  <si>
    <t>460006********2322</t>
  </si>
  <si>
    <t>370828********1014</t>
  </si>
  <si>
    <t>460035********0223</t>
  </si>
  <si>
    <t>469028********2128</t>
  </si>
  <si>
    <t>460034********5522</t>
  </si>
  <si>
    <t>460001********0713</t>
  </si>
  <si>
    <t>460006********5928</t>
  </si>
  <si>
    <t>460003********4647</t>
  </si>
  <si>
    <t>11401—保亭公路分局-园林技术岗（九级管理）</t>
  </si>
  <si>
    <t>460003********002X</t>
  </si>
  <si>
    <t>460001********0728</t>
  </si>
  <si>
    <t>460006********061X</t>
  </si>
  <si>
    <t>460102********1215</t>
  </si>
  <si>
    <t>410881********4618</t>
  </si>
  <si>
    <t>460104********1511</t>
  </si>
  <si>
    <t>460035********0015</t>
  </si>
  <si>
    <t>460036********0032</t>
  </si>
  <si>
    <t>222401********2116</t>
  </si>
  <si>
    <t>460033********538X</t>
  </si>
  <si>
    <t>360723********0021</t>
  </si>
  <si>
    <t>460002********6014</t>
  </si>
  <si>
    <t>142327********6614</t>
  </si>
  <si>
    <t>460035********0025</t>
  </si>
  <si>
    <t>460004********0824</t>
  </si>
  <si>
    <t>460033********3240</t>
  </si>
  <si>
    <t>469029********2129</t>
  </si>
  <si>
    <t>412722********0047</t>
  </si>
  <si>
    <t>460031********082X</t>
  </si>
  <si>
    <t>460027********2020</t>
  </si>
  <si>
    <t>460035********2120</t>
  </si>
  <si>
    <t>460001********1913</t>
  </si>
  <si>
    <t>460003********1445</t>
  </si>
  <si>
    <t>520121********2847</t>
  </si>
  <si>
    <t>362203********3531</t>
  </si>
  <si>
    <t>460003********5229</t>
  </si>
  <si>
    <t>654121********1223</t>
  </si>
  <si>
    <t>460033********0391</t>
  </si>
  <si>
    <t>460200********1405</t>
  </si>
  <si>
    <t>460001********1921</t>
  </si>
  <si>
    <t>460001********1328</t>
  </si>
  <si>
    <t>460006********8722</t>
  </si>
  <si>
    <t>460004********0059</t>
  </si>
  <si>
    <t>460007********5053</t>
  </si>
  <si>
    <t>460034********0413</t>
  </si>
  <si>
    <t>460004********0267</t>
  </si>
  <si>
    <t>460035********0014</t>
  </si>
  <si>
    <t>460200********4432</t>
  </si>
  <si>
    <t>460032********6160</t>
  </si>
  <si>
    <t>460104********0311</t>
  </si>
  <si>
    <t>460035********0923</t>
  </si>
  <si>
    <t>11402—保亭公路分局-财务会计岗（九级管理）</t>
  </si>
  <si>
    <t>460002********5218</t>
  </si>
  <si>
    <t>460028********8020</t>
  </si>
  <si>
    <t>460035********0222</t>
  </si>
  <si>
    <t>211322********001X</t>
  </si>
  <si>
    <t>460033********0689</t>
  </si>
  <si>
    <t>460006********4615</t>
  </si>
  <si>
    <t>460200********656X</t>
  </si>
  <si>
    <t>460033********4606</t>
  </si>
  <si>
    <t>460035********2127</t>
  </si>
  <si>
    <t>460006********2938</t>
  </si>
  <si>
    <t>460035********0021</t>
  </si>
  <si>
    <t>460034********3311</t>
  </si>
  <si>
    <t>460028********6828</t>
  </si>
  <si>
    <t>460034********3025</t>
  </si>
  <si>
    <t>460033********4908</t>
  </si>
  <si>
    <t>460300********0321</t>
  </si>
  <si>
    <t>511529********2123</t>
  </si>
  <si>
    <t>460200********3830</t>
  </si>
  <si>
    <t>422125********2029</t>
  </si>
  <si>
    <t>460034********2724</t>
  </si>
  <si>
    <t>460034********3077</t>
  </si>
  <si>
    <t>460102********0330</t>
  </si>
  <si>
    <t>460035********0927</t>
  </si>
  <si>
    <t>513023********5818</t>
  </si>
  <si>
    <t>460034********0015</t>
  </si>
  <si>
    <t>460200********0261</t>
  </si>
  <si>
    <t>460034********1230</t>
  </si>
  <si>
    <t>460200********2926</t>
  </si>
  <si>
    <t>460006********0040</t>
  </si>
  <si>
    <t>460007********0060</t>
  </si>
  <si>
    <t>469024********0968</t>
  </si>
  <si>
    <t>460200********0070</t>
  </si>
  <si>
    <t>460035********2324</t>
  </si>
  <si>
    <t>460033********0058</t>
  </si>
  <si>
    <t>460033********0031</t>
  </si>
  <si>
    <t>460030********5428</t>
  </si>
  <si>
    <t>460004********0063</t>
  </si>
  <si>
    <t>460035********1129</t>
  </si>
  <si>
    <t>460035********1928</t>
  </si>
  <si>
    <t>460200********2545</t>
  </si>
  <si>
    <t>460034********1514</t>
  </si>
  <si>
    <t>460200********5511</t>
  </si>
  <si>
    <t>445121********5310</t>
  </si>
  <si>
    <t>460034********5020</t>
  </si>
  <si>
    <t>460200********0288</t>
  </si>
  <si>
    <t>460001********0718</t>
  </si>
  <si>
    <t>460200********2508</t>
  </si>
  <si>
    <t>469029********2524</t>
  </si>
  <si>
    <t>460200********5720</t>
  </si>
  <si>
    <t>460034********5010</t>
  </si>
  <si>
    <t>460006********4825</t>
  </si>
  <si>
    <t>460035********2320</t>
  </si>
  <si>
    <t>532128********0367</t>
  </si>
  <si>
    <t>460002********1553</t>
  </si>
  <si>
    <t>460033********3245</t>
  </si>
  <si>
    <t>460033********4208</t>
  </si>
  <si>
    <t>460025********1221</t>
  </si>
  <si>
    <t>460035********0017</t>
  </si>
  <si>
    <t>460006********2342</t>
  </si>
  <si>
    <t>469007********497X</t>
  </si>
  <si>
    <t>460200********1667</t>
  </si>
  <si>
    <t>460200********3160</t>
  </si>
  <si>
    <t>460004********5242</t>
  </si>
  <si>
    <t>460200********0523</t>
  </si>
  <si>
    <t>469028********0023</t>
  </si>
  <si>
    <t>460028********5211</t>
  </si>
  <si>
    <t>460007********5381</t>
  </si>
  <si>
    <t>460005********3222</t>
  </si>
  <si>
    <t>469027********7189</t>
  </si>
  <si>
    <t>460034********122X</t>
  </si>
  <si>
    <t>460003********402X</t>
  </si>
  <si>
    <t>460034********0915</t>
  </si>
  <si>
    <t>500221********2949</t>
  </si>
  <si>
    <t>460006********2927</t>
  </si>
  <si>
    <t>653222********0265</t>
  </si>
  <si>
    <t>460200********5520</t>
  </si>
  <si>
    <t>460034********1217</t>
  </si>
  <si>
    <t>460035********3435</t>
  </si>
  <si>
    <t>460006********5228</t>
  </si>
  <si>
    <t>460001********1324</t>
  </si>
  <si>
    <t>440982********6924</t>
  </si>
  <si>
    <t>460035********0022</t>
  </si>
  <si>
    <t>469028********5023</t>
  </si>
  <si>
    <t>469007********5762</t>
  </si>
  <si>
    <t>460034********1861</t>
  </si>
  <si>
    <t>460034********442X</t>
  </si>
  <si>
    <t>460200********2722</t>
  </si>
  <si>
    <t>460035********2728</t>
  </si>
  <si>
    <t>460004********4628</t>
  </si>
  <si>
    <t>460200********360X</t>
  </si>
  <si>
    <t>460035********2528</t>
  </si>
  <si>
    <t>460033********3580</t>
  </si>
  <si>
    <t>460034********6318</t>
  </si>
  <si>
    <t>460034********1274</t>
  </si>
  <si>
    <t>460004********2222</t>
  </si>
  <si>
    <t>460033********3236</t>
  </si>
  <si>
    <t>460003********3426</t>
  </si>
  <si>
    <t>460006********4035</t>
  </si>
  <si>
    <t>460034********0011</t>
  </si>
  <si>
    <t>469027********478X</t>
  </si>
  <si>
    <t>460300********0025</t>
  </si>
  <si>
    <t>460035********1136</t>
  </si>
  <si>
    <t>460028********0048</t>
  </si>
  <si>
    <t>460003********742X</t>
  </si>
  <si>
    <t>460031********5245</t>
  </si>
  <si>
    <t>460035********2129</t>
  </si>
  <si>
    <t>11403—保亭公路分局-统计及信息化岗（十级管理）</t>
  </si>
  <si>
    <t>460200********5536</t>
  </si>
  <si>
    <t>469003********7020</t>
  </si>
  <si>
    <t>371325********4730</t>
  </si>
  <si>
    <t>460200********3417</t>
  </si>
  <si>
    <t>460003********4011</t>
  </si>
  <si>
    <t>230523********0437</t>
  </si>
  <si>
    <t>460006********2016</t>
  </si>
  <si>
    <t>460033********4215</t>
  </si>
  <si>
    <t>460006********6812</t>
  </si>
  <si>
    <t>460027********3712</t>
  </si>
  <si>
    <t>469003********4126</t>
  </si>
  <si>
    <t>460035********0213</t>
  </si>
  <si>
    <t>460027********1310</t>
  </si>
  <si>
    <t>340621********2056</t>
  </si>
  <si>
    <t>460300********0634</t>
  </si>
  <si>
    <t>140402********0836</t>
  </si>
  <si>
    <t>460200********5516</t>
  </si>
  <si>
    <t>460007********0064</t>
  </si>
  <si>
    <t>460003********3041</t>
  </si>
  <si>
    <t>460003********422X</t>
  </si>
  <si>
    <t>460103********1519</t>
  </si>
  <si>
    <t>421081********0636</t>
  </si>
  <si>
    <t>460001********0732</t>
  </si>
  <si>
    <t>460035********0922</t>
  </si>
  <si>
    <t>460030********001X</t>
  </si>
  <si>
    <t>460036********0827</t>
  </si>
  <si>
    <t>460002********6025</t>
  </si>
  <si>
    <t>460007********0415</t>
  </si>
  <si>
    <t>460034********3019</t>
  </si>
  <si>
    <t>460200********4906</t>
  </si>
  <si>
    <t>460033********0010</t>
  </si>
  <si>
    <t>460003********285X</t>
  </si>
  <si>
    <t>460033********4495</t>
  </si>
  <si>
    <t>460004********0013</t>
  </si>
  <si>
    <t>460004********0056</t>
  </si>
  <si>
    <t>460107********264X</t>
  </si>
  <si>
    <t>460003********2457</t>
  </si>
  <si>
    <t>460036********2148</t>
  </si>
  <si>
    <t>460025********3612</t>
  </si>
  <si>
    <t>11404—保亭公路分局-路桥技术岗（九级管理）</t>
  </si>
  <si>
    <t>460033********3916</t>
  </si>
  <si>
    <t>460035********0016</t>
  </si>
  <si>
    <t>460004********1018</t>
  </si>
  <si>
    <t>460007********0053</t>
  </si>
  <si>
    <t>460035********1133</t>
  </si>
  <si>
    <t>622801********0053</t>
  </si>
  <si>
    <t>150222********0013</t>
  </si>
  <si>
    <t>460028********3215</t>
  </si>
  <si>
    <t>460200********511X</t>
  </si>
  <si>
    <t>410224********0710</t>
  </si>
  <si>
    <t>452123********491X</t>
  </si>
  <si>
    <t>460035********111X</t>
  </si>
  <si>
    <t>460200********0018</t>
  </si>
  <si>
    <t>460030********0012</t>
  </si>
  <si>
    <t>460025********241X</t>
  </si>
  <si>
    <t>460027********2957</t>
  </si>
  <si>
    <t>11501—澄迈公路分局-路桥技术岗（十二级专技）</t>
  </si>
  <si>
    <t>230381********0337</t>
  </si>
  <si>
    <t>530421********1518</t>
  </si>
  <si>
    <t>460027********2613</t>
  </si>
  <si>
    <t>469003********2790</t>
  </si>
  <si>
    <t>460027********1764</t>
  </si>
  <si>
    <t>460027********8239</t>
  </si>
  <si>
    <t>460033********0019</t>
  </si>
  <si>
    <t>460027********4415</t>
  </si>
  <si>
    <t>460027********2016</t>
  </si>
  <si>
    <t>370782********7626</t>
  </si>
  <si>
    <t>460006********7811</t>
  </si>
  <si>
    <t>230833********0557</t>
  </si>
  <si>
    <t>460200********0976</t>
  </si>
  <si>
    <t>460027********1719</t>
  </si>
  <si>
    <t>460103********1247</t>
  </si>
  <si>
    <t>460028********4032</t>
  </si>
  <si>
    <t>11502—澄迈公路分局-财务会计岗（十二级专技）</t>
  </si>
  <si>
    <t>460027********0055</t>
  </si>
  <si>
    <t>460027********2327</t>
  </si>
  <si>
    <t>469027********4547</t>
  </si>
  <si>
    <t>460004********3629</t>
  </si>
  <si>
    <t>460028********0428</t>
  </si>
  <si>
    <t>460027********2627</t>
  </si>
  <si>
    <t>460005********6412</t>
  </si>
  <si>
    <t>460030********4222</t>
  </si>
  <si>
    <t>460033********0681</t>
  </si>
  <si>
    <t>11503—澄迈公路分局-筑路机械与材料管理岗（九级管理）</t>
  </si>
  <si>
    <t>460004********4213</t>
  </si>
  <si>
    <t>460004********5230</t>
  </si>
  <si>
    <t>460007********7613</t>
  </si>
  <si>
    <t>460027********4717</t>
  </si>
  <si>
    <t>440923********7332</t>
  </si>
  <si>
    <t>460022********0513</t>
  </si>
  <si>
    <t>460103********2753</t>
  </si>
  <si>
    <t>460028********3632</t>
  </si>
  <si>
    <t>140109********4210</t>
  </si>
  <si>
    <t>460036********5210</t>
  </si>
  <si>
    <t>460007********6810</t>
  </si>
  <si>
    <t>460004********5214</t>
  </si>
  <si>
    <t>460007********7634</t>
  </si>
  <si>
    <t>460027********561X</t>
  </si>
  <si>
    <t>460004********1411</t>
  </si>
  <si>
    <t>460027********5918</t>
  </si>
  <si>
    <t>460027********6217</t>
  </si>
  <si>
    <t>460033********3910</t>
  </si>
  <si>
    <t>460028********0951</t>
  </si>
  <si>
    <t>460028********4844</t>
  </si>
  <si>
    <t>230903********1418</t>
  </si>
  <si>
    <t>460028********2412</t>
  </si>
  <si>
    <t>460027********8537</t>
  </si>
  <si>
    <t>460028********2454</t>
  </si>
  <si>
    <t>460001********1315</t>
  </si>
  <si>
    <t>350583********1015</t>
  </si>
  <si>
    <t>360481********4018</t>
  </si>
  <si>
    <t>460027********8215</t>
  </si>
  <si>
    <t>360421********003X</t>
  </si>
  <si>
    <t>460003********2879</t>
  </si>
  <si>
    <t>460028********6816</t>
  </si>
  <si>
    <t>460027********4111</t>
  </si>
  <si>
    <t>460022********4514</t>
  </si>
  <si>
    <t>460026********1211</t>
  </si>
  <si>
    <t>460103********0052</t>
  </si>
  <si>
    <t>460027********1354</t>
  </si>
  <si>
    <t>460003********4814</t>
  </si>
  <si>
    <t>460028********5231</t>
  </si>
  <si>
    <t>230202********1227</t>
  </si>
  <si>
    <t>460003********4810</t>
  </si>
  <si>
    <t>460006********4616</t>
  </si>
  <si>
    <t>469023********0030</t>
  </si>
  <si>
    <t>321284********382X</t>
  </si>
  <si>
    <t>460005********3515</t>
  </si>
  <si>
    <t>460027********5954</t>
  </si>
  <si>
    <t>460027********1036</t>
  </si>
  <si>
    <t>460003********0229</t>
  </si>
  <si>
    <t>460004********5016</t>
  </si>
  <si>
    <t>469023********0031</t>
  </si>
  <si>
    <t>460003********2236</t>
  </si>
  <si>
    <t>460027********2916</t>
  </si>
  <si>
    <t>469023********061X</t>
  </si>
  <si>
    <t>460004********0842</t>
  </si>
  <si>
    <t>460104********1210</t>
  </si>
  <si>
    <t>460007********6191</t>
  </si>
  <si>
    <t>460026********0052</t>
  </si>
  <si>
    <t>460028********2013</t>
  </si>
  <si>
    <t>460027********0611</t>
  </si>
  <si>
    <t>460004********0018</t>
  </si>
  <si>
    <t>11504—澄迈公路分局-园林技术岗（九级管理）</t>
  </si>
  <si>
    <t>460004********0233</t>
  </si>
  <si>
    <t>460027********6622</t>
  </si>
  <si>
    <t>460104********0340</t>
  </si>
  <si>
    <t>460003********2820</t>
  </si>
  <si>
    <t>11505—澄迈公路分局-统计及信息化岗（九级管理）</t>
  </si>
  <si>
    <t>460025********1225</t>
  </si>
  <si>
    <t>460003********5841</t>
  </si>
  <si>
    <t>460027********851X</t>
  </si>
  <si>
    <t>460027********0057</t>
  </si>
  <si>
    <t>460003********6717</t>
  </si>
  <si>
    <t>469005********1227</t>
  </si>
  <si>
    <t>460027********0410</t>
  </si>
  <si>
    <t>430726********1348</t>
  </si>
  <si>
    <t>460103********2715</t>
  </si>
  <si>
    <t>460036********2937</t>
  </si>
  <si>
    <t>460004********0010</t>
  </si>
  <si>
    <t>460004********122X</t>
  </si>
  <si>
    <t>460028********5212</t>
  </si>
  <si>
    <t>460004********1026</t>
  </si>
  <si>
    <t>469023********1315</t>
  </si>
  <si>
    <t>460028********043X</t>
  </si>
  <si>
    <t>460104********1218</t>
  </si>
  <si>
    <t>460028********6072</t>
  </si>
  <si>
    <t>460028********5613</t>
  </si>
  <si>
    <t>460027********1323</t>
  </si>
  <si>
    <t>460027********0638</t>
  </si>
  <si>
    <t>460027********2054</t>
  </si>
  <si>
    <t>232303********0845</t>
  </si>
  <si>
    <t>460027********4114</t>
  </si>
  <si>
    <t>460002********182X</t>
  </si>
  <si>
    <t>460027********0610</t>
  </si>
  <si>
    <t>460006********0044</t>
  </si>
  <si>
    <t>469023********0011</t>
  </si>
  <si>
    <t>460004********141X</t>
  </si>
  <si>
    <t>460028********6835</t>
  </si>
  <si>
    <t>460027********1029</t>
  </si>
  <si>
    <t>620521********2707</t>
  </si>
  <si>
    <t>460003********461X</t>
  </si>
  <si>
    <t>460105********7522</t>
  </si>
  <si>
    <t>460026********4220</t>
  </si>
  <si>
    <t>230624********2036</t>
  </si>
  <si>
    <t>460028********5638</t>
  </si>
  <si>
    <t>460027********0032</t>
  </si>
  <si>
    <t>460102********211X</t>
  </si>
  <si>
    <t>460004********2828</t>
  </si>
  <si>
    <t>460028********4029</t>
  </si>
  <si>
    <t>370902********0019</t>
  </si>
  <si>
    <t>460028********0015</t>
  </si>
  <si>
    <t>460004********0815</t>
  </si>
  <si>
    <t>460026********0318</t>
  </si>
  <si>
    <t>460007********0036</t>
  </si>
  <si>
    <t>460027********5315</t>
  </si>
  <si>
    <t>460104********0954</t>
  </si>
  <si>
    <t>460033********6896</t>
  </si>
  <si>
    <t>421127********0440</t>
  </si>
  <si>
    <t>460027********5620</t>
  </si>
  <si>
    <t>460002********3617</t>
  </si>
  <si>
    <t>460026********1510</t>
  </si>
  <si>
    <t>460004********3447</t>
  </si>
  <si>
    <t>460007********4964</t>
  </si>
  <si>
    <t>460004********6418</t>
  </si>
  <si>
    <t>11506—澄迈公路分局-党建党务岗（九级管理）</t>
  </si>
  <si>
    <t>469001********052X</t>
  </si>
  <si>
    <t>460027********6244</t>
  </si>
  <si>
    <t>11507—澄迈公路分局-人力资源管理岗（九级管理）</t>
  </si>
  <si>
    <t>460200********0285</t>
  </si>
  <si>
    <t>469024********1218</t>
  </si>
  <si>
    <t>452124********0944</t>
  </si>
  <si>
    <t>460027********1069</t>
  </si>
  <si>
    <t>522726********1718</t>
  </si>
  <si>
    <t>469029********1125</t>
  </si>
  <si>
    <t>460200********4945</t>
  </si>
  <si>
    <t>460007********0012</t>
  </si>
  <si>
    <t>460031********6828</t>
  </si>
  <si>
    <t>11508—澄迈公路分局-安全生产管理岗（九级管理）</t>
  </si>
  <si>
    <t>460027********0615</t>
  </si>
  <si>
    <t>460027********1024</t>
  </si>
  <si>
    <t>431081********0835</t>
  </si>
  <si>
    <t>469023********0013</t>
  </si>
  <si>
    <t>460027********1048</t>
  </si>
  <si>
    <t>460027********0419</t>
  </si>
  <si>
    <t>440781********5020</t>
  </si>
  <si>
    <t>460027********0033</t>
  </si>
  <si>
    <t>469023********0015</t>
  </si>
  <si>
    <t>460027********1730</t>
  </si>
  <si>
    <t>460022********4613</t>
  </si>
  <si>
    <t>469023********1312</t>
  </si>
  <si>
    <t>360521********0016</t>
  </si>
  <si>
    <t>460027********2014</t>
  </si>
  <si>
    <t>460033********4517</t>
  </si>
  <si>
    <t>460027********4730</t>
  </si>
  <si>
    <t>460033********3259</t>
  </si>
  <si>
    <t>460035********1130</t>
  </si>
  <si>
    <t>441781********2215</t>
  </si>
  <si>
    <t>469023********1331</t>
  </si>
  <si>
    <t>11601—临高公路分局-路桥技术岗（十二级专技）</t>
  </si>
  <si>
    <t>469024********7236</t>
  </si>
  <si>
    <t>460028********1614</t>
  </si>
  <si>
    <t>469024********2013</t>
  </si>
  <si>
    <t>460200********5152</t>
  </si>
  <si>
    <t>460006********201X</t>
  </si>
  <si>
    <t>460028********6030</t>
  </si>
  <si>
    <t>460033********3256</t>
  </si>
  <si>
    <t>460028********6830</t>
  </si>
  <si>
    <t>460025********0046</t>
  </si>
  <si>
    <t>460028********0434</t>
  </si>
  <si>
    <t>460028********0437</t>
  </si>
  <si>
    <t>460028********0878</t>
  </si>
  <si>
    <t>460028********0813</t>
  </si>
  <si>
    <t>460028********6017</t>
  </si>
  <si>
    <t>460003********7677</t>
  </si>
  <si>
    <t>460028********6055</t>
  </si>
  <si>
    <t>469024********2026</t>
  </si>
  <si>
    <t>469024********0423</t>
  </si>
  <si>
    <t>341225********0437</t>
  </si>
  <si>
    <t>460028********6019</t>
  </si>
  <si>
    <t>460003********1417</t>
  </si>
  <si>
    <t>460028********3639</t>
  </si>
  <si>
    <t>460004********0030</t>
  </si>
  <si>
    <t>460028********0038</t>
  </si>
  <si>
    <t>11602—临高公路分局-筑路机械与材料管理岗（十二级专技）</t>
  </si>
  <si>
    <t>460035********0917</t>
  </si>
  <si>
    <t>120107********3914</t>
  </si>
  <si>
    <t>460033********4853</t>
  </si>
  <si>
    <t>460003********7410</t>
  </si>
  <si>
    <t>460004********501X</t>
  </si>
  <si>
    <t>460102********1813</t>
  </si>
  <si>
    <t>460003********1432</t>
  </si>
  <si>
    <t>11603—临高公路分局-文秘岗（九级管理）</t>
  </si>
  <si>
    <t>460028********0049</t>
  </si>
  <si>
    <t>460003********1815</t>
  </si>
  <si>
    <t>460003********2632</t>
  </si>
  <si>
    <t>460003********0026</t>
  </si>
  <si>
    <t>460028********0436</t>
  </si>
  <si>
    <t>460003********0220</t>
  </si>
  <si>
    <t>460003********4641</t>
  </si>
  <si>
    <t>460027********2322</t>
  </si>
  <si>
    <t>460002********362X</t>
  </si>
  <si>
    <t>460028********2023</t>
  </si>
  <si>
    <t>460004********5256</t>
  </si>
  <si>
    <t>532626********2744</t>
  </si>
  <si>
    <t>460028********3220</t>
  </si>
  <si>
    <t>460006********0034</t>
  </si>
  <si>
    <t>460005********5186</t>
  </si>
  <si>
    <t>460028********0425</t>
  </si>
  <si>
    <t>460102********1239</t>
  </si>
  <si>
    <t>612301********0391</t>
  </si>
  <si>
    <t>460102********0030</t>
  </si>
  <si>
    <t>460005********6223</t>
  </si>
  <si>
    <t>460033********3912</t>
  </si>
  <si>
    <t>610625********1027</t>
  </si>
  <si>
    <t>469024********0448</t>
  </si>
  <si>
    <t>460027********2629</t>
  </si>
  <si>
    <t>460003********0626</t>
  </si>
  <si>
    <t>460028********2828</t>
  </si>
  <si>
    <t>510521********802X</t>
  </si>
  <si>
    <t>460004********4423</t>
  </si>
  <si>
    <t>469026********6828</t>
  </si>
  <si>
    <t>460003********3276</t>
  </si>
  <si>
    <t>460028********0810</t>
  </si>
  <si>
    <t>460028********0104</t>
  </si>
  <si>
    <t>460031********6837</t>
  </si>
  <si>
    <t>460027********3422</t>
  </si>
  <si>
    <t>460033********2100</t>
  </si>
  <si>
    <t>469003********3722</t>
  </si>
  <si>
    <t>460003********4440</t>
  </si>
  <si>
    <t>460027********2940</t>
  </si>
  <si>
    <t>460025********4829</t>
  </si>
  <si>
    <t>460003********6822</t>
  </si>
  <si>
    <t>460003********182X</t>
  </si>
  <si>
    <t>469024********2047</t>
  </si>
  <si>
    <t>460004********5047</t>
  </si>
  <si>
    <t>469024********5228</t>
  </si>
  <si>
    <t>530402********1817</t>
  </si>
  <si>
    <t>360824********5423</t>
  </si>
  <si>
    <t>460032********4372</t>
  </si>
  <si>
    <t>460031********0065</t>
  </si>
  <si>
    <t>360502********1324</t>
  </si>
  <si>
    <t>460105********6822</t>
  </si>
  <si>
    <t>230102********343X</t>
  </si>
  <si>
    <t>460028********2820</t>
  </si>
  <si>
    <t>460030********5728</t>
  </si>
  <si>
    <t>460030********1520</t>
  </si>
  <si>
    <t>460103********0321</t>
  </si>
  <si>
    <t>460028********2861</t>
  </si>
  <si>
    <t>460003********1413</t>
  </si>
  <si>
    <t>460028********2024</t>
  </si>
  <si>
    <t>412723********6446</t>
  </si>
  <si>
    <t>460031********5226</t>
  </si>
  <si>
    <t>460103********271X</t>
  </si>
  <si>
    <t>532526********084X</t>
  </si>
  <si>
    <t>460007********0028</t>
  </si>
  <si>
    <t>460004********4043</t>
  </si>
  <si>
    <t>460004********3013</t>
  </si>
  <si>
    <t>460027********0643</t>
  </si>
  <si>
    <t>230602********441X</t>
  </si>
  <si>
    <t>460003********8229</t>
  </si>
  <si>
    <t>460005********5112</t>
  </si>
  <si>
    <t>460001********1029</t>
  </si>
  <si>
    <t>460005********4322</t>
  </si>
  <si>
    <t>460028********6820</t>
  </si>
  <si>
    <t>460102********1511</t>
  </si>
  <si>
    <t>460007********0429</t>
  </si>
  <si>
    <t>460028********0476</t>
  </si>
  <si>
    <t>460003********6229</t>
  </si>
  <si>
    <t>460035********0428</t>
  </si>
  <si>
    <t>460200********535X</t>
  </si>
  <si>
    <t>460003********0044</t>
  </si>
  <si>
    <t>469024********0048</t>
  </si>
  <si>
    <t>460003********0466</t>
  </si>
  <si>
    <t>130322********4829</t>
  </si>
  <si>
    <t>460005********6823</t>
  </si>
  <si>
    <t>460003********0214</t>
  </si>
  <si>
    <t>460028********0447</t>
  </si>
  <si>
    <t>460028********1221</t>
  </si>
  <si>
    <t>440882********4489</t>
  </si>
  <si>
    <t>460028********5247</t>
  </si>
  <si>
    <t>460103********1210</t>
  </si>
  <si>
    <t>460031********0416</t>
  </si>
  <si>
    <t>11701—白沙公路分局-路桥技术岗（十二级专技）</t>
  </si>
  <si>
    <t>460006********7525</t>
  </si>
  <si>
    <t>460003********7416</t>
  </si>
  <si>
    <t>460025********2113</t>
  </si>
  <si>
    <t>460035********1912</t>
  </si>
  <si>
    <t>652827********3621</t>
  </si>
  <si>
    <t>460003********4813</t>
  </si>
  <si>
    <t>460028********0811</t>
  </si>
  <si>
    <t>460003********4619</t>
  </si>
  <si>
    <t>460003********661X</t>
  </si>
  <si>
    <t>460027********1714</t>
  </si>
  <si>
    <t>469024********007X</t>
  </si>
  <si>
    <t>460007********0010</t>
  </si>
  <si>
    <t>460030********3325</t>
  </si>
  <si>
    <t>460007********0432</t>
  </si>
  <si>
    <t>460030********0026</t>
  </si>
  <si>
    <t>11702—白沙公路分局-法律法务岗（九级管理）</t>
  </si>
  <si>
    <t>460022********353X</t>
  </si>
  <si>
    <t>460007********0417</t>
  </si>
  <si>
    <t>460007********7224</t>
  </si>
  <si>
    <t>460030********1525</t>
  </si>
  <si>
    <t>460003********2614</t>
  </si>
  <si>
    <t>460034********1841</t>
  </si>
  <si>
    <t>460027********0614</t>
  </si>
  <si>
    <t>460003********762X</t>
  </si>
  <si>
    <t>460031********5610</t>
  </si>
  <si>
    <t>469003********6129</t>
  </si>
  <si>
    <t>460025********0019</t>
  </si>
  <si>
    <t>460103********2112</t>
  </si>
  <si>
    <t>532722********0322</t>
  </si>
  <si>
    <t>460003********1627</t>
  </si>
  <si>
    <t>460031********5264</t>
  </si>
  <si>
    <t>469003********6124</t>
  </si>
  <si>
    <t>460003********2832</t>
  </si>
  <si>
    <t>460036********4820</t>
  </si>
  <si>
    <t>230822********5848</t>
  </si>
  <si>
    <t>412726********4926</t>
  </si>
  <si>
    <t>460300********0028</t>
  </si>
  <si>
    <t>460006********4059</t>
  </si>
  <si>
    <t>460030********5427</t>
  </si>
  <si>
    <t>469003********0310</t>
  </si>
  <si>
    <t>460027********0449</t>
  </si>
  <si>
    <t>460003********0230</t>
  </si>
  <si>
    <t>460001********0333</t>
  </si>
  <si>
    <t>460003********2816</t>
  </si>
  <si>
    <t>460030********3327</t>
  </si>
  <si>
    <t>460003********2829</t>
  </si>
  <si>
    <t>460003********0423</t>
  </si>
  <si>
    <t>460031********5613</t>
  </si>
  <si>
    <t>410821********4524</t>
  </si>
  <si>
    <t>460028********0831</t>
  </si>
  <si>
    <t>460003********4818</t>
  </si>
  <si>
    <t>460006********1622</t>
  </si>
  <si>
    <t>411421********2117</t>
  </si>
  <si>
    <t>460006********2325</t>
  </si>
  <si>
    <t>460030********2424</t>
  </si>
  <si>
    <t>460030********721X</t>
  </si>
  <si>
    <t>460030********7245</t>
  </si>
  <si>
    <t>460003********0231</t>
  </si>
  <si>
    <t>411102********0016</t>
  </si>
  <si>
    <t>460003********741X</t>
  </si>
  <si>
    <t>460026********0018</t>
  </si>
  <si>
    <t>460003********0245</t>
  </si>
  <si>
    <t>460031********0423</t>
  </si>
  <si>
    <t>469024********6027</t>
  </si>
  <si>
    <t>460003********6664</t>
  </si>
  <si>
    <t>460003********6640</t>
  </si>
  <si>
    <t>460003********3145</t>
  </si>
  <si>
    <t>411303********1827</t>
  </si>
  <si>
    <t>440825********0112</t>
  </si>
  <si>
    <t>460028********0035</t>
  </si>
  <si>
    <t>460030********1528</t>
  </si>
  <si>
    <t>341225********0581</t>
  </si>
  <si>
    <t>460003********5837</t>
  </si>
  <si>
    <t>460003********0225</t>
  </si>
  <si>
    <t>469003********2412</t>
  </si>
  <si>
    <t>460031********5222</t>
  </si>
  <si>
    <t>469003********2711</t>
  </si>
  <si>
    <t>460031********6424</t>
  </si>
  <si>
    <t>460003********7834</t>
  </si>
  <si>
    <t>460003********2833</t>
  </si>
  <si>
    <t>460003********0640</t>
  </si>
  <si>
    <t>460035********0215</t>
  </si>
  <si>
    <t>460002********0349</t>
  </si>
  <si>
    <t>460003********0620</t>
  </si>
  <si>
    <t>460003********4623</t>
  </si>
  <si>
    <t>460003********003X</t>
  </si>
  <si>
    <t>469003********2726</t>
  </si>
  <si>
    <t>460003********2426</t>
  </si>
  <si>
    <t>460003********2422</t>
  </si>
  <si>
    <t>460003********2624</t>
  </si>
  <si>
    <t>460030********2421</t>
  </si>
  <si>
    <t>460003********3422</t>
  </si>
  <si>
    <t>11703—白沙公路分局-财务会计岗（九级管理）</t>
  </si>
  <si>
    <t>460007********042X</t>
  </si>
  <si>
    <t>460031********4024</t>
  </si>
  <si>
    <t>232101********6413</t>
  </si>
  <si>
    <t>460005********211X</t>
  </si>
  <si>
    <t>460007********0029</t>
  </si>
  <si>
    <t>460031********6020</t>
  </si>
  <si>
    <t>460003********288X</t>
  </si>
  <si>
    <t>460004********3224</t>
  </si>
  <si>
    <t>469003********2764</t>
  </si>
  <si>
    <t>460030********121X</t>
  </si>
  <si>
    <t>469003********2791</t>
  </si>
  <si>
    <t>460003********3325</t>
  </si>
  <si>
    <t>460033********4506</t>
  </si>
  <si>
    <t>460300********0626</t>
  </si>
  <si>
    <t>460033********6589</t>
  </si>
  <si>
    <t>460030********4829</t>
  </si>
  <si>
    <t>140107********1713</t>
  </si>
  <si>
    <t>460003********0023</t>
  </si>
  <si>
    <t>460003********7029</t>
  </si>
  <si>
    <t>460004********582X</t>
  </si>
  <si>
    <t>469007********7223</t>
  </si>
  <si>
    <t>460003********7623</t>
  </si>
  <si>
    <t>460004********022X</t>
  </si>
  <si>
    <t>460030********031X</t>
  </si>
  <si>
    <t>460030********3013</t>
  </si>
  <si>
    <t>460003********6792</t>
  </si>
  <si>
    <t>460003********3059</t>
  </si>
  <si>
    <t>460003********2441</t>
  </si>
  <si>
    <t>460001********0240</t>
  </si>
  <si>
    <t>460006********0232</t>
  </si>
  <si>
    <t>460030********6029</t>
  </si>
  <si>
    <t>460030********5417</t>
  </si>
  <si>
    <t>460028********2411</t>
  </si>
  <si>
    <t>460033********0017</t>
  </si>
  <si>
    <t>460030********4825</t>
  </si>
  <si>
    <t>360428********6251</t>
  </si>
  <si>
    <t>460003********2085</t>
  </si>
  <si>
    <t>460003********2243</t>
  </si>
  <si>
    <t>450422********3629</t>
  </si>
  <si>
    <t>460003********7629</t>
  </si>
  <si>
    <t>460003********2627</t>
  </si>
  <si>
    <t>460003********2649</t>
  </si>
  <si>
    <t>460300********0017</t>
  </si>
  <si>
    <t>460102********272X</t>
  </si>
  <si>
    <t>460030********4824</t>
  </si>
  <si>
    <t>460200********4913</t>
  </si>
  <si>
    <t>460200********0040</t>
  </si>
  <si>
    <t>469003********6426</t>
  </si>
  <si>
    <t>460003********5226</t>
  </si>
  <si>
    <t>460030********5440</t>
  </si>
  <si>
    <t>362204********6115</t>
  </si>
  <si>
    <t>460200********2362</t>
  </si>
  <si>
    <t>460033********1771</t>
  </si>
  <si>
    <t>460033********3338</t>
  </si>
  <si>
    <t>460007********045X</t>
  </si>
  <si>
    <t>469025********302X</t>
  </si>
  <si>
    <t>460027********2325</t>
  </si>
  <si>
    <t>460300********0020</t>
  </si>
  <si>
    <t>460003********3267</t>
  </si>
  <si>
    <t>441521********1121</t>
  </si>
  <si>
    <t>460002********281X</t>
  </si>
  <si>
    <t>460026********0320</t>
  </si>
  <si>
    <t>460200********2079</t>
  </si>
  <si>
    <t>460033********3888</t>
  </si>
  <si>
    <t>460007********0829</t>
  </si>
  <si>
    <t>460035********0068</t>
  </si>
  <si>
    <t>460030********0019</t>
  </si>
  <si>
    <t>460003********6840</t>
  </si>
  <si>
    <t>460003********7249</t>
  </si>
  <si>
    <t>460033********568X</t>
  </si>
  <si>
    <t>460028********004X</t>
  </si>
  <si>
    <t>460003********2517</t>
  </si>
  <si>
    <t>460030********6329</t>
  </si>
  <si>
    <t>460033********4226</t>
  </si>
  <si>
    <t>410181********1024</t>
  </si>
  <si>
    <t>460300********0021</t>
  </si>
  <si>
    <t>460003********0627</t>
  </si>
  <si>
    <t>460031********3228</t>
  </si>
  <si>
    <t>460200********3907</t>
  </si>
  <si>
    <t>460007********0421</t>
  </si>
  <si>
    <t>460003********4638</t>
  </si>
  <si>
    <t>460031********3236</t>
  </si>
  <si>
    <t>460031********5248</t>
  </si>
  <si>
    <t>460003********0637</t>
  </si>
  <si>
    <t>469025********4533</t>
  </si>
  <si>
    <t>460003********2464</t>
  </si>
  <si>
    <t>460003********4063</t>
  </si>
  <si>
    <t>460034********5525</t>
  </si>
  <si>
    <t>460003********3053</t>
  </si>
  <si>
    <t>460003********5444</t>
  </si>
  <si>
    <t>460003********2861</t>
  </si>
  <si>
    <t>460003********0032</t>
  </si>
  <si>
    <t>460003********0234</t>
  </si>
  <si>
    <t>469025********1510</t>
  </si>
  <si>
    <t>460031********5629</t>
  </si>
  <si>
    <t>460031********1220</t>
  </si>
  <si>
    <t>460027********8544</t>
  </si>
  <si>
    <t>460003********0615</t>
  </si>
  <si>
    <t>460030********0025</t>
  </si>
  <si>
    <t>469027********4785</t>
  </si>
  <si>
    <t>460102********124X</t>
  </si>
  <si>
    <t>460003********6666</t>
  </si>
  <si>
    <t>469026********566X</t>
  </si>
  <si>
    <t>440825********2619</t>
  </si>
  <si>
    <t>232700********0013</t>
  </si>
  <si>
    <t>460003********5425</t>
  </si>
  <si>
    <t>460030********005X</t>
  </si>
  <si>
    <t>460028********3248</t>
  </si>
  <si>
    <t>460030********1846</t>
  </si>
  <si>
    <t>450123********3628</t>
  </si>
  <si>
    <t>460030********2426</t>
  </si>
  <si>
    <t>460003********0046</t>
  </si>
  <si>
    <t>460200********4443</t>
  </si>
  <si>
    <t>460035********212X</t>
  </si>
  <si>
    <t>460030********4827</t>
  </si>
  <si>
    <t>460030********0922</t>
  </si>
  <si>
    <t>460026********5129</t>
  </si>
  <si>
    <t>430523********7221</t>
  </si>
  <si>
    <t>460003********4617</t>
  </si>
  <si>
    <t>411481********011X</t>
  </si>
  <si>
    <t>460104********0942</t>
  </si>
  <si>
    <t>460031********5624</t>
  </si>
  <si>
    <t>460003********2222</t>
  </si>
  <si>
    <t>460003********4422</t>
  </si>
  <si>
    <t>460022********6249</t>
  </si>
  <si>
    <t>460200********4705</t>
  </si>
  <si>
    <t>460003********7620</t>
  </si>
  <si>
    <t>460003********6821</t>
  </si>
  <si>
    <t>460003********2851</t>
  </si>
  <si>
    <t>460003********2847</t>
  </si>
  <si>
    <t>460033********0061</t>
  </si>
  <si>
    <t>321284********2617</t>
  </si>
  <si>
    <t>321284********0040</t>
  </si>
  <si>
    <t>460033********0026</t>
  </si>
  <si>
    <t>460027********8554</t>
  </si>
  <si>
    <t>460031********0022</t>
  </si>
  <si>
    <t>460033********5088</t>
  </si>
  <si>
    <t>460003********1027</t>
  </si>
  <si>
    <t>469023********0019</t>
  </si>
  <si>
    <t>460003********3037</t>
  </si>
  <si>
    <t>460007********0416</t>
  </si>
  <si>
    <t>460031********6412</t>
  </si>
  <si>
    <t>460004********3626</t>
  </si>
  <si>
    <t>460033********5072</t>
  </si>
  <si>
    <t>460003********2839</t>
  </si>
  <si>
    <t>460027********7048</t>
  </si>
  <si>
    <t>460028********0067</t>
  </si>
  <si>
    <t>460026********001X</t>
  </si>
  <si>
    <t>460003********7222</t>
  </si>
  <si>
    <t>460030********0024</t>
  </si>
  <si>
    <t>460007********0442</t>
  </si>
  <si>
    <t>460030********0040</t>
  </si>
  <si>
    <t>460031********4826</t>
  </si>
  <si>
    <t>460030********0011</t>
  </si>
  <si>
    <t>460003********4823</t>
  </si>
  <si>
    <t>460003********7042</t>
  </si>
  <si>
    <t>460003********2212</t>
  </si>
  <si>
    <t>460003********2822</t>
  </si>
  <si>
    <t>460031********2021</t>
  </si>
  <si>
    <t>460003********4622</t>
  </si>
  <si>
    <t>460003********7644</t>
  </si>
  <si>
    <t>469003********1912</t>
  </si>
  <si>
    <t>469003********6442</t>
  </si>
  <si>
    <t>460003********302X</t>
  </si>
  <si>
    <t>460003********0429</t>
  </si>
  <si>
    <t>460003********4228</t>
  </si>
  <si>
    <t>460027********7624</t>
  </si>
  <si>
    <t>469025********031X</t>
  </si>
  <si>
    <t>460003********5817</t>
  </si>
  <si>
    <t>460028********7629</t>
  </si>
  <si>
    <t>460003********7422</t>
  </si>
  <si>
    <t>460031********6422</t>
  </si>
  <si>
    <t>460003********3829</t>
  </si>
  <si>
    <t>230502********1311</t>
  </si>
  <si>
    <t>460007********5829</t>
  </si>
  <si>
    <t>460033********450X</t>
  </si>
  <si>
    <t>460003********3462</t>
  </si>
  <si>
    <t>460007********4666</t>
  </si>
  <si>
    <t>460033********0686</t>
  </si>
  <si>
    <t>460028********0044</t>
  </si>
  <si>
    <t>460003********3064</t>
  </si>
  <si>
    <t>460003********7616</t>
  </si>
  <si>
    <t>460003********3221</t>
  </si>
  <si>
    <t>460003********1831</t>
  </si>
  <si>
    <t>460004********2021</t>
  </si>
  <si>
    <t>532623********0728</t>
  </si>
  <si>
    <t>460003********4445</t>
  </si>
  <si>
    <t>460003********2798</t>
  </si>
  <si>
    <t>460028********1247</t>
  </si>
  <si>
    <t>460006********4470</t>
  </si>
  <si>
    <t>469003********4815</t>
  </si>
  <si>
    <t>460033********4521</t>
  </si>
  <si>
    <t>460004********1440</t>
  </si>
  <si>
    <t>460003********2239</t>
  </si>
  <si>
    <t>460006********7244</t>
  </si>
  <si>
    <t>460033********3267</t>
  </si>
  <si>
    <t>460035********0033</t>
  </si>
  <si>
    <t>460030********3022</t>
  </si>
  <si>
    <t>460003********4616</t>
  </si>
  <si>
    <t>460003********3868</t>
  </si>
  <si>
    <t>460027********2318</t>
  </si>
  <si>
    <t>460030********1529</t>
  </si>
  <si>
    <t>460003********2663</t>
  </si>
  <si>
    <t>460007********0412</t>
  </si>
  <si>
    <t>460027********7348</t>
  </si>
  <si>
    <t>460003********8221</t>
  </si>
  <si>
    <t>460003********3069</t>
  </si>
  <si>
    <t>230502********0781</t>
  </si>
  <si>
    <t>460003********2814</t>
  </si>
  <si>
    <t>460200********0518</t>
  </si>
  <si>
    <t>460003********0624</t>
  </si>
  <si>
    <t>460026********3939</t>
  </si>
  <si>
    <t>460026********0021</t>
  </si>
  <si>
    <t>460033********3823</t>
  </si>
  <si>
    <t>460030********2425</t>
  </si>
  <si>
    <t>11704—白沙公路分局-园林技术岗（十二级专技）</t>
  </si>
  <si>
    <t>460030********0048</t>
  </si>
  <si>
    <t>460003********0417</t>
  </si>
  <si>
    <t>460036********6219</t>
  </si>
  <si>
    <t>460030********0311</t>
  </si>
  <si>
    <t>460033********326X</t>
  </si>
  <si>
    <t>460003********0021</t>
  </si>
  <si>
    <t>460004********5842</t>
  </si>
  <si>
    <t>460003********7632</t>
  </si>
  <si>
    <t>460002********442X</t>
  </si>
  <si>
    <t>460003********3015</t>
  </si>
  <si>
    <t>460033********088X</t>
  </si>
  <si>
    <t>460003********4621</t>
  </si>
  <si>
    <t>460004********4011</t>
  </si>
  <si>
    <t>460003********4437</t>
  </si>
  <si>
    <t>460003********1426</t>
  </si>
  <si>
    <t>460007********4965</t>
  </si>
  <si>
    <t>460004********0881</t>
  </si>
  <si>
    <t>469023********591X</t>
  </si>
  <si>
    <t>469023********0070</t>
  </si>
  <si>
    <t>460003********2045</t>
  </si>
  <si>
    <t>460003********4828</t>
  </si>
  <si>
    <t>460005********0712</t>
  </si>
  <si>
    <t>460027********411X</t>
  </si>
  <si>
    <t>460034********3640</t>
  </si>
  <si>
    <t>460103********0612</t>
  </si>
  <si>
    <t>460003********2619</t>
  </si>
  <si>
    <t>460003********3231</t>
  </si>
  <si>
    <t>460103********2725</t>
  </si>
  <si>
    <t>500234********0810</t>
  </si>
  <si>
    <t>460003********2837</t>
  </si>
  <si>
    <t>460025********1525</t>
  </si>
  <si>
    <t>460028********6827</t>
  </si>
  <si>
    <t>460003********0030</t>
  </si>
  <si>
    <t>460003********0610</t>
  </si>
  <si>
    <t>460003********2418</t>
  </si>
  <si>
    <t>520123********0824</t>
  </si>
  <si>
    <t>522227********3228</t>
  </si>
  <si>
    <t>11705—白沙公路分局-统计及信息化岗（十二级专技）</t>
  </si>
  <si>
    <t>460027********6628</t>
  </si>
  <si>
    <t>460030********5420</t>
  </si>
  <si>
    <t>469003********7313</t>
  </si>
  <si>
    <t>460003********7419</t>
  </si>
  <si>
    <t>460003********3212</t>
  </si>
  <si>
    <t>460030********0016</t>
  </si>
  <si>
    <t>460030********3316</t>
  </si>
  <si>
    <t>460003********6611</t>
  </si>
  <si>
    <t>460003********021X</t>
  </si>
  <si>
    <t>460003********3094</t>
  </si>
  <si>
    <t>460033********4515</t>
  </si>
  <si>
    <t>460026********0016</t>
  </si>
  <si>
    <t>460003********6219</t>
  </si>
  <si>
    <t>460003********321X</t>
  </si>
  <si>
    <t>460030********0312</t>
  </si>
  <si>
    <t>460107********3416</t>
  </si>
  <si>
    <t>460003********4074</t>
  </si>
  <si>
    <t>469024********5625</t>
  </si>
  <si>
    <t>432502********5159</t>
  </si>
  <si>
    <t>460003********4235</t>
  </si>
  <si>
    <t>460003********6665</t>
  </si>
  <si>
    <t>460030********0030</t>
  </si>
  <si>
    <t>460028********2827</t>
  </si>
  <si>
    <t>460003********0055</t>
  </si>
  <si>
    <t>460003********6825</t>
  </si>
  <si>
    <t>460003********6818</t>
  </si>
  <si>
    <t>460003********202X</t>
  </si>
  <si>
    <t>460007********6818</t>
  </si>
  <si>
    <t>460003********0010</t>
  </si>
  <si>
    <t>460030********034X</t>
  </si>
  <si>
    <t>460031********1219</t>
  </si>
  <si>
    <t>440882********1874</t>
  </si>
  <si>
    <t>460025********3313</t>
  </si>
  <si>
    <t>460003********7251</t>
  </si>
  <si>
    <t>460003********2055</t>
  </si>
  <si>
    <t>460029********6615</t>
  </si>
  <si>
    <t>11706—白沙公路分局-安全生产管理岗（九级管理）</t>
  </si>
  <si>
    <t>460006********1695</t>
  </si>
  <si>
    <t>460036********7519</t>
  </si>
  <si>
    <t>460033********4831</t>
  </si>
  <si>
    <t>460003********2639</t>
  </si>
  <si>
    <t>460030********0355</t>
  </si>
  <si>
    <t>460003********0031</t>
  </si>
  <si>
    <t>460200********4910</t>
  </si>
  <si>
    <t>460036********0438</t>
  </si>
  <si>
    <t>460030********3326</t>
  </si>
  <si>
    <t>460003********3214</t>
  </si>
  <si>
    <t>460030********0318</t>
  </si>
  <si>
    <t>460003********0217</t>
  </si>
  <si>
    <t>530421********2319</t>
  </si>
  <si>
    <t>469003********2211</t>
  </si>
  <si>
    <t>460300********0010</t>
  </si>
  <si>
    <t>460003********7219</t>
  </si>
  <si>
    <t>652323********3522</t>
  </si>
  <si>
    <t>232303********4418</t>
  </si>
  <si>
    <t>460002********2255</t>
  </si>
  <si>
    <t>460003********6633</t>
  </si>
  <si>
    <t>460103********2717</t>
  </si>
  <si>
    <t>460003********3320</t>
  </si>
  <si>
    <t>460030********1818</t>
  </si>
  <si>
    <t>460028********281X</t>
  </si>
  <si>
    <t>460003********2420</t>
  </si>
  <si>
    <t>460027********0016</t>
  </si>
  <si>
    <t>469025********3318</t>
  </si>
  <si>
    <t>11801—昌江公路分局-路桥技术岗（十二级专技）</t>
  </si>
  <si>
    <t>350521********7822</t>
  </si>
  <si>
    <t>460031********0021</t>
  </si>
  <si>
    <t>460033********453X</t>
  </si>
  <si>
    <t>460200********4708</t>
  </si>
  <si>
    <t>460200********469X</t>
  </si>
  <si>
    <t>460003********2238</t>
  </si>
  <si>
    <t>460025********2713</t>
  </si>
  <si>
    <t>460026********1231</t>
  </si>
  <si>
    <t>460200********2918</t>
  </si>
  <si>
    <t>460031********1614</t>
  </si>
  <si>
    <t>460003********3036</t>
  </si>
  <si>
    <t>460033********3893</t>
  </si>
  <si>
    <t>460007********7211</t>
  </si>
  <si>
    <t>469027********3216</t>
  </si>
  <si>
    <t>460007********3613</t>
  </si>
  <si>
    <t>460103********0912</t>
  </si>
  <si>
    <t>469027********2387</t>
  </si>
  <si>
    <t>460003********0413</t>
  </si>
  <si>
    <t>460028********5610</t>
  </si>
  <si>
    <t>460003********3038</t>
  </si>
  <si>
    <t>230805********0617</t>
  </si>
  <si>
    <t>460003********4276</t>
  </si>
  <si>
    <t>469003********0314</t>
  </si>
  <si>
    <t>460003********7650</t>
  </si>
  <si>
    <t>460003********3420</t>
  </si>
  <si>
    <t>460103********0016</t>
  </si>
  <si>
    <t>460031********6010</t>
  </si>
  <si>
    <t>460028********6811</t>
  </si>
  <si>
    <t>460031********6457</t>
  </si>
  <si>
    <t>460027********8517</t>
  </si>
  <si>
    <t>460031********0039</t>
  </si>
  <si>
    <t>210623********066X</t>
  </si>
  <si>
    <t>460035********0046</t>
  </si>
  <si>
    <t>460003********4651</t>
  </si>
  <si>
    <t>460003********6028</t>
  </si>
  <si>
    <t>220322********8899</t>
  </si>
  <si>
    <t>11802—昌江公路分局-安全生产管理岗（九级管理）</t>
  </si>
  <si>
    <t>460031********3218</t>
  </si>
  <si>
    <t>460033********4478</t>
  </si>
  <si>
    <t>220102********0411</t>
  </si>
  <si>
    <t>532626********1310</t>
  </si>
  <si>
    <t>460003********2433</t>
  </si>
  <si>
    <t>469026********5617</t>
  </si>
  <si>
    <t>460007********6812</t>
  </si>
  <si>
    <t>460003********7658</t>
  </si>
  <si>
    <t>460003********041X</t>
  </si>
  <si>
    <t>460003********2618</t>
  </si>
  <si>
    <t>421087********0037</t>
  </si>
  <si>
    <t>460003********6410</t>
  </si>
  <si>
    <t>460031********5216</t>
  </si>
  <si>
    <t>460104********0919</t>
  </si>
  <si>
    <t>11803—昌江公路分局-党建党务岗（九级管理）</t>
  </si>
  <si>
    <t>220802********0616</t>
  </si>
  <si>
    <t>460200********5340</t>
  </si>
  <si>
    <t>460031********6026</t>
  </si>
  <si>
    <t>460033********0047</t>
  </si>
  <si>
    <t>460003********6019</t>
  </si>
  <si>
    <t>460003********5624</t>
  </si>
  <si>
    <t>230833********0024</t>
  </si>
  <si>
    <t>11804—昌江公路分局-人力资源管理岗（九级管理）</t>
  </si>
  <si>
    <t>460003********0241</t>
  </si>
  <si>
    <t>460028********0022</t>
  </si>
  <si>
    <t>460004********2823</t>
  </si>
  <si>
    <t>460004********6425</t>
  </si>
  <si>
    <t>460004********0035</t>
  </si>
  <si>
    <t>460028********0487</t>
  </si>
  <si>
    <t>460103********1232</t>
  </si>
  <si>
    <t>441422********4819</t>
  </si>
  <si>
    <t>460003********3417</t>
  </si>
  <si>
    <t>460027********5926</t>
  </si>
  <si>
    <t>460033********7508</t>
  </si>
  <si>
    <t>460031********121X</t>
  </si>
  <si>
    <t>460025********0987</t>
  </si>
  <si>
    <t>460029********7425</t>
  </si>
  <si>
    <t>421127********5629</t>
  </si>
  <si>
    <t>460007********5375</t>
  </si>
  <si>
    <t>460300********0615</t>
  </si>
  <si>
    <t>460200********4430</t>
  </si>
  <si>
    <t>460006********2361</t>
  </si>
  <si>
    <t>460035********0048</t>
  </si>
  <si>
    <t>460031********6822</t>
  </si>
  <si>
    <t>460003********7820</t>
  </si>
  <si>
    <t>460030********0018</t>
  </si>
  <si>
    <t>460034********3648</t>
  </si>
  <si>
    <t>460003********6631</t>
  </si>
  <si>
    <t>460031********6846</t>
  </si>
  <si>
    <t>460027********5673</t>
  </si>
  <si>
    <t>460031********0810</t>
  </si>
  <si>
    <t>469006********8727</t>
  </si>
  <si>
    <t>460007********5366</t>
  </si>
  <si>
    <t>460031********2828</t>
  </si>
  <si>
    <t>460003********6845</t>
  </si>
  <si>
    <t>460030********0017</t>
  </si>
  <si>
    <t>460002********2529</t>
  </si>
  <si>
    <t>460003********324X</t>
  </si>
  <si>
    <t>460030********5423</t>
  </si>
  <si>
    <t>511381********6145</t>
  </si>
  <si>
    <t>460031********2424</t>
  </si>
  <si>
    <t>460006********7538</t>
  </si>
  <si>
    <t>460031********4422</t>
  </si>
  <si>
    <t>460031********1228</t>
  </si>
  <si>
    <t>460003********2628</t>
  </si>
  <si>
    <t>469024********042X</t>
  </si>
  <si>
    <t>469007********8025</t>
  </si>
  <si>
    <t>460004********5324</t>
  </si>
  <si>
    <t>460003********2021</t>
  </si>
  <si>
    <t>460031********5265</t>
  </si>
  <si>
    <t>460022********4339</t>
  </si>
  <si>
    <t>460031********5626</t>
  </si>
  <si>
    <t>460003********0425</t>
  </si>
  <si>
    <t>460028********0420</t>
  </si>
  <si>
    <t>460003********5827</t>
  </si>
  <si>
    <t>460028********0057</t>
  </si>
  <si>
    <t>460027********2042</t>
  </si>
  <si>
    <t>11805—昌江公路分局-统计及信息化岗（九级管理）</t>
  </si>
  <si>
    <t>460007********0851</t>
  </si>
  <si>
    <t>320683********1011</t>
  </si>
  <si>
    <t>460007********0816</t>
  </si>
  <si>
    <t>460031********0819</t>
  </si>
  <si>
    <t>460031********0014</t>
  </si>
  <si>
    <t>460031********5238</t>
  </si>
  <si>
    <t>460031********0823</t>
  </si>
  <si>
    <t>460031********0411</t>
  </si>
  <si>
    <t>460031********0058</t>
  </si>
  <si>
    <t>460031********5210</t>
  </si>
  <si>
    <t>460007********5802</t>
  </si>
  <si>
    <t>460031********5214</t>
  </si>
  <si>
    <t>460031********5218</t>
  </si>
  <si>
    <t>460007********0814</t>
  </si>
  <si>
    <t>460003********7709</t>
  </si>
  <si>
    <t>460007********4978</t>
  </si>
  <si>
    <t>460031********5254</t>
  </si>
  <si>
    <t>460003********3810</t>
  </si>
  <si>
    <t>460003********2612</t>
  </si>
  <si>
    <t>460031********3619</t>
  </si>
  <si>
    <t>460031********5262</t>
  </si>
  <si>
    <t>460007********2296</t>
  </si>
  <si>
    <t>460031********6815</t>
  </si>
  <si>
    <t>460007********7645</t>
  </si>
  <si>
    <t>460028********5268</t>
  </si>
  <si>
    <t>460031********4815</t>
  </si>
  <si>
    <t>460032********7638</t>
  </si>
  <si>
    <t>460003********4627</t>
  </si>
  <si>
    <t>460031********2413</t>
  </si>
  <si>
    <t>460007********725X</t>
  </si>
  <si>
    <t>11901—东方公路分局-文秘岗（九级管理）</t>
  </si>
  <si>
    <t>469026********0023</t>
  </si>
  <si>
    <t>460031********3621</t>
  </si>
  <si>
    <t>460007********6829</t>
  </si>
  <si>
    <t>469007********4965</t>
  </si>
  <si>
    <t>460007********0044</t>
  </si>
  <si>
    <t>460007********3369</t>
  </si>
  <si>
    <t>460007********0049</t>
  </si>
  <si>
    <t>469007********7629</t>
  </si>
  <si>
    <t>460028********322X</t>
  </si>
  <si>
    <t>469007********6200</t>
  </si>
  <si>
    <t>11902—东方公路分局-安全生产管理岗（九级管理）</t>
  </si>
  <si>
    <t>460007********3372</t>
  </si>
  <si>
    <t>460006********4044</t>
  </si>
  <si>
    <t>469007********4996</t>
  </si>
  <si>
    <t>460032********4410</t>
  </si>
  <si>
    <t>469007********4990</t>
  </si>
  <si>
    <t>460007********7234</t>
  </si>
  <si>
    <t>460007********5374</t>
  </si>
  <si>
    <t>460007********0015</t>
  </si>
  <si>
    <t>460032********6199</t>
  </si>
  <si>
    <t>460007********4113</t>
  </si>
  <si>
    <t>460032********7657</t>
  </si>
  <si>
    <t>460031********5668</t>
  </si>
  <si>
    <t>460007********6155</t>
  </si>
  <si>
    <t>460105********7510</t>
  </si>
  <si>
    <t>460007********0428</t>
  </si>
  <si>
    <t>460033********3931</t>
  </si>
  <si>
    <t>460033********3242</t>
  </si>
  <si>
    <t>460033********0036</t>
  </si>
  <si>
    <t>460026********2429</t>
  </si>
  <si>
    <t>460007********497X</t>
  </si>
  <si>
    <t>460007********0014</t>
  </si>
  <si>
    <t>150221********2329</t>
  </si>
  <si>
    <t>460032********6177</t>
  </si>
  <si>
    <t>460007********7216</t>
  </si>
  <si>
    <t>460007********7611</t>
  </si>
  <si>
    <t>460007********4122</t>
  </si>
  <si>
    <t>460007********2025</t>
  </si>
  <si>
    <t>460032********4396</t>
  </si>
  <si>
    <t>522635********0013</t>
  </si>
  <si>
    <t>460007********8771</t>
  </si>
  <si>
    <t>11903—东方公路分局-法律法务岗（九级管理）</t>
  </si>
  <si>
    <t>469007********7623</t>
  </si>
  <si>
    <t>460003********2843</t>
  </si>
  <si>
    <t>469007********801X</t>
  </si>
  <si>
    <t>460102********3021</t>
  </si>
  <si>
    <t>469007********006X</t>
  </si>
  <si>
    <t>469007********852X</t>
  </si>
  <si>
    <t>372325********0021</t>
  </si>
  <si>
    <t>460033********3881</t>
  </si>
  <si>
    <t>469007********4122</t>
  </si>
  <si>
    <t>460007********6152</t>
  </si>
  <si>
    <t>460003********0013</t>
  </si>
  <si>
    <t>460104********005X</t>
  </si>
  <si>
    <t>11904—东方公路分局-人力资源管理岗（九级管理）</t>
  </si>
  <si>
    <t>460007********5806</t>
  </si>
  <si>
    <t>460007********2023</t>
  </si>
  <si>
    <t>460032********6161</t>
  </si>
  <si>
    <t>460200********3823</t>
  </si>
  <si>
    <t>460007********6183</t>
  </si>
  <si>
    <t>460200********5115</t>
  </si>
  <si>
    <t>460033********3902</t>
  </si>
  <si>
    <t>460200********4697</t>
  </si>
  <si>
    <t>460031********6425</t>
  </si>
  <si>
    <t>460007********0027</t>
  </si>
  <si>
    <t>533103********4412</t>
  </si>
  <si>
    <t>460033********4482</t>
  </si>
  <si>
    <t>460006********273X</t>
  </si>
  <si>
    <t>460200********1403</t>
  </si>
  <si>
    <t>460200********4466</t>
  </si>
  <si>
    <t>460200********3840</t>
  </si>
  <si>
    <t>460102********1823</t>
  </si>
  <si>
    <t>460003********4215</t>
  </si>
  <si>
    <t>460005********0720</t>
  </si>
  <si>
    <t>460003********061X</t>
  </si>
  <si>
    <t>230102********2125</t>
  </si>
  <si>
    <t>230606********024X</t>
  </si>
  <si>
    <t>460007********7617</t>
  </si>
  <si>
    <t>460033********4780</t>
  </si>
  <si>
    <t>460004********1826</t>
  </si>
  <si>
    <t>320324********6584</t>
  </si>
  <si>
    <t>460200********4904</t>
  </si>
  <si>
    <t>460006********8422</t>
  </si>
  <si>
    <t>460033********2677</t>
  </si>
  <si>
    <t>460007********8763</t>
  </si>
  <si>
    <t>460007********7240</t>
  </si>
  <si>
    <t>230106********0825</t>
  </si>
  <si>
    <t>460002********3419</t>
  </si>
  <si>
    <t>11905—东方公路分局-财务会计岗（九级管理）</t>
  </si>
  <si>
    <t>460031********4027</t>
  </si>
  <si>
    <t>460003********5641</t>
  </si>
  <si>
    <t>469026********0056</t>
  </si>
  <si>
    <t>460007********5840</t>
  </si>
  <si>
    <t>460007********7223</t>
  </si>
  <si>
    <t>460007********498X</t>
  </si>
  <si>
    <t>460033********4770</t>
  </si>
  <si>
    <t>460007********4988</t>
  </si>
  <si>
    <t>460007********4363</t>
  </si>
  <si>
    <t>469027********3215</t>
  </si>
  <si>
    <t>12001—乐东公路分局-文秘岗（十级管理）</t>
  </si>
  <si>
    <t>460033********0087</t>
  </si>
  <si>
    <t>460102********0026</t>
  </si>
  <si>
    <t>460033********3241</t>
  </si>
  <si>
    <t>460200********4437</t>
  </si>
  <si>
    <t>460033********4882</t>
  </si>
  <si>
    <t>460300********0621</t>
  </si>
  <si>
    <t>460033********4189</t>
  </si>
  <si>
    <t>460033********6580</t>
  </si>
  <si>
    <t>460102********2418</t>
  </si>
  <si>
    <t>460027********442X</t>
  </si>
  <si>
    <t>460007********7248</t>
  </si>
  <si>
    <t>460034********0920</t>
  </si>
  <si>
    <t>460033********3220</t>
  </si>
  <si>
    <t>440825********0750</t>
  </si>
  <si>
    <t>460003********2014</t>
  </si>
  <si>
    <t>460033********4843</t>
  </si>
  <si>
    <t>460200********382X</t>
  </si>
  <si>
    <t>460003********2022</t>
  </si>
  <si>
    <t>460033********4508</t>
  </si>
  <si>
    <t>460007********0440</t>
  </si>
  <si>
    <t>460033********7480</t>
  </si>
  <si>
    <t>460004********526X</t>
  </si>
  <si>
    <t>230921********0129</t>
  </si>
  <si>
    <t>230523********0037</t>
  </si>
  <si>
    <t>460033********3244</t>
  </si>
  <si>
    <t>460003********387X</t>
  </si>
  <si>
    <t>460003********0619</t>
  </si>
  <si>
    <t>460003********0424</t>
  </si>
  <si>
    <t>460028********2441</t>
  </si>
  <si>
    <t>460006********0616</t>
  </si>
  <si>
    <t>460033********3883</t>
  </si>
  <si>
    <t>460036********152X</t>
  </si>
  <si>
    <t>460027********6214</t>
  </si>
  <si>
    <t>460031********6420</t>
  </si>
  <si>
    <t>460033********7160</t>
  </si>
  <si>
    <t>142601********1355</t>
  </si>
  <si>
    <t>469027********7170</t>
  </si>
  <si>
    <t>469007********7647</t>
  </si>
  <si>
    <t>460033********3575</t>
  </si>
  <si>
    <t>469027********5982</t>
  </si>
  <si>
    <t>460006********2725</t>
  </si>
  <si>
    <t>460033********6584</t>
  </si>
  <si>
    <t>460003********3248</t>
  </si>
  <si>
    <t>460033********6585</t>
  </si>
  <si>
    <t>460033********7777</t>
  </si>
  <si>
    <t>460003********0621</t>
  </si>
  <si>
    <t>460006********2925</t>
  </si>
  <si>
    <t>460102********1256</t>
  </si>
  <si>
    <t>460033********3261</t>
  </si>
  <si>
    <t>460003********2870</t>
  </si>
  <si>
    <t>460033********8080</t>
  </si>
  <si>
    <t>460031********6411</t>
  </si>
  <si>
    <t>460003********0628</t>
  </si>
  <si>
    <t>460033********0040</t>
  </si>
  <si>
    <t>460033********7537</t>
  </si>
  <si>
    <t>469027********0022</t>
  </si>
  <si>
    <t>460003********7621</t>
  </si>
  <si>
    <t>460007********0088</t>
  </si>
  <si>
    <t>460033********7477</t>
  </si>
  <si>
    <t>460033********3218</t>
  </si>
  <si>
    <t>469028********0425</t>
  </si>
  <si>
    <t>469030********0826</t>
  </si>
  <si>
    <t>460004********1820</t>
  </si>
  <si>
    <t>440825********0316</t>
  </si>
  <si>
    <t>460033********3226</t>
  </si>
  <si>
    <t>232325********0043</t>
  </si>
  <si>
    <t>220202********0629</t>
  </si>
  <si>
    <t>460030********0615</t>
  </si>
  <si>
    <t>460025********1524</t>
  </si>
  <si>
    <t>460036********2421</t>
  </si>
  <si>
    <t>460007********4966</t>
  </si>
  <si>
    <t>460001********1027</t>
  </si>
  <si>
    <t>12002—乐东公路分局-法律法务岗（十级管理）</t>
  </si>
  <si>
    <t>460034********3616</t>
  </si>
  <si>
    <t>441481********003X</t>
  </si>
  <si>
    <t>532531********1614</t>
  </si>
  <si>
    <t>440825********0033</t>
  </si>
  <si>
    <t>460035********1310</t>
  </si>
  <si>
    <t>460033********6288</t>
  </si>
  <si>
    <t>460007********3621</t>
  </si>
  <si>
    <t>460033********6576</t>
  </si>
  <si>
    <t>230804********0923</t>
  </si>
  <si>
    <t>460200********027X</t>
  </si>
  <si>
    <t>460007********3620</t>
  </si>
  <si>
    <t>230702********1222</t>
  </si>
  <si>
    <t>460033********4492</t>
  </si>
  <si>
    <t>460200********5713</t>
  </si>
  <si>
    <t>460007********5820</t>
  </si>
  <si>
    <t>210921********5717</t>
  </si>
  <si>
    <t>469027********6582</t>
  </si>
  <si>
    <t>412825********2043</t>
  </si>
  <si>
    <t>460033********4572</t>
  </si>
  <si>
    <t>460033********3327</t>
  </si>
  <si>
    <t>460033********7163</t>
  </si>
  <si>
    <t>460007********0033</t>
  </si>
  <si>
    <t>460103********211X</t>
  </si>
  <si>
    <t>460027********0051</t>
  </si>
  <si>
    <t>460003********2636</t>
  </si>
  <si>
    <t>460036********182X</t>
  </si>
  <si>
    <t>460007********7218</t>
  </si>
  <si>
    <t>460027********7028</t>
  </si>
  <si>
    <t>460033********0034</t>
  </si>
  <si>
    <t>460033********5378</t>
  </si>
  <si>
    <t>12003—乐东公路分局-统计及信息化岗（十级管理）</t>
  </si>
  <si>
    <t>460033********3878</t>
  </si>
  <si>
    <t>460033********087X</t>
  </si>
  <si>
    <t>460003********6015</t>
  </si>
  <si>
    <t>460033********3578</t>
  </si>
  <si>
    <t>460033********3295</t>
  </si>
  <si>
    <t>460033********7498</t>
  </si>
  <si>
    <t>460200********0512</t>
  </si>
  <si>
    <t>460033********3904</t>
  </si>
  <si>
    <t>460007********0017</t>
  </si>
  <si>
    <t>460033********3217</t>
  </si>
  <si>
    <t>460007********0066</t>
  </si>
  <si>
    <t>460033********4488</t>
  </si>
  <si>
    <t>460033********719X</t>
  </si>
  <si>
    <t>460200********0026</t>
  </si>
  <si>
    <t>460033********3959</t>
  </si>
  <si>
    <t>460033********002X</t>
  </si>
  <si>
    <t>460033********3255</t>
  </si>
  <si>
    <t>460033********5686</t>
  </si>
  <si>
    <t>460033********0013</t>
  </si>
  <si>
    <t>230502********0011</t>
  </si>
  <si>
    <t>460005********4130</t>
  </si>
  <si>
    <t>460033********0708</t>
  </si>
  <si>
    <t>460007********2012</t>
  </si>
  <si>
    <t>460025********2123</t>
  </si>
  <si>
    <t>150102********0614</t>
  </si>
  <si>
    <t>511602********0537</t>
  </si>
  <si>
    <t>460027********5131</t>
  </si>
  <si>
    <t>460033********322X</t>
  </si>
  <si>
    <t>460033********4844</t>
  </si>
  <si>
    <t>460200********4723</t>
  </si>
  <si>
    <t>460032********620X</t>
  </si>
  <si>
    <t>460200********1871</t>
  </si>
  <si>
    <t>460003********5839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</si>
</sst>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209"/>
  <sheetViews>
    <sheetView tabSelected="1" workbookViewId="0" topLeftCell="A1">
      <selection activeCell="H10" sqref="H10"/>
    </sheetView>
  </sheetViews>
  <sheetFormatPr defaultColWidth="9.00390625" defaultRowHeight="15"/>
  <cols>
    <col min="1" max="1" width="8.421875" style="0" customWidth="1"/>
    <col min="2" max="2" width="30.421875" style="0" customWidth="1"/>
    <col min="3" max="3" width="54.421875" style="0" customWidth="1"/>
    <col min="4" max="4" width="23.57421875" style="0" customWidth="1"/>
    <col min="5" max="5" width="11.281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2">
        <v>1</v>
      </c>
      <c r="B3" s="2" t="str">
        <f>"吴小通"</f>
        <v>吴小通</v>
      </c>
      <c r="C3" s="2" t="s">
        <v>6</v>
      </c>
      <c r="D3" s="2" t="s">
        <v>7</v>
      </c>
      <c r="E3" s="3"/>
    </row>
    <row r="4" spans="1:5" ht="24.75" customHeight="1">
      <c r="A4" s="2">
        <v>2</v>
      </c>
      <c r="B4" s="2" t="str">
        <f>"潘婷婷"</f>
        <v>潘婷婷</v>
      </c>
      <c r="C4" s="2" t="s">
        <v>6</v>
      </c>
      <c r="D4" s="2" t="s">
        <v>8</v>
      </c>
      <c r="E4" s="3"/>
    </row>
    <row r="5" spans="1:5" ht="24.75" customHeight="1">
      <c r="A5" s="2">
        <v>3</v>
      </c>
      <c r="B5" s="2" t="str">
        <f>"许艳"</f>
        <v>许艳</v>
      </c>
      <c r="C5" s="2" t="s">
        <v>6</v>
      </c>
      <c r="D5" s="2" t="s">
        <v>9</v>
      </c>
      <c r="E5" s="3"/>
    </row>
    <row r="6" spans="1:5" ht="24.75" customHeight="1">
      <c r="A6" s="2">
        <v>4</v>
      </c>
      <c r="B6" s="2" t="str">
        <f>"林娇晶"</f>
        <v>林娇晶</v>
      </c>
      <c r="C6" s="2" t="s">
        <v>6</v>
      </c>
      <c r="D6" s="2" t="s">
        <v>10</v>
      </c>
      <c r="E6" s="3"/>
    </row>
    <row r="7" spans="1:5" ht="24.75" customHeight="1">
      <c r="A7" s="2">
        <v>5</v>
      </c>
      <c r="B7" s="2" t="str">
        <f>"符海珍"</f>
        <v>符海珍</v>
      </c>
      <c r="C7" s="2" t="s">
        <v>6</v>
      </c>
      <c r="D7" s="2" t="s">
        <v>11</v>
      </c>
      <c r="E7" s="3"/>
    </row>
    <row r="8" spans="1:5" ht="24.75" customHeight="1">
      <c r="A8" s="2">
        <v>6</v>
      </c>
      <c r="B8" s="2" t="str">
        <f>"莫南立"</f>
        <v>莫南立</v>
      </c>
      <c r="C8" s="2" t="s">
        <v>6</v>
      </c>
      <c r="D8" s="2" t="s">
        <v>12</v>
      </c>
      <c r="E8" s="3"/>
    </row>
    <row r="9" spans="1:5" ht="24.75" customHeight="1">
      <c r="A9" s="2">
        <v>7</v>
      </c>
      <c r="B9" s="2" t="str">
        <f>"杜海珍"</f>
        <v>杜海珍</v>
      </c>
      <c r="C9" s="2" t="s">
        <v>6</v>
      </c>
      <c r="D9" s="2" t="s">
        <v>13</v>
      </c>
      <c r="E9" s="3"/>
    </row>
    <row r="10" spans="1:5" ht="24.75" customHeight="1">
      <c r="A10" s="2">
        <v>8</v>
      </c>
      <c r="B10" s="2" t="str">
        <f>"何发川"</f>
        <v>何发川</v>
      </c>
      <c r="C10" s="2" t="s">
        <v>6</v>
      </c>
      <c r="D10" s="2" t="s">
        <v>14</v>
      </c>
      <c r="E10" s="3"/>
    </row>
    <row r="11" spans="1:5" ht="24.75" customHeight="1">
      <c r="A11" s="2">
        <v>9</v>
      </c>
      <c r="B11" s="2" t="str">
        <f>"金士博"</f>
        <v>金士博</v>
      </c>
      <c r="C11" s="2" t="s">
        <v>15</v>
      </c>
      <c r="D11" s="2" t="s">
        <v>16</v>
      </c>
      <c r="E11" s="3"/>
    </row>
    <row r="12" spans="1:5" ht="24.75" customHeight="1">
      <c r="A12" s="2">
        <v>10</v>
      </c>
      <c r="B12" s="2" t="str">
        <f>"张溪倩"</f>
        <v>张溪倩</v>
      </c>
      <c r="C12" s="2" t="s">
        <v>15</v>
      </c>
      <c r="D12" s="2" t="s">
        <v>17</v>
      </c>
      <c r="E12" s="3"/>
    </row>
    <row r="13" spans="1:5" ht="24.75" customHeight="1">
      <c r="A13" s="2">
        <v>11</v>
      </c>
      <c r="B13" s="2" t="str">
        <f>"江元弘"</f>
        <v>江元弘</v>
      </c>
      <c r="C13" s="2" t="s">
        <v>15</v>
      </c>
      <c r="D13" s="2" t="s">
        <v>18</v>
      </c>
      <c r="E13" s="3"/>
    </row>
    <row r="14" spans="1:5" ht="24.75" customHeight="1">
      <c r="A14" s="2">
        <v>12</v>
      </c>
      <c r="B14" s="2" t="str">
        <f>"李林"</f>
        <v>李林</v>
      </c>
      <c r="C14" s="2" t="s">
        <v>15</v>
      </c>
      <c r="D14" s="2" t="s">
        <v>19</v>
      </c>
      <c r="E14" s="3"/>
    </row>
    <row r="15" spans="1:5" ht="24.75" customHeight="1">
      <c r="A15" s="2">
        <v>13</v>
      </c>
      <c r="B15" s="2" t="str">
        <f>"陈俊安"</f>
        <v>陈俊安</v>
      </c>
      <c r="C15" s="2" t="s">
        <v>15</v>
      </c>
      <c r="D15" s="2" t="s">
        <v>20</v>
      </c>
      <c r="E15" s="3"/>
    </row>
    <row r="16" spans="1:5" ht="24.75" customHeight="1">
      <c r="A16" s="2">
        <v>14</v>
      </c>
      <c r="B16" s="2" t="str">
        <f>"张秋岱"</f>
        <v>张秋岱</v>
      </c>
      <c r="C16" s="2" t="s">
        <v>15</v>
      </c>
      <c r="D16" s="2" t="s">
        <v>21</v>
      </c>
      <c r="E16" s="3"/>
    </row>
    <row r="17" spans="1:5" ht="24.75" customHeight="1">
      <c r="A17" s="2">
        <v>15</v>
      </c>
      <c r="B17" s="2" t="str">
        <f>"钟瑶惠"</f>
        <v>钟瑶惠</v>
      </c>
      <c r="C17" s="2" t="s">
        <v>15</v>
      </c>
      <c r="D17" s="2" t="s">
        <v>22</v>
      </c>
      <c r="E17" s="3"/>
    </row>
    <row r="18" spans="1:5" ht="24.75" customHeight="1">
      <c r="A18" s="2">
        <v>16</v>
      </c>
      <c r="B18" s="2" t="str">
        <f>"张玮琪"</f>
        <v>张玮琪</v>
      </c>
      <c r="C18" s="2" t="s">
        <v>15</v>
      </c>
      <c r="D18" s="2" t="s">
        <v>23</v>
      </c>
      <c r="E18" s="3"/>
    </row>
    <row r="19" spans="1:5" ht="24.75" customHeight="1">
      <c r="A19" s="2">
        <v>17</v>
      </c>
      <c r="B19" s="2" t="str">
        <f>"吴静仪"</f>
        <v>吴静仪</v>
      </c>
      <c r="C19" s="2" t="s">
        <v>15</v>
      </c>
      <c r="D19" s="2" t="s">
        <v>24</v>
      </c>
      <c r="E19" s="3"/>
    </row>
    <row r="20" spans="1:5" ht="24.75" customHeight="1">
      <c r="A20" s="2">
        <v>18</v>
      </c>
      <c r="B20" s="2" t="str">
        <f>"颜小青"</f>
        <v>颜小青</v>
      </c>
      <c r="C20" s="2" t="s">
        <v>15</v>
      </c>
      <c r="D20" s="2" t="s">
        <v>25</v>
      </c>
      <c r="E20" s="3"/>
    </row>
    <row r="21" spans="1:5" ht="24.75" customHeight="1">
      <c r="A21" s="2">
        <v>19</v>
      </c>
      <c r="B21" s="2" t="str">
        <f>"王丹"</f>
        <v>王丹</v>
      </c>
      <c r="C21" s="2" t="s">
        <v>15</v>
      </c>
      <c r="D21" s="2" t="s">
        <v>26</v>
      </c>
      <c r="E21" s="3"/>
    </row>
    <row r="22" spans="1:5" ht="24.75" customHeight="1">
      <c r="A22" s="2">
        <v>20</v>
      </c>
      <c r="B22" s="2" t="str">
        <f>"杨惠景"</f>
        <v>杨惠景</v>
      </c>
      <c r="C22" s="2" t="s">
        <v>15</v>
      </c>
      <c r="D22" s="2" t="s">
        <v>27</v>
      </c>
      <c r="E22" s="3"/>
    </row>
    <row r="23" spans="1:5" ht="24.75" customHeight="1">
      <c r="A23" s="2">
        <v>21</v>
      </c>
      <c r="B23" s="2" t="str">
        <f>"吴柔慧"</f>
        <v>吴柔慧</v>
      </c>
      <c r="C23" s="2" t="s">
        <v>15</v>
      </c>
      <c r="D23" s="2" t="s">
        <v>28</v>
      </c>
      <c r="E23" s="3"/>
    </row>
    <row r="24" spans="1:5" ht="24.75" customHeight="1">
      <c r="A24" s="2">
        <v>22</v>
      </c>
      <c r="B24" s="2" t="str">
        <f>"云嘉钰"</f>
        <v>云嘉钰</v>
      </c>
      <c r="C24" s="2" t="s">
        <v>15</v>
      </c>
      <c r="D24" s="2" t="s">
        <v>29</v>
      </c>
      <c r="E24" s="3"/>
    </row>
    <row r="25" spans="1:5" ht="24.75" customHeight="1">
      <c r="A25" s="2">
        <v>23</v>
      </c>
      <c r="B25" s="2" t="str">
        <f>"李真"</f>
        <v>李真</v>
      </c>
      <c r="C25" s="2" t="s">
        <v>15</v>
      </c>
      <c r="D25" s="2" t="s">
        <v>30</v>
      </c>
      <c r="E25" s="3"/>
    </row>
    <row r="26" spans="1:5" ht="24.75" customHeight="1">
      <c r="A26" s="2">
        <v>24</v>
      </c>
      <c r="B26" s="2" t="str">
        <f>"吴喜女"</f>
        <v>吴喜女</v>
      </c>
      <c r="C26" s="2" t="s">
        <v>15</v>
      </c>
      <c r="D26" s="2" t="s">
        <v>31</v>
      </c>
      <c r="E26" s="3"/>
    </row>
    <row r="27" spans="1:5" ht="24.75" customHeight="1">
      <c r="A27" s="2">
        <v>25</v>
      </c>
      <c r="B27" s="2" t="str">
        <f>"刘晟源"</f>
        <v>刘晟源</v>
      </c>
      <c r="C27" s="2" t="s">
        <v>15</v>
      </c>
      <c r="D27" s="2" t="s">
        <v>32</v>
      </c>
      <c r="E27" s="3"/>
    </row>
    <row r="28" spans="1:5" ht="24.75" customHeight="1">
      <c r="A28" s="2">
        <v>26</v>
      </c>
      <c r="B28" s="2" t="str">
        <f>"郑月琴"</f>
        <v>郑月琴</v>
      </c>
      <c r="C28" s="2" t="s">
        <v>15</v>
      </c>
      <c r="D28" s="2" t="s">
        <v>33</v>
      </c>
      <c r="E28" s="3"/>
    </row>
    <row r="29" spans="1:5" ht="24.75" customHeight="1">
      <c r="A29" s="2">
        <v>27</v>
      </c>
      <c r="B29" s="2" t="str">
        <f>"符芷菱"</f>
        <v>符芷菱</v>
      </c>
      <c r="C29" s="2" t="s">
        <v>15</v>
      </c>
      <c r="D29" s="2" t="s">
        <v>34</v>
      </c>
      <c r="E29" s="3"/>
    </row>
    <row r="30" spans="1:5" ht="24.75" customHeight="1">
      <c r="A30" s="2">
        <v>28</v>
      </c>
      <c r="B30" s="2" t="str">
        <f>"陈艳丹"</f>
        <v>陈艳丹</v>
      </c>
      <c r="C30" s="2" t="s">
        <v>15</v>
      </c>
      <c r="D30" s="2" t="s">
        <v>35</v>
      </c>
      <c r="E30" s="3"/>
    </row>
    <row r="31" spans="1:5" ht="24.75" customHeight="1">
      <c r="A31" s="2">
        <v>29</v>
      </c>
      <c r="B31" s="2" t="str">
        <f>"陈世婷"</f>
        <v>陈世婷</v>
      </c>
      <c r="C31" s="2" t="s">
        <v>15</v>
      </c>
      <c r="D31" s="2" t="s">
        <v>36</v>
      </c>
      <c r="E31" s="3"/>
    </row>
    <row r="32" spans="1:5" ht="24.75" customHeight="1">
      <c r="A32" s="2">
        <v>30</v>
      </c>
      <c r="B32" s="2" t="str">
        <f>"陈洁莉"</f>
        <v>陈洁莉</v>
      </c>
      <c r="C32" s="2" t="s">
        <v>15</v>
      </c>
      <c r="D32" s="2" t="s">
        <v>37</v>
      </c>
      <c r="E32" s="3"/>
    </row>
    <row r="33" spans="1:5" ht="24.75" customHeight="1">
      <c r="A33" s="2">
        <v>31</v>
      </c>
      <c r="B33" s="2" t="str">
        <f>"黄美卿"</f>
        <v>黄美卿</v>
      </c>
      <c r="C33" s="2" t="s">
        <v>15</v>
      </c>
      <c r="D33" s="2" t="s">
        <v>38</v>
      </c>
      <c r="E33" s="3"/>
    </row>
    <row r="34" spans="1:5" ht="24.75" customHeight="1">
      <c r="A34" s="2">
        <v>32</v>
      </c>
      <c r="B34" s="2" t="str">
        <f>"石莹"</f>
        <v>石莹</v>
      </c>
      <c r="C34" s="2" t="s">
        <v>15</v>
      </c>
      <c r="D34" s="2" t="s">
        <v>39</v>
      </c>
      <c r="E34" s="3"/>
    </row>
    <row r="35" spans="1:5" ht="24.75" customHeight="1">
      <c r="A35" s="2">
        <v>33</v>
      </c>
      <c r="B35" s="2" t="str">
        <f>"钟丽媛"</f>
        <v>钟丽媛</v>
      </c>
      <c r="C35" s="2" t="s">
        <v>15</v>
      </c>
      <c r="D35" s="2" t="s">
        <v>40</v>
      </c>
      <c r="E35" s="3"/>
    </row>
    <row r="36" spans="1:5" ht="24.75" customHeight="1">
      <c r="A36" s="2">
        <v>34</v>
      </c>
      <c r="B36" s="2" t="str">
        <f>"江淑婷"</f>
        <v>江淑婷</v>
      </c>
      <c r="C36" s="2" t="s">
        <v>15</v>
      </c>
      <c r="D36" s="2" t="s">
        <v>41</v>
      </c>
      <c r="E36" s="3"/>
    </row>
    <row r="37" spans="1:5" ht="24.75" customHeight="1">
      <c r="A37" s="2">
        <v>35</v>
      </c>
      <c r="B37" s="2" t="str">
        <f>"关书慧"</f>
        <v>关书慧</v>
      </c>
      <c r="C37" s="2" t="s">
        <v>15</v>
      </c>
      <c r="D37" s="2" t="s">
        <v>42</v>
      </c>
      <c r="E37" s="3"/>
    </row>
    <row r="38" spans="1:5" ht="24.75" customHeight="1">
      <c r="A38" s="2">
        <v>36</v>
      </c>
      <c r="B38" s="2" t="str">
        <f>"梁译文"</f>
        <v>梁译文</v>
      </c>
      <c r="C38" s="2" t="s">
        <v>15</v>
      </c>
      <c r="D38" s="2" t="s">
        <v>43</v>
      </c>
      <c r="E38" s="3"/>
    </row>
    <row r="39" spans="1:5" ht="24.75" customHeight="1">
      <c r="A39" s="2">
        <v>37</v>
      </c>
      <c r="B39" s="2" t="str">
        <f>"羊妹秋"</f>
        <v>羊妹秋</v>
      </c>
      <c r="C39" s="2" t="s">
        <v>15</v>
      </c>
      <c r="D39" s="2" t="s">
        <v>44</v>
      </c>
      <c r="E39" s="3"/>
    </row>
    <row r="40" spans="1:5" ht="24.75" customHeight="1">
      <c r="A40" s="2">
        <v>38</v>
      </c>
      <c r="B40" s="2" t="str">
        <f>"吕素洁"</f>
        <v>吕素洁</v>
      </c>
      <c r="C40" s="2" t="s">
        <v>15</v>
      </c>
      <c r="D40" s="2" t="s">
        <v>11</v>
      </c>
      <c r="E40" s="3"/>
    </row>
    <row r="41" spans="1:5" ht="24.75" customHeight="1">
      <c r="A41" s="2">
        <v>39</v>
      </c>
      <c r="B41" s="2" t="str">
        <f>"罗婷婷"</f>
        <v>罗婷婷</v>
      </c>
      <c r="C41" s="2" t="s">
        <v>15</v>
      </c>
      <c r="D41" s="2" t="s">
        <v>45</v>
      </c>
      <c r="E41" s="3"/>
    </row>
    <row r="42" spans="1:5" ht="24.75" customHeight="1">
      <c r="A42" s="2">
        <v>40</v>
      </c>
      <c r="B42" s="2" t="str">
        <f>"王春霞"</f>
        <v>王春霞</v>
      </c>
      <c r="C42" s="2" t="s">
        <v>15</v>
      </c>
      <c r="D42" s="2" t="s">
        <v>46</v>
      </c>
      <c r="E42" s="3"/>
    </row>
    <row r="43" spans="1:5" ht="24.75" customHeight="1">
      <c r="A43" s="2">
        <v>41</v>
      </c>
      <c r="B43" s="2" t="str">
        <f>"庄雍钰"</f>
        <v>庄雍钰</v>
      </c>
      <c r="C43" s="2" t="s">
        <v>15</v>
      </c>
      <c r="D43" s="2" t="s">
        <v>47</v>
      </c>
      <c r="E43" s="3"/>
    </row>
    <row r="44" spans="1:5" ht="24.75" customHeight="1">
      <c r="A44" s="2">
        <v>42</v>
      </c>
      <c r="B44" s="2" t="str">
        <f>"黄姗柳"</f>
        <v>黄姗柳</v>
      </c>
      <c r="C44" s="2" t="s">
        <v>15</v>
      </c>
      <c r="D44" s="2" t="s">
        <v>48</v>
      </c>
      <c r="E44" s="3"/>
    </row>
    <row r="45" spans="1:5" ht="24.75" customHeight="1">
      <c r="A45" s="2">
        <v>43</v>
      </c>
      <c r="B45" s="2" t="str">
        <f>"符菁菁"</f>
        <v>符菁菁</v>
      </c>
      <c r="C45" s="2" t="s">
        <v>15</v>
      </c>
      <c r="D45" s="2" t="s">
        <v>49</v>
      </c>
      <c r="E45" s="3"/>
    </row>
    <row r="46" spans="1:5" ht="24.75" customHeight="1">
      <c r="A46" s="2">
        <v>44</v>
      </c>
      <c r="B46" s="2" t="str">
        <f>"陈冼玉"</f>
        <v>陈冼玉</v>
      </c>
      <c r="C46" s="2" t="s">
        <v>15</v>
      </c>
      <c r="D46" s="2" t="s">
        <v>50</v>
      </c>
      <c r="E46" s="3"/>
    </row>
    <row r="47" spans="1:5" ht="24.75" customHeight="1">
      <c r="A47" s="2">
        <v>45</v>
      </c>
      <c r="B47" s="2" t="str">
        <f>"李兰"</f>
        <v>李兰</v>
      </c>
      <c r="C47" s="2" t="s">
        <v>15</v>
      </c>
      <c r="D47" s="2" t="s">
        <v>51</v>
      </c>
      <c r="E47" s="3"/>
    </row>
    <row r="48" spans="1:5" ht="24.75" customHeight="1">
      <c r="A48" s="2">
        <v>46</v>
      </c>
      <c r="B48" s="2" t="str">
        <f>"符丹虹"</f>
        <v>符丹虹</v>
      </c>
      <c r="C48" s="2" t="s">
        <v>15</v>
      </c>
      <c r="D48" s="2" t="s">
        <v>52</v>
      </c>
      <c r="E48" s="3"/>
    </row>
    <row r="49" spans="1:5" ht="24.75" customHeight="1">
      <c r="A49" s="2">
        <v>47</v>
      </c>
      <c r="B49" s="2" t="str">
        <f>"祁锐"</f>
        <v>祁锐</v>
      </c>
      <c r="C49" s="2" t="s">
        <v>15</v>
      </c>
      <c r="D49" s="2" t="s">
        <v>53</v>
      </c>
      <c r="E49" s="3"/>
    </row>
    <row r="50" spans="1:5" ht="24.75" customHeight="1">
      <c r="A50" s="2">
        <v>48</v>
      </c>
      <c r="B50" s="2" t="str">
        <f>"叶帆"</f>
        <v>叶帆</v>
      </c>
      <c r="C50" s="2" t="s">
        <v>15</v>
      </c>
      <c r="D50" s="2" t="s">
        <v>54</v>
      </c>
      <c r="E50" s="3"/>
    </row>
    <row r="51" spans="1:5" ht="24.75" customHeight="1">
      <c r="A51" s="2">
        <v>49</v>
      </c>
      <c r="B51" s="2" t="str">
        <f>"蔡王维"</f>
        <v>蔡王维</v>
      </c>
      <c r="C51" s="2" t="s">
        <v>15</v>
      </c>
      <c r="D51" s="2" t="s">
        <v>55</v>
      </c>
      <c r="E51" s="3"/>
    </row>
    <row r="52" spans="1:5" ht="24.75" customHeight="1">
      <c r="A52" s="2">
        <v>50</v>
      </c>
      <c r="B52" s="2" t="str">
        <f>"徐梦雅"</f>
        <v>徐梦雅</v>
      </c>
      <c r="C52" s="2" t="s">
        <v>15</v>
      </c>
      <c r="D52" s="2" t="s">
        <v>56</v>
      </c>
      <c r="E52" s="3"/>
    </row>
    <row r="53" spans="1:5" ht="24.75" customHeight="1">
      <c r="A53" s="2">
        <v>51</v>
      </c>
      <c r="B53" s="2" t="str">
        <f>"李紫嫣"</f>
        <v>李紫嫣</v>
      </c>
      <c r="C53" s="2" t="s">
        <v>15</v>
      </c>
      <c r="D53" s="2" t="s">
        <v>57</v>
      </c>
      <c r="E53" s="3"/>
    </row>
    <row r="54" spans="1:5" ht="24.75" customHeight="1">
      <c r="A54" s="2">
        <v>52</v>
      </c>
      <c r="B54" s="2" t="str">
        <f>"高芳翔"</f>
        <v>高芳翔</v>
      </c>
      <c r="C54" s="2" t="s">
        <v>15</v>
      </c>
      <c r="D54" s="2" t="s">
        <v>58</v>
      </c>
      <c r="E54" s="3"/>
    </row>
    <row r="55" spans="1:5" ht="24.75" customHeight="1">
      <c r="A55" s="2">
        <v>53</v>
      </c>
      <c r="B55" s="2" t="str">
        <f>"符梅专"</f>
        <v>符梅专</v>
      </c>
      <c r="C55" s="2" t="s">
        <v>15</v>
      </c>
      <c r="D55" s="2" t="s">
        <v>59</v>
      </c>
      <c r="E55" s="3"/>
    </row>
    <row r="56" spans="1:5" ht="24.75" customHeight="1">
      <c r="A56" s="2">
        <v>54</v>
      </c>
      <c r="B56" s="2" t="str">
        <f>"袁亮"</f>
        <v>袁亮</v>
      </c>
      <c r="C56" s="2" t="s">
        <v>15</v>
      </c>
      <c r="D56" s="2" t="s">
        <v>60</v>
      </c>
      <c r="E56" s="3"/>
    </row>
    <row r="57" spans="1:5" ht="24.75" customHeight="1">
      <c r="A57" s="2">
        <v>55</v>
      </c>
      <c r="B57" s="2" t="str">
        <f>"黎经铭"</f>
        <v>黎经铭</v>
      </c>
      <c r="C57" s="2" t="s">
        <v>15</v>
      </c>
      <c r="D57" s="2" t="s">
        <v>61</v>
      </c>
      <c r="E57" s="3"/>
    </row>
    <row r="58" spans="1:5" ht="24.75" customHeight="1">
      <c r="A58" s="2">
        <v>56</v>
      </c>
      <c r="B58" s="2" t="str">
        <f>"陈媛媛"</f>
        <v>陈媛媛</v>
      </c>
      <c r="C58" s="2" t="s">
        <v>15</v>
      </c>
      <c r="D58" s="2" t="s">
        <v>62</v>
      </c>
      <c r="E58" s="3"/>
    </row>
    <row r="59" spans="1:5" ht="24.75" customHeight="1">
      <c r="A59" s="2">
        <v>57</v>
      </c>
      <c r="B59" s="2" t="str">
        <f>"谭悦"</f>
        <v>谭悦</v>
      </c>
      <c r="C59" s="2" t="s">
        <v>15</v>
      </c>
      <c r="D59" s="2" t="s">
        <v>63</v>
      </c>
      <c r="E59" s="3"/>
    </row>
    <row r="60" spans="1:5" ht="24.75" customHeight="1">
      <c r="A60" s="2">
        <v>58</v>
      </c>
      <c r="B60" s="2" t="str">
        <f>"曾怡萍"</f>
        <v>曾怡萍</v>
      </c>
      <c r="C60" s="2" t="s">
        <v>15</v>
      </c>
      <c r="D60" s="2" t="s">
        <v>64</v>
      </c>
      <c r="E60" s="3"/>
    </row>
    <row r="61" spans="1:5" ht="24.75" customHeight="1">
      <c r="A61" s="2">
        <v>59</v>
      </c>
      <c r="B61" s="2" t="str">
        <f>"徐佩如"</f>
        <v>徐佩如</v>
      </c>
      <c r="C61" s="2" t="s">
        <v>15</v>
      </c>
      <c r="D61" s="2" t="s">
        <v>65</v>
      </c>
      <c r="E61" s="3"/>
    </row>
    <row r="62" spans="1:5" ht="24.75" customHeight="1">
      <c r="A62" s="2">
        <v>60</v>
      </c>
      <c r="B62" s="2" t="str">
        <f>"王馨悦"</f>
        <v>王馨悦</v>
      </c>
      <c r="C62" s="2" t="s">
        <v>15</v>
      </c>
      <c r="D62" s="2" t="s">
        <v>66</v>
      </c>
      <c r="E62" s="3"/>
    </row>
    <row r="63" spans="1:5" ht="24.75" customHeight="1">
      <c r="A63" s="2">
        <v>61</v>
      </c>
      <c r="B63" s="2" t="str">
        <f>"李俊亨"</f>
        <v>李俊亨</v>
      </c>
      <c r="C63" s="2" t="s">
        <v>15</v>
      </c>
      <c r="D63" s="2" t="s">
        <v>67</v>
      </c>
      <c r="E63" s="3"/>
    </row>
    <row r="64" spans="1:5" ht="24.75" customHeight="1">
      <c r="A64" s="2">
        <v>62</v>
      </c>
      <c r="B64" s="2" t="str">
        <f>"张馨月"</f>
        <v>张馨月</v>
      </c>
      <c r="C64" s="2" t="s">
        <v>15</v>
      </c>
      <c r="D64" s="2" t="s">
        <v>68</v>
      </c>
      <c r="E64" s="3"/>
    </row>
    <row r="65" spans="1:5" ht="24.75" customHeight="1">
      <c r="A65" s="2">
        <v>63</v>
      </c>
      <c r="B65" s="2" t="str">
        <f>"李立娜"</f>
        <v>李立娜</v>
      </c>
      <c r="C65" s="2" t="s">
        <v>15</v>
      </c>
      <c r="D65" s="2" t="s">
        <v>69</v>
      </c>
      <c r="E65" s="3"/>
    </row>
    <row r="66" spans="1:5" ht="24.75" customHeight="1">
      <c r="A66" s="2">
        <v>64</v>
      </c>
      <c r="B66" s="2" t="str">
        <f>"赵绵辉"</f>
        <v>赵绵辉</v>
      </c>
      <c r="C66" s="2" t="s">
        <v>15</v>
      </c>
      <c r="D66" s="2" t="s">
        <v>70</v>
      </c>
      <c r="E66" s="3"/>
    </row>
    <row r="67" spans="1:5" ht="24.75" customHeight="1">
      <c r="A67" s="2">
        <v>65</v>
      </c>
      <c r="B67" s="2" t="str">
        <f>"李可心"</f>
        <v>李可心</v>
      </c>
      <c r="C67" s="2" t="s">
        <v>15</v>
      </c>
      <c r="D67" s="2" t="s">
        <v>71</v>
      </c>
      <c r="E67" s="3"/>
    </row>
    <row r="68" spans="1:5" ht="24.75" customHeight="1">
      <c r="A68" s="2">
        <v>66</v>
      </c>
      <c r="B68" s="2" t="str">
        <f>"徐一棋"</f>
        <v>徐一棋</v>
      </c>
      <c r="C68" s="2" t="s">
        <v>15</v>
      </c>
      <c r="D68" s="2" t="s">
        <v>72</v>
      </c>
      <c r="E68" s="3"/>
    </row>
    <row r="69" spans="1:5" ht="24.75" customHeight="1">
      <c r="A69" s="2">
        <v>67</v>
      </c>
      <c r="B69" s="2" t="str">
        <f>"丁涵萱"</f>
        <v>丁涵萱</v>
      </c>
      <c r="C69" s="2" t="s">
        <v>15</v>
      </c>
      <c r="D69" s="2" t="s">
        <v>73</v>
      </c>
      <c r="E69" s="3"/>
    </row>
    <row r="70" spans="1:5" ht="24.75" customHeight="1">
      <c r="A70" s="2">
        <v>68</v>
      </c>
      <c r="B70" s="2" t="str">
        <f>"李贤卿"</f>
        <v>李贤卿</v>
      </c>
      <c r="C70" s="2" t="s">
        <v>15</v>
      </c>
      <c r="D70" s="2" t="s">
        <v>74</v>
      </c>
      <c r="E70" s="3"/>
    </row>
    <row r="71" spans="1:5" ht="24.75" customHeight="1">
      <c r="A71" s="2">
        <v>69</v>
      </c>
      <c r="B71" s="2" t="str">
        <f>"李钦"</f>
        <v>李钦</v>
      </c>
      <c r="C71" s="2" t="s">
        <v>15</v>
      </c>
      <c r="D71" s="2" t="s">
        <v>75</v>
      </c>
      <c r="E71" s="3"/>
    </row>
    <row r="72" spans="1:5" ht="24.75" customHeight="1">
      <c r="A72" s="2">
        <v>70</v>
      </c>
      <c r="B72" s="2" t="str">
        <f>"陈佳怡"</f>
        <v>陈佳怡</v>
      </c>
      <c r="C72" s="2" t="s">
        <v>15</v>
      </c>
      <c r="D72" s="2" t="s">
        <v>76</v>
      </c>
      <c r="E72" s="3"/>
    </row>
    <row r="73" spans="1:5" ht="24.75" customHeight="1">
      <c r="A73" s="2">
        <v>71</v>
      </c>
      <c r="B73" s="2" t="str">
        <f>"李美佳"</f>
        <v>李美佳</v>
      </c>
      <c r="C73" s="2" t="s">
        <v>15</v>
      </c>
      <c r="D73" s="2" t="s">
        <v>77</v>
      </c>
      <c r="E73" s="3"/>
    </row>
    <row r="74" spans="1:5" ht="24.75" customHeight="1">
      <c r="A74" s="2">
        <v>72</v>
      </c>
      <c r="B74" s="2" t="str">
        <f>"云紫燕"</f>
        <v>云紫燕</v>
      </c>
      <c r="C74" s="2" t="s">
        <v>15</v>
      </c>
      <c r="D74" s="2" t="s">
        <v>78</v>
      </c>
      <c r="E74" s="3"/>
    </row>
    <row r="75" spans="1:5" ht="24.75" customHeight="1">
      <c r="A75" s="2">
        <v>73</v>
      </c>
      <c r="B75" s="2" t="str">
        <f>"王乙帆"</f>
        <v>王乙帆</v>
      </c>
      <c r="C75" s="2" t="s">
        <v>15</v>
      </c>
      <c r="D75" s="2" t="s">
        <v>79</v>
      </c>
      <c r="E75" s="3"/>
    </row>
    <row r="76" spans="1:5" ht="24.75" customHeight="1">
      <c r="A76" s="2">
        <v>74</v>
      </c>
      <c r="B76" s="2" t="str">
        <f>"符海珑"</f>
        <v>符海珑</v>
      </c>
      <c r="C76" s="2" t="s">
        <v>15</v>
      </c>
      <c r="D76" s="2" t="s">
        <v>80</v>
      </c>
      <c r="E76" s="3"/>
    </row>
    <row r="77" spans="1:5" ht="24.75" customHeight="1">
      <c r="A77" s="2">
        <v>75</v>
      </c>
      <c r="B77" s="2" t="str">
        <f>"曾丹丹"</f>
        <v>曾丹丹</v>
      </c>
      <c r="C77" s="2" t="s">
        <v>15</v>
      </c>
      <c r="D77" s="2" t="s">
        <v>81</v>
      </c>
      <c r="E77" s="3"/>
    </row>
    <row r="78" spans="1:5" ht="24.75" customHeight="1">
      <c r="A78" s="2">
        <v>76</v>
      </c>
      <c r="B78" s="2" t="str">
        <f>"蔡家婵"</f>
        <v>蔡家婵</v>
      </c>
      <c r="C78" s="2" t="s">
        <v>15</v>
      </c>
      <c r="D78" s="2" t="s">
        <v>82</v>
      </c>
      <c r="E78" s="3"/>
    </row>
    <row r="79" spans="1:5" ht="24.75" customHeight="1">
      <c r="A79" s="2">
        <v>77</v>
      </c>
      <c r="B79" s="2" t="str">
        <f>"蔡佳玲"</f>
        <v>蔡佳玲</v>
      </c>
      <c r="C79" s="2" t="s">
        <v>15</v>
      </c>
      <c r="D79" s="2" t="s">
        <v>83</v>
      </c>
      <c r="E79" s="3"/>
    </row>
    <row r="80" spans="1:5" ht="24.75" customHeight="1">
      <c r="A80" s="2">
        <v>78</v>
      </c>
      <c r="B80" s="2" t="str">
        <f>"吴佳艳"</f>
        <v>吴佳艳</v>
      </c>
      <c r="C80" s="2" t="s">
        <v>15</v>
      </c>
      <c r="D80" s="2" t="s">
        <v>84</v>
      </c>
      <c r="E80" s="3"/>
    </row>
    <row r="81" spans="1:5" ht="24.75" customHeight="1">
      <c r="A81" s="2">
        <v>79</v>
      </c>
      <c r="B81" s="2" t="str">
        <f>"周帆"</f>
        <v>周帆</v>
      </c>
      <c r="C81" s="2" t="s">
        <v>15</v>
      </c>
      <c r="D81" s="2" t="s">
        <v>85</v>
      </c>
      <c r="E81" s="3"/>
    </row>
    <row r="82" spans="1:5" ht="24.75" customHeight="1">
      <c r="A82" s="2">
        <v>80</v>
      </c>
      <c r="B82" s="2" t="str">
        <f>"卢李倩"</f>
        <v>卢李倩</v>
      </c>
      <c r="C82" s="2" t="s">
        <v>15</v>
      </c>
      <c r="D82" s="2" t="s">
        <v>86</v>
      </c>
      <c r="E82" s="3"/>
    </row>
    <row r="83" spans="1:5" ht="24.75" customHeight="1">
      <c r="A83" s="2">
        <v>81</v>
      </c>
      <c r="B83" s="2" t="str">
        <f>"王云芳"</f>
        <v>王云芳</v>
      </c>
      <c r="C83" s="2" t="s">
        <v>15</v>
      </c>
      <c r="D83" s="2" t="s">
        <v>87</v>
      </c>
      <c r="E83" s="3"/>
    </row>
    <row r="84" spans="1:5" ht="24.75" customHeight="1">
      <c r="A84" s="2">
        <v>82</v>
      </c>
      <c r="B84" s="2" t="str">
        <f>"王晶晶"</f>
        <v>王晶晶</v>
      </c>
      <c r="C84" s="2" t="s">
        <v>15</v>
      </c>
      <c r="D84" s="2" t="s">
        <v>88</v>
      </c>
      <c r="E84" s="3"/>
    </row>
    <row r="85" spans="1:5" ht="24.75" customHeight="1">
      <c r="A85" s="2">
        <v>83</v>
      </c>
      <c r="B85" s="2" t="str">
        <f>"虞得水"</f>
        <v>虞得水</v>
      </c>
      <c r="C85" s="2" t="s">
        <v>15</v>
      </c>
      <c r="D85" s="2" t="s">
        <v>89</v>
      </c>
      <c r="E85" s="3"/>
    </row>
    <row r="86" spans="1:5" ht="24.75" customHeight="1">
      <c r="A86" s="2">
        <v>84</v>
      </c>
      <c r="B86" s="2" t="str">
        <f>"洪梅"</f>
        <v>洪梅</v>
      </c>
      <c r="C86" s="2" t="s">
        <v>15</v>
      </c>
      <c r="D86" s="2" t="s">
        <v>90</v>
      </c>
      <c r="E86" s="3"/>
    </row>
    <row r="87" spans="1:5" ht="24.75" customHeight="1">
      <c r="A87" s="2">
        <v>85</v>
      </c>
      <c r="B87" s="2" t="str">
        <f>"冯淑贤"</f>
        <v>冯淑贤</v>
      </c>
      <c r="C87" s="2" t="s">
        <v>15</v>
      </c>
      <c r="D87" s="2" t="s">
        <v>91</v>
      </c>
      <c r="E87" s="3"/>
    </row>
    <row r="88" spans="1:5" ht="24.75" customHeight="1">
      <c r="A88" s="2">
        <v>86</v>
      </c>
      <c r="B88" s="2" t="str">
        <f>"吴多丰"</f>
        <v>吴多丰</v>
      </c>
      <c r="C88" s="2" t="s">
        <v>15</v>
      </c>
      <c r="D88" s="2" t="s">
        <v>92</v>
      </c>
      <c r="E88" s="3"/>
    </row>
    <row r="89" spans="1:5" ht="24.75" customHeight="1">
      <c r="A89" s="2">
        <v>87</v>
      </c>
      <c r="B89" s="2" t="str">
        <f>"王元格"</f>
        <v>王元格</v>
      </c>
      <c r="C89" s="2" t="s">
        <v>15</v>
      </c>
      <c r="D89" s="2" t="s">
        <v>93</v>
      </c>
      <c r="E89" s="3"/>
    </row>
    <row r="90" spans="1:5" ht="24.75" customHeight="1">
      <c r="A90" s="2">
        <v>88</v>
      </c>
      <c r="B90" s="2" t="str">
        <f>"符金迎"</f>
        <v>符金迎</v>
      </c>
      <c r="C90" s="2" t="s">
        <v>15</v>
      </c>
      <c r="D90" s="2" t="s">
        <v>94</v>
      </c>
      <c r="E90" s="3"/>
    </row>
    <row r="91" spans="1:5" ht="24.75" customHeight="1">
      <c r="A91" s="2">
        <v>89</v>
      </c>
      <c r="B91" s="2" t="str">
        <f>"许雅楠"</f>
        <v>许雅楠</v>
      </c>
      <c r="C91" s="2" t="s">
        <v>15</v>
      </c>
      <c r="D91" s="2" t="s">
        <v>95</v>
      </c>
      <c r="E91" s="3"/>
    </row>
    <row r="92" spans="1:5" ht="24.75" customHeight="1">
      <c r="A92" s="2">
        <v>90</v>
      </c>
      <c r="B92" s="2" t="str">
        <f>"何发锦"</f>
        <v>何发锦</v>
      </c>
      <c r="C92" s="2" t="s">
        <v>15</v>
      </c>
      <c r="D92" s="2" t="s">
        <v>96</v>
      </c>
      <c r="E92" s="3"/>
    </row>
    <row r="93" spans="1:5" ht="24.75" customHeight="1">
      <c r="A93" s="2">
        <v>91</v>
      </c>
      <c r="B93" s="2" t="str">
        <f>"方学娜"</f>
        <v>方学娜</v>
      </c>
      <c r="C93" s="2" t="s">
        <v>15</v>
      </c>
      <c r="D93" s="2" t="s">
        <v>97</v>
      </c>
      <c r="E93" s="3"/>
    </row>
    <row r="94" spans="1:5" ht="24.75" customHeight="1">
      <c r="A94" s="2">
        <v>92</v>
      </c>
      <c r="B94" s="2" t="str">
        <f>"陈莹"</f>
        <v>陈莹</v>
      </c>
      <c r="C94" s="2" t="s">
        <v>15</v>
      </c>
      <c r="D94" s="2" t="s">
        <v>98</v>
      </c>
      <c r="E94" s="3"/>
    </row>
    <row r="95" spans="1:5" ht="24.75" customHeight="1">
      <c r="A95" s="2">
        <v>93</v>
      </c>
      <c r="B95" s="2" t="str">
        <f>"符玉秋"</f>
        <v>符玉秋</v>
      </c>
      <c r="C95" s="2" t="s">
        <v>15</v>
      </c>
      <c r="D95" s="2" t="s">
        <v>99</v>
      </c>
      <c r="E95" s="3"/>
    </row>
    <row r="96" spans="1:5" ht="24.75" customHeight="1">
      <c r="A96" s="2">
        <v>94</v>
      </c>
      <c r="B96" s="2" t="str">
        <f>"夏耀武"</f>
        <v>夏耀武</v>
      </c>
      <c r="C96" s="2" t="s">
        <v>15</v>
      </c>
      <c r="D96" s="2" t="s">
        <v>100</v>
      </c>
      <c r="E96" s="3"/>
    </row>
    <row r="97" spans="1:5" ht="24.75" customHeight="1">
      <c r="A97" s="2">
        <v>95</v>
      </c>
      <c r="B97" s="2" t="str">
        <f>"黄妹玉"</f>
        <v>黄妹玉</v>
      </c>
      <c r="C97" s="2" t="s">
        <v>15</v>
      </c>
      <c r="D97" s="2" t="s">
        <v>101</v>
      </c>
      <c r="E97" s="3"/>
    </row>
    <row r="98" spans="1:5" ht="24.75" customHeight="1">
      <c r="A98" s="2">
        <v>96</v>
      </c>
      <c r="B98" s="2" t="str">
        <f>"王聪聪"</f>
        <v>王聪聪</v>
      </c>
      <c r="C98" s="2" t="s">
        <v>15</v>
      </c>
      <c r="D98" s="2" t="s">
        <v>102</v>
      </c>
      <c r="E98" s="3"/>
    </row>
    <row r="99" spans="1:5" ht="24.75" customHeight="1">
      <c r="A99" s="2">
        <v>97</v>
      </c>
      <c r="B99" s="2" t="str">
        <f>"卜阳阳"</f>
        <v>卜阳阳</v>
      </c>
      <c r="C99" s="2" t="s">
        <v>15</v>
      </c>
      <c r="D99" s="2" t="s">
        <v>103</v>
      </c>
      <c r="E99" s="3"/>
    </row>
    <row r="100" spans="1:5" ht="24.75" customHeight="1">
      <c r="A100" s="2">
        <v>98</v>
      </c>
      <c r="B100" s="2" t="str">
        <f>"陈明爵"</f>
        <v>陈明爵</v>
      </c>
      <c r="C100" s="2" t="s">
        <v>15</v>
      </c>
      <c r="D100" s="2" t="s">
        <v>104</v>
      </c>
      <c r="E100" s="3"/>
    </row>
    <row r="101" spans="1:5" ht="24.75" customHeight="1">
      <c r="A101" s="2">
        <v>99</v>
      </c>
      <c r="B101" s="2" t="str">
        <f>"张年俊"</f>
        <v>张年俊</v>
      </c>
      <c r="C101" s="2" t="s">
        <v>15</v>
      </c>
      <c r="D101" s="2" t="s">
        <v>105</v>
      </c>
      <c r="E101" s="3"/>
    </row>
    <row r="102" spans="1:5" ht="24.75" customHeight="1">
      <c r="A102" s="2">
        <v>100</v>
      </c>
      <c r="B102" s="2" t="str">
        <f>"林春苗"</f>
        <v>林春苗</v>
      </c>
      <c r="C102" s="2" t="s">
        <v>15</v>
      </c>
      <c r="D102" s="2" t="s">
        <v>106</v>
      </c>
      <c r="E102" s="3"/>
    </row>
    <row r="103" spans="1:5" ht="24.75" customHeight="1">
      <c r="A103" s="2">
        <v>101</v>
      </c>
      <c r="B103" s="2" t="str">
        <f>"罗惠君"</f>
        <v>罗惠君</v>
      </c>
      <c r="C103" s="2" t="s">
        <v>15</v>
      </c>
      <c r="D103" s="2" t="s">
        <v>107</v>
      </c>
      <c r="E103" s="3"/>
    </row>
    <row r="104" spans="1:5" ht="24.75" customHeight="1">
      <c r="A104" s="2">
        <v>102</v>
      </c>
      <c r="B104" s="2" t="str">
        <f>"陈新妃"</f>
        <v>陈新妃</v>
      </c>
      <c r="C104" s="2" t="s">
        <v>15</v>
      </c>
      <c r="D104" s="2" t="s">
        <v>108</v>
      </c>
      <c r="E104" s="3"/>
    </row>
    <row r="105" spans="1:5" ht="24.75" customHeight="1">
      <c r="A105" s="2">
        <v>103</v>
      </c>
      <c r="B105" s="2" t="str">
        <f>"陈明情"</f>
        <v>陈明情</v>
      </c>
      <c r="C105" s="2" t="s">
        <v>15</v>
      </c>
      <c r="D105" s="2" t="s">
        <v>109</v>
      </c>
      <c r="E105" s="3"/>
    </row>
    <row r="106" spans="1:5" ht="24.75" customHeight="1">
      <c r="A106" s="2">
        <v>104</v>
      </c>
      <c r="B106" s="2" t="str">
        <f>"陈景峰"</f>
        <v>陈景峰</v>
      </c>
      <c r="C106" s="2" t="s">
        <v>15</v>
      </c>
      <c r="D106" s="2" t="s">
        <v>110</v>
      </c>
      <c r="E106" s="3"/>
    </row>
    <row r="107" spans="1:5" ht="24.75" customHeight="1">
      <c r="A107" s="2">
        <v>105</v>
      </c>
      <c r="B107" s="2" t="str">
        <f>"马凤娇"</f>
        <v>马凤娇</v>
      </c>
      <c r="C107" s="2" t="s">
        <v>15</v>
      </c>
      <c r="D107" s="2" t="s">
        <v>111</v>
      </c>
      <c r="E107" s="3"/>
    </row>
    <row r="108" spans="1:5" ht="24.75" customHeight="1">
      <c r="A108" s="2">
        <v>106</v>
      </c>
      <c r="B108" s="2" t="str">
        <f>"梁德华"</f>
        <v>梁德华</v>
      </c>
      <c r="C108" s="2" t="s">
        <v>15</v>
      </c>
      <c r="D108" s="2" t="s">
        <v>112</v>
      </c>
      <c r="E108" s="3"/>
    </row>
    <row r="109" spans="1:5" ht="24.75" customHeight="1">
      <c r="A109" s="2">
        <v>107</v>
      </c>
      <c r="B109" s="2" t="str">
        <f>"李庆琳"</f>
        <v>李庆琳</v>
      </c>
      <c r="C109" s="2" t="s">
        <v>15</v>
      </c>
      <c r="D109" s="2" t="s">
        <v>113</v>
      </c>
      <c r="E109" s="3"/>
    </row>
    <row r="110" spans="1:5" ht="24.75" customHeight="1">
      <c r="A110" s="2">
        <v>108</v>
      </c>
      <c r="B110" s="2" t="str">
        <f>"关程"</f>
        <v>关程</v>
      </c>
      <c r="C110" s="2" t="s">
        <v>15</v>
      </c>
      <c r="D110" s="2" t="s">
        <v>114</v>
      </c>
      <c r="E110" s="3"/>
    </row>
    <row r="111" spans="1:5" ht="24.75" customHeight="1">
      <c r="A111" s="2">
        <v>109</v>
      </c>
      <c r="B111" s="2" t="str">
        <f>"李占兰"</f>
        <v>李占兰</v>
      </c>
      <c r="C111" s="2" t="s">
        <v>15</v>
      </c>
      <c r="D111" s="2" t="s">
        <v>115</v>
      </c>
      <c r="E111" s="3"/>
    </row>
    <row r="112" spans="1:5" ht="24.75" customHeight="1">
      <c r="A112" s="2">
        <v>110</v>
      </c>
      <c r="B112" s="2" t="str">
        <f>"张卿"</f>
        <v>张卿</v>
      </c>
      <c r="C112" s="2" t="s">
        <v>15</v>
      </c>
      <c r="D112" s="2" t="s">
        <v>116</v>
      </c>
      <c r="E112" s="3"/>
    </row>
    <row r="113" spans="1:5" ht="24.75" customHeight="1">
      <c r="A113" s="2">
        <v>111</v>
      </c>
      <c r="B113" s="2" t="str">
        <f>"黄培培"</f>
        <v>黄培培</v>
      </c>
      <c r="C113" s="2" t="s">
        <v>15</v>
      </c>
      <c r="D113" s="2" t="s">
        <v>117</v>
      </c>
      <c r="E113" s="3"/>
    </row>
    <row r="114" spans="1:5" ht="24.75" customHeight="1">
      <c r="A114" s="2">
        <v>112</v>
      </c>
      <c r="B114" s="2" t="str">
        <f>"王钰"</f>
        <v>王钰</v>
      </c>
      <c r="C114" s="2" t="s">
        <v>15</v>
      </c>
      <c r="D114" s="2" t="s">
        <v>118</v>
      </c>
      <c r="E114" s="3"/>
    </row>
    <row r="115" spans="1:5" ht="24.75" customHeight="1">
      <c r="A115" s="2">
        <v>113</v>
      </c>
      <c r="B115" s="2" t="str">
        <f>"黄韵灵"</f>
        <v>黄韵灵</v>
      </c>
      <c r="C115" s="2" t="s">
        <v>15</v>
      </c>
      <c r="D115" s="2" t="s">
        <v>119</v>
      </c>
      <c r="E115" s="3"/>
    </row>
    <row r="116" spans="1:5" ht="24.75" customHeight="1">
      <c r="A116" s="2">
        <v>114</v>
      </c>
      <c r="B116" s="2" t="str">
        <f>"麦明珍"</f>
        <v>麦明珍</v>
      </c>
      <c r="C116" s="2" t="s">
        <v>15</v>
      </c>
      <c r="D116" s="2" t="s">
        <v>120</v>
      </c>
      <c r="E116" s="3"/>
    </row>
    <row r="117" spans="1:5" ht="24.75" customHeight="1">
      <c r="A117" s="2">
        <v>115</v>
      </c>
      <c r="B117" s="2" t="str">
        <f>"苏资哲"</f>
        <v>苏资哲</v>
      </c>
      <c r="C117" s="2" t="s">
        <v>15</v>
      </c>
      <c r="D117" s="2" t="s">
        <v>121</v>
      </c>
      <c r="E117" s="3"/>
    </row>
    <row r="118" spans="1:5" ht="24.75" customHeight="1">
      <c r="A118" s="2">
        <v>116</v>
      </c>
      <c r="B118" s="2" t="str">
        <f>"黄勤"</f>
        <v>黄勤</v>
      </c>
      <c r="C118" s="2" t="s">
        <v>15</v>
      </c>
      <c r="D118" s="2" t="s">
        <v>122</v>
      </c>
      <c r="E118" s="3"/>
    </row>
    <row r="119" spans="1:5" ht="24.75" customHeight="1">
      <c r="A119" s="2">
        <v>117</v>
      </c>
      <c r="B119" s="2" t="str">
        <f>"张秋琳"</f>
        <v>张秋琳</v>
      </c>
      <c r="C119" s="2" t="s">
        <v>15</v>
      </c>
      <c r="D119" s="2" t="s">
        <v>123</v>
      </c>
      <c r="E119" s="3"/>
    </row>
    <row r="120" spans="1:5" ht="24.75" customHeight="1">
      <c r="A120" s="2">
        <v>118</v>
      </c>
      <c r="B120" s="2" t="str">
        <f>"王文妍"</f>
        <v>王文妍</v>
      </c>
      <c r="C120" s="2" t="s">
        <v>15</v>
      </c>
      <c r="D120" s="2" t="s">
        <v>124</v>
      </c>
      <c r="E120" s="3"/>
    </row>
    <row r="121" spans="1:5" ht="24.75" customHeight="1">
      <c r="A121" s="2">
        <v>119</v>
      </c>
      <c r="B121" s="2" t="str">
        <f>"王璐"</f>
        <v>王璐</v>
      </c>
      <c r="C121" s="2" t="s">
        <v>15</v>
      </c>
      <c r="D121" s="2" t="s">
        <v>125</v>
      </c>
      <c r="E121" s="3"/>
    </row>
    <row r="122" spans="1:5" ht="24.75" customHeight="1">
      <c r="A122" s="2">
        <v>120</v>
      </c>
      <c r="B122" s="2" t="str">
        <f>"曾祥慧"</f>
        <v>曾祥慧</v>
      </c>
      <c r="C122" s="2" t="s">
        <v>15</v>
      </c>
      <c r="D122" s="2" t="s">
        <v>126</v>
      </c>
      <c r="E122" s="3"/>
    </row>
    <row r="123" spans="1:5" ht="24.75" customHeight="1">
      <c r="A123" s="2">
        <v>121</v>
      </c>
      <c r="B123" s="2" t="str">
        <f>"蒋佳佳"</f>
        <v>蒋佳佳</v>
      </c>
      <c r="C123" s="2" t="s">
        <v>15</v>
      </c>
      <c r="D123" s="2" t="s">
        <v>127</v>
      </c>
      <c r="E123" s="3"/>
    </row>
    <row r="124" spans="1:5" ht="24.75" customHeight="1">
      <c r="A124" s="2">
        <v>122</v>
      </c>
      <c r="B124" s="2" t="str">
        <f>"张开菊"</f>
        <v>张开菊</v>
      </c>
      <c r="C124" s="2" t="s">
        <v>15</v>
      </c>
      <c r="D124" s="2" t="s">
        <v>128</v>
      </c>
      <c r="E124" s="3"/>
    </row>
    <row r="125" spans="1:5" ht="24.75" customHeight="1">
      <c r="A125" s="2">
        <v>123</v>
      </c>
      <c r="B125" s="2" t="str">
        <f>"周中琴"</f>
        <v>周中琴</v>
      </c>
      <c r="C125" s="2" t="s">
        <v>15</v>
      </c>
      <c r="D125" s="2" t="s">
        <v>129</v>
      </c>
      <c r="E125" s="3"/>
    </row>
    <row r="126" spans="1:5" ht="24.75" customHeight="1">
      <c r="A126" s="2">
        <v>124</v>
      </c>
      <c r="B126" s="2" t="str">
        <f>"李雨诗"</f>
        <v>李雨诗</v>
      </c>
      <c r="C126" s="2" t="s">
        <v>15</v>
      </c>
      <c r="D126" s="2" t="s">
        <v>130</v>
      </c>
      <c r="E126" s="3"/>
    </row>
    <row r="127" spans="1:5" ht="24.75" customHeight="1">
      <c r="A127" s="2">
        <v>125</v>
      </c>
      <c r="B127" s="2" t="str">
        <f>"麦贤妹"</f>
        <v>麦贤妹</v>
      </c>
      <c r="C127" s="2" t="s">
        <v>15</v>
      </c>
      <c r="D127" s="2" t="s">
        <v>131</v>
      </c>
      <c r="E127" s="3"/>
    </row>
    <row r="128" spans="1:5" ht="24.75" customHeight="1">
      <c r="A128" s="2">
        <v>126</v>
      </c>
      <c r="B128" s="2" t="str">
        <f>"陈柳伶"</f>
        <v>陈柳伶</v>
      </c>
      <c r="C128" s="2" t="s">
        <v>15</v>
      </c>
      <c r="D128" s="2" t="s">
        <v>132</v>
      </c>
      <c r="E128" s="3"/>
    </row>
    <row r="129" spans="1:5" ht="24.75" customHeight="1">
      <c r="A129" s="2">
        <v>127</v>
      </c>
      <c r="B129" s="2" t="str">
        <f>"韦丽琼"</f>
        <v>韦丽琼</v>
      </c>
      <c r="C129" s="2" t="s">
        <v>15</v>
      </c>
      <c r="D129" s="2" t="s">
        <v>133</v>
      </c>
      <c r="E129" s="3"/>
    </row>
    <row r="130" spans="1:5" ht="24.75" customHeight="1">
      <c r="A130" s="2">
        <v>128</v>
      </c>
      <c r="B130" s="2" t="str">
        <f>"刘瑶"</f>
        <v>刘瑶</v>
      </c>
      <c r="C130" s="2" t="s">
        <v>15</v>
      </c>
      <c r="D130" s="2" t="s">
        <v>134</v>
      </c>
      <c r="E130" s="3"/>
    </row>
    <row r="131" spans="1:5" ht="24.75" customHeight="1">
      <c r="A131" s="2">
        <v>129</v>
      </c>
      <c r="B131" s="2" t="str">
        <f>"陈妹"</f>
        <v>陈妹</v>
      </c>
      <c r="C131" s="2" t="s">
        <v>15</v>
      </c>
      <c r="D131" s="2" t="s">
        <v>135</v>
      </c>
      <c r="E131" s="3"/>
    </row>
    <row r="132" spans="1:5" ht="24.75" customHeight="1">
      <c r="A132" s="2">
        <v>130</v>
      </c>
      <c r="B132" s="2" t="str">
        <f>"叶珮"</f>
        <v>叶珮</v>
      </c>
      <c r="C132" s="2" t="s">
        <v>15</v>
      </c>
      <c r="D132" s="2" t="s">
        <v>136</v>
      </c>
      <c r="E132" s="3"/>
    </row>
    <row r="133" spans="1:5" ht="24.75" customHeight="1">
      <c r="A133" s="2">
        <v>131</v>
      </c>
      <c r="B133" s="2" t="str">
        <f>"王盛鑫"</f>
        <v>王盛鑫</v>
      </c>
      <c r="C133" s="2" t="s">
        <v>15</v>
      </c>
      <c r="D133" s="2" t="s">
        <v>137</v>
      </c>
      <c r="E133" s="3"/>
    </row>
    <row r="134" spans="1:5" ht="24.75" customHeight="1">
      <c r="A134" s="2">
        <v>132</v>
      </c>
      <c r="B134" s="2" t="str">
        <f>"羊荣娥"</f>
        <v>羊荣娥</v>
      </c>
      <c r="C134" s="2" t="s">
        <v>15</v>
      </c>
      <c r="D134" s="2" t="s">
        <v>138</v>
      </c>
      <c r="E134" s="3"/>
    </row>
    <row r="135" spans="1:5" ht="24.75" customHeight="1">
      <c r="A135" s="2">
        <v>133</v>
      </c>
      <c r="B135" s="2" t="str">
        <f>"林婕"</f>
        <v>林婕</v>
      </c>
      <c r="C135" s="2" t="s">
        <v>15</v>
      </c>
      <c r="D135" s="2" t="s">
        <v>139</v>
      </c>
      <c r="E135" s="3"/>
    </row>
    <row r="136" spans="1:5" ht="24.75" customHeight="1">
      <c r="A136" s="2">
        <v>134</v>
      </c>
      <c r="B136" s="2" t="str">
        <f>"池彦虹"</f>
        <v>池彦虹</v>
      </c>
      <c r="C136" s="2" t="s">
        <v>15</v>
      </c>
      <c r="D136" s="2" t="s">
        <v>140</v>
      </c>
      <c r="E136" s="3"/>
    </row>
    <row r="137" spans="1:5" ht="24.75" customHeight="1">
      <c r="A137" s="2">
        <v>135</v>
      </c>
      <c r="B137" s="2" t="str">
        <f>"张雯霞"</f>
        <v>张雯霞</v>
      </c>
      <c r="C137" s="2" t="s">
        <v>15</v>
      </c>
      <c r="D137" s="2" t="s">
        <v>141</v>
      </c>
      <c r="E137" s="3"/>
    </row>
    <row r="138" spans="1:5" ht="24.75" customHeight="1">
      <c r="A138" s="2">
        <v>136</v>
      </c>
      <c r="B138" s="2" t="str">
        <f>"林上月"</f>
        <v>林上月</v>
      </c>
      <c r="C138" s="2" t="s">
        <v>15</v>
      </c>
      <c r="D138" s="2" t="s">
        <v>142</v>
      </c>
      <c r="E138" s="3"/>
    </row>
    <row r="139" spans="1:5" ht="24.75" customHeight="1">
      <c r="A139" s="2">
        <v>137</v>
      </c>
      <c r="B139" s="2" t="str">
        <f>"林少琴"</f>
        <v>林少琴</v>
      </c>
      <c r="C139" s="2" t="s">
        <v>15</v>
      </c>
      <c r="D139" s="2" t="s">
        <v>143</v>
      </c>
      <c r="E139" s="3"/>
    </row>
    <row r="140" spans="1:5" ht="24.75" customHeight="1">
      <c r="A140" s="2">
        <v>138</v>
      </c>
      <c r="B140" s="2" t="str">
        <f>"陈柳柳"</f>
        <v>陈柳柳</v>
      </c>
      <c r="C140" s="2" t="s">
        <v>15</v>
      </c>
      <c r="D140" s="2" t="s">
        <v>144</v>
      </c>
      <c r="E140" s="3"/>
    </row>
    <row r="141" spans="1:5" ht="24.75" customHeight="1">
      <c r="A141" s="2">
        <v>139</v>
      </c>
      <c r="B141" s="2" t="str">
        <f>"梁宇晴"</f>
        <v>梁宇晴</v>
      </c>
      <c r="C141" s="2" t="s">
        <v>15</v>
      </c>
      <c r="D141" s="2" t="s">
        <v>145</v>
      </c>
      <c r="E141" s="3"/>
    </row>
    <row r="142" spans="1:5" ht="24.75" customHeight="1">
      <c r="A142" s="2">
        <v>140</v>
      </c>
      <c r="B142" s="2" t="str">
        <f>"李丽川"</f>
        <v>李丽川</v>
      </c>
      <c r="C142" s="2" t="s">
        <v>15</v>
      </c>
      <c r="D142" s="2" t="s">
        <v>146</v>
      </c>
      <c r="E142" s="3"/>
    </row>
    <row r="143" spans="1:5" ht="24.75" customHeight="1">
      <c r="A143" s="2">
        <v>141</v>
      </c>
      <c r="B143" s="2" t="str">
        <f>"林艳秋"</f>
        <v>林艳秋</v>
      </c>
      <c r="C143" s="2" t="s">
        <v>15</v>
      </c>
      <c r="D143" s="2" t="s">
        <v>91</v>
      </c>
      <c r="E143" s="3"/>
    </row>
    <row r="144" spans="1:5" ht="24.75" customHeight="1">
      <c r="A144" s="2">
        <v>142</v>
      </c>
      <c r="B144" s="2" t="str">
        <f>"王微霞"</f>
        <v>王微霞</v>
      </c>
      <c r="C144" s="2" t="s">
        <v>15</v>
      </c>
      <c r="D144" s="2" t="s">
        <v>147</v>
      </c>
      <c r="E144" s="3"/>
    </row>
    <row r="145" spans="1:5" ht="24.75" customHeight="1">
      <c r="A145" s="2">
        <v>143</v>
      </c>
      <c r="B145" s="2" t="str">
        <f>"孟睿莹"</f>
        <v>孟睿莹</v>
      </c>
      <c r="C145" s="2" t="s">
        <v>15</v>
      </c>
      <c r="D145" s="2" t="s">
        <v>148</v>
      </c>
      <c r="E145" s="3"/>
    </row>
    <row r="146" spans="1:5" ht="24.75" customHeight="1">
      <c r="A146" s="2">
        <v>144</v>
      </c>
      <c r="B146" s="2" t="str">
        <f>"王发珠"</f>
        <v>王发珠</v>
      </c>
      <c r="C146" s="2" t="s">
        <v>15</v>
      </c>
      <c r="D146" s="2" t="s">
        <v>149</v>
      </c>
      <c r="E146" s="3"/>
    </row>
    <row r="147" spans="1:5" ht="24.75" customHeight="1">
      <c r="A147" s="2">
        <v>145</v>
      </c>
      <c r="B147" s="2" t="str">
        <f>"符祥源"</f>
        <v>符祥源</v>
      </c>
      <c r="C147" s="2" t="s">
        <v>15</v>
      </c>
      <c r="D147" s="2" t="s">
        <v>150</v>
      </c>
      <c r="E147" s="3"/>
    </row>
    <row r="148" spans="1:5" ht="24.75" customHeight="1">
      <c r="A148" s="2">
        <v>146</v>
      </c>
      <c r="B148" s="2" t="str">
        <f>"冯朝阳"</f>
        <v>冯朝阳</v>
      </c>
      <c r="C148" s="2" t="s">
        <v>15</v>
      </c>
      <c r="D148" s="2" t="s">
        <v>151</v>
      </c>
      <c r="E148" s="3"/>
    </row>
    <row r="149" spans="1:5" ht="24.75" customHeight="1">
      <c r="A149" s="2">
        <v>147</v>
      </c>
      <c r="B149" s="2" t="str">
        <f>"黄显峰"</f>
        <v>黄显峰</v>
      </c>
      <c r="C149" s="2" t="s">
        <v>15</v>
      </c>
      <c r="D149" s="2" t="s">
        <v>152</v>
      </c>
      <c r="E149" s="3"/>
    </row>
    <row r="150" spans="1:5" ht="24.75" customHeight="1">
      <c r="A150" s="2">
        <v>148</v>
      </c>
      <c r="B150" s="2" t="str">
        <f>"陈笔愉"</f>
        <v>陈笔愉</v>
      </c>
      <c r="C150" s="2" t="s">
        <v>15</v>
      </c>
      <c r="D150" s="2" t="s">
        <v>153</v>
      </c>
      <c r="E150" s="3"/>
    </row>
    <row r="151" spans="1:5" ht="24.75" customHeight="1">
      <c r="A151" s="2">
        <v>149</v>
      </c>
      <c r="B151" s="2" t="str">
        <f>"王海新"</f>
        <v>王海新</v>
      </c>
      <c r="C151" s="2" t="s">
        <v>15</v>
      </c>
      <c r="D151" s="2" t="s">
        <v>154</v>
      </c>
      <c r="E151" s="3"/>
    </row>
    <row r="152" spans="1:5" ht="24.75" customHeight="1">
      <c r="A152" s="2">
        <v>150</v>
      </c>
      <c r="B152" s="2" t="str">
        <f>"陈明创"</f>
        <v>陈明创</v>
      </c>
      <c r="C152" s="2" t="s">
        <v>15</v>
      </c>
      <c r="D152" s="2" t="s">
        <v>155</v>
      </c>
      <c r="E152" s="3"/>
    </row>
    <row r="153" spans="1:5" ht="24.75" customHeight="1">
      <c r="A153" s="2">
        <v>151</v>
      </c>
      <c r="B153" s="2" t="str">
        <f>"李坤炳"</f>
        <v>李坤炳</v>
      </c>
      <c r="C153" s="2" t="s">
        <v>15</v>
      </c>
      <c r="D153" s="2" t="s">
        <v>156</v>
      </c>
      <c r="E153" s="3"/>
    </row>
    <row r="154" spans="1:5" ht="24.75" customHeight="1">
      <c r="A154" s="2">
        <v>152</v>
      </c>
      <c r="B154" s="2" t="str">
        <f>"王儒"</f>
        <v>王儒</v>
      </c>
      <c r="C154" s="2" t="s">
        <v>15</v>
      </c>
      <c r="D154" s="2" t="s">
        <v>157</v>
      </c>
      <c r="E154" s="3"/>
    </row>
    <row r="155" spans="1:5" ht="24.75" customHeight="1">
      <c r="A155" s="2">
        <v>153</v>
      </c>
      <c r="B155" s="2" t="str">
        <f>"林生婷"</f>
        <v>林生婷</v>
      </c>
      <c r="C155" s="2" t="s">
        <v>15</v>
      </c>
      <c r="D155" s="2" t="s">
        <v>158</v>
      </c>
      <c r="E155" s="3"/>
    </row>
    <row r="156" spans="1:5" ht="24.75" customHeight="1">
      <c r="A156" s="2">
        <v>154</v>
      </c>
      <c r="B156" s="2" t="str">
        <f>"樊华"</f>
        <v>樊华</v>
      </c>
      <c r="C156" s="2" t="s">
        <v>15</v>
      </c>
      <c r="D156" s="2" t="s">
        <v>159</v>
      </c>
      <c r="E156" s="3"/>
    </row>
    <row r="157" spans="1:5" ht="24.75" customHeight="1">
      <c r="A157" s="2">
        <v>155</v>
      </c>
      <c r="B157" s="2" t="str">
        <f>"刘思"</f>
        <v>刘思</v>
      </c>
      <c r="C157" s="2" t="s">
        <v>15</v>
      </c>
      <c r="D157" s="2" t="s">
        <v>160</v>
      </c>
      <c r="E157" s="3"/>
    </row>
    <row r="158" spans="1:5" ht="24.75" customHeight="1">
      <c r="A158" s="2">
        <v>156</v>
      </c>
      <c r="B158" s="2" t="str">
        <f>"蔡本清"</f>
        <v>蔡本清</v>
      </c>
      <c r="C158" s="2" t="s">
        <v>15</v>
      </c>
      <c r="D158" s="2" t="s">
        <v>161</v>
      </c>
      <c r="E158" s="3"/>
    </row>
    <row r="159" spans="1:5" ht="24.75" customHeight="1">
      <c r="A159" s="2">
        <v>157</v>
      </c>
      <c r="B159" s="2" t="str">
        <f>"李莲萍"</f>
        <v>李莲萍</v>
      </c>
      <c r="C159" s="2" t="s">
        <v>15</v>
      </c>
      <c r="D159" s="2" t="s">
        <v>162</v>
      </c>
      <c r="E159" s="3"/>
    </row>
    <row r="160" spans="1:5" ht="24.75" customHeight="1">
      <c r="A160" s="2">
        <v>158</v>
      </c>
      <c r="B160" s="2" t="str">
        <f>"陈云雨"</f>
        <v>陈云雨</v>
      </c>
      <c r="C160" s="2" t="s">
        <v>15</v>
      </c>
      <c r="D160" s="2" t="s">
        <v>163</v>
      </c>
      <c r="E160" s="3"/>
    </row>
    <row r="161" spans="1:5" ht="24.75" customHeight="1">
      <c r="A161" s="2">
        <v>159</v>
      </c>
      <c r="B161" s="2" t="str">
        <f>"雷南玉"</f>
        <v>雷南玉</v>
      </c>
      <c r="C161" s="2" t="s">
        <v>15</v>
      </c>
      <c r="D161" s="2" t="s">
        <v>164</v>
      </c>
      <c r="E161" s="3"/>
    </row>
    <row r="162" spans="1:5" ht="24.75" customHeight="1">
      <c r="A162" s="2">
        <v>160</v>
      </c>
      <c r="B162" s="2" t="str">
        <f>"符黄艺"</f>
        <v>符黄艺</v>
      </c>
      <c r="C162" s="2" t="s">
        <v>15</v>
      </c>
      <c r="D162" s="2" t="s">
        <v>165</v>
      </c>
      <c r="E162" s="3"/>
    </row>
    <row r="163" spans="1:5" ht="24.75" customHeight="1">
      <c r="A163" s="2">
        <v>161</v>
      </c>
      <c r="B163" s="2" t="str">
        <f>"孙佩琦"</f>
        <v>孙佩琦</v>
      </c>
      <c r="C163" s="2" t="s">
        <v>15</v>
      </c>
      <c r="D163" s="2" t="s">
        <v>166</v>
      </c>
      <c r="E163" s="3"/>
    </row>
    <row r="164" spans="1:5" ht="24.75" customHeight="1">
      <c r="A164" s="2">
        <v>162</v>
      </c>
      <c r="B164" s="2" t="str">
        <f>"曾川"</f>
        <v>曾川</v>
      </c>
      <c r="C164" s="2" t="s">
        <v>15</v>
      </c>
      <c r="D164" s="2" t="s">
        <v>167</v>
      </c>
      <c r="E164" s="3"/>
    </row>
    <row r="165" spans="1:5" ht="24.75" customHeight="1">
      <c r="A165" s="2">
        <v>163</v>
      </c>
      <c r="B165" s="2" t="str">
        <f>"饶雪青"</f>
        <v>饶雪青</v>
      </c>
      <c r="C165" s="2" t="s">
        <v>15</v>
      </c>
      <c r="D165" s="2" t="s">
        <v>168</v>
      </c>
      <c r="E165" s="3"/>
    </row>
    <row r="166" spans="1:5" ht="24.75" customHeight="1">
      <c r="A166" s="2">
        <v>164</v>
      </c>
      <c r="B166" s="2" t="str">
        <f>"何荣群"</f>
        <v>何荣群</v>
      </c>
      <c r="C166" s="2" t="s">
        <v>15</v>
      </c>
      <c r="D166" s="2" t="s">
        <v>169</v>
      </c>
      <c r="E166" s="3"/>
    </row>
    <row r="167" spans="1:5" ht="24.75" customHeight="1">
      <c r="A167" s="2">
        <v>165</v>
      </c>
      <c r="B167" s="2" t="str">
        <f>"冯家辉"</f>
        <v>冯家辉</v>
      </c>
      <c r="C167" s="2" t="s">
        <v>15</v>
      </c>
      <c r="D167" s="2" t="s">
        <v>170</v>
      </c>
      <c r="E167" s="3"/>
    </row>
    <row r="168" spans="1:5" ht="24.75" customHeight="1">
      <c r="A168" s="2">
        <v>166</v>
      </c>
      <c r="B168" s="2" t="str">
        <f>"孙新"</f>
        <v>孙新</v>
      </c>
      <c r="C168" s="2" t="s">
        <v>15</v>
      </c>
      <c r="D168" s="2" t="s">
        <v>171</v>
      </c>
      <c r="E168" s="3"/>
    </row>
    <row r="169" spans="1:5" ht="24.75" customHeight="1">
      <c r="A169" s="2">
        <v>167</v>
      </c>
      <c r="B169" s="2" t="str">
        <f>"陈雅琪"</f>
        <v>陈雅琪</v>
      </c>
      <c r="C169" s="2" t="s">
        <v>15</v>
      </c>
      <c r="D169" s="2" t="s">
        <v>172</v>
      </c>
      <c r="E169" s="3"/>
    </row>
    <row r="170" spans="1:5" ht="24.75" customHeight="1">
      <c r="A170" s="2">
        <v>168</v>
      </c>
      <c r="B170" s="2" t="str">
        <f>"王袁姗"</f>
        <v>王袁姗</v>
      </c>
      <c r="C170" s="2" t="s">
        <v>15</v>
      </c>
      <c r="D170" s="2" t="s">
        <v>173</v>
      </c>
      <c r="E170" s="3"/>
    </row>
    <row r="171" spans="1:5" ht="24.75" customHeight="1">
      <c r="A171" s="2">
        <v>169</v>
      </c>
      <c r="B171" s="2" t="str">
        <f>"周月桃"</f>
        <v>周月桃</v>
      </c>
      <c r="C171" s="2" t="s">
        <v>15</v>
      </c>
      <c r="D171" s="2" t="s">
        <v>174</v>
      </c>
      <c r="E171" s="3"/>
    </row>
    <row r="172" spans="1:5" ht="24.75" customHeight="1">
      <c r="A172" s="2">
        <v>170</v>
      </c>
      <c r="B172" s="2" t="str">
        <f>"何倩凌"</f>
        <v>何倩凌</v>
      </c>
      <c r="C172" s="2" t="s">
        <v>15</v>
      </c>
      <c r="D172" s="2" t="s">
        <v>175</v>
      </c>
      <c r="E172" s="3"/>
    </row>
    <row r="173" spans="1:5" ht="24.75" customHeight="1">
      <c r="A173" s="2">
        <v>171</v>
      </c>
      <c r="B173" s="2" t="str">
        <f>"何瑞超"</f>
        <v>何瑞超</v>
      </c>
      <c r="C173" s="2" t="s">
        <v>15</v>
      </c>
      <c r="D173" s="2" t="s">
        <v>176</v>
      </c>
      <c r="E173" s="3"/>
    </row>
    <row r="174" spans="1:5" ht="24.75" customHeight="1">
      <c r="A174" s="2">
        <v>172</v>
      </c>
      <c r="B174" s="2" t="str">
        <f>"蔡爱芳"</f>
        <v>蔡爱芳</v>
      </c>
      <c r="C174" s="2" t="s">
        <v>15</v>
      </c>
      <c r="D174" s="2" t="s">
        <v>177</v>
      </c>
      <c r="E174" s="3"/>
    </row>
    <row r="175" spans="1:5" ht="24.75" customHeight="1">
      <c r="A175" s="2">
        <v>173</v>
      </c>
      <c r="B175" s="2" t="str">
        <f>"李娜"</f>
        <v>李娜</v>
      </c>
      <c r="C175" s="2" t="s">
        <v>15</v>
      </c>
      <c r="D175" s="2" t="s">
        <v>178</v>
      </c>
      <c r="E175" s="3"/>
    </row>
    <row r="176" spans="1:5" ht="24.75" customHeight="1">
      <c r="A176" s="2">
        <v>174</v>
      </c>
      <c r="B176" s="2" t="str">
        <f>"李光瑞"</f>
        <v>李光瑞</v>
      </c>
      <c r="C176" s="2" t="s">
        <v>15</v>
      </c>
      <c r="D176" s="2" t="s">
        <v>179</v>
      </c>
      <c r="E176" s="3"/>
    </row>
    <row r="177" spans="1:5" ht="24.75" customHeight="1">
      <c r="A177" s="2">
        <v>175</v>
      </c>
      <c r="B177" s="2" t="str">
        <f>"郑众"</f>
        <v>郑众</v>
      </c>
      <c r="C177" s="2" t="s">
        <v>15</v>
      </c>
      <c r="D177" s="2" t="s">
        <v>180</v>
      </c>
      <c r="E177" s="3"/>
    </row>
    <row r="178" spans="1:5" ht="24.75" customHeight="1">
      <c r="A178" s="2">
        <v>176</v>
      </c>
      <c r="B178" s="2" t="str">
        <f>"梁明银"</f>
        <v>梁明银</v>
      </c>
      <c r="C178" s="2" t="s">
        <v>15</v>
      </c>
      <c r="D178" s="2" t="s">
        <v>181</v>
      </c>
      <c r="E178" s="3"/>
    </row>
    <row r="179" spans="1:5" ht="24.75" customHeight="1">
      <c r="A179" s="2">
        <v>177</v>
      </c>
      <c r="B179" s="2" t="str">
        <f>"颜静"</f>
        <v>颜静</v>
      </c>
      <c r="C179" s="2" t="s">
        <v>15</v>
      </c>
      <c r="D179" s="2" t="s">
        <v>182</v>
      </c>
      <c r="E179" s="3"/>
    </row>
    <row r="180" spans="1:5" ht="24.75" customHeight="1">
      <c r="A180" s="2">
        <v>178</v>
      </c>
      <c r="B180" s="2" t="str">
        <f>"张彩虹"</f>
        <v>张彩虹</v>
      </c>
      <c r="C180" s="2" t="s">
        <v>15</v>
      </c>
      <c r="D180" s="2" t="s">
        <v>183</v>
      </c>
      <c r="E180" s="3"/>
    </row>
    <row r="181" spans="1:5" ht="24.75" customHeight="1">
      <c r="A181" s="2">
        <v>179</v>
      </c>
      <c r="B181" s="2" t="str">
        <f>"黄小红"</f>
        <v>黄小红</v>
      </c>
      <c r="C181" s="2" t="s">
        <v>15</v>
      </c>
      <c r="D181" s="2" t="s">
        <v>184</v>
      </c>
      <c r="E181" s="3"/>
    </row>
    <row r="182" spans="1:5" ht="24.75" customHeight="1">
      <c r="A182" s="2">
        <v>180</v>
      </c>
      <c r="B182" s="2" t="str">
        <f>"叶媛"</f>
        <v>叶媛</v>
      </c>
      <c r="C182" s="2" t="s">
        <v>15</v>
      </c>
      <c r="D182" s="2" t="s">
        <v>185</v>
      </c>
      <c r="E182" s="3"/>
    </row>
    <row r="183" spans="1:5" ht="24.75" customHeight="1">
      <c r="A183" s="2">
        <v>181</v>
      </c>
      <c r="B183" s="2" t="str">
        <f>"黄文"</f>
        <v>黄文</v>
      </c>
      <c r="C183" s="2" t="s">
        <v>15</v>
      </c>
      <c r="D183" s="2" t="s">
        <v>186</v>
      </c>
      <c r="E183" s="3"/>
    </row>
    <row r="184" spans="1:5" ht="24.75" customHeight="1">
      <c r="A184" s="2">
        <v>182</v>
      </c>
      <c r="B184" s="2" t="str">
        <f>"林江栩"</f>
        <v>林江栩</v>
      </c>
      <c r="C184" s="2" t="s">
        <v>15</v>
      </c>
      <c r="D184" s="2" t="s">
        <v>187</v>
      </c>
      <c r="E184" s="3"/>
    </row>
    <row r="185" spans="1:5" ht="24.75" customHeight="1">
      <c r="A185" s="2">
        <v>183</v>
      </c>
      <c r="B185" s="2" t="str">
        <f>"林明慧"</f>
        <v>林明慧</v>
      </c>
      <c r="C185" s="2" t="s">
        <v>15</v>
      </c>
      <c r="D185" s="2" t="s">
        <v>188</v>
      </c>
      <c r="E185" s="3"/>
    </row>
    <row r="186" spans="1:5" ht="24.75" customHeight="1">
      <c r="A186" s="2">
        <v>184</v>
      </c>
      <c r="B186" s="2" t="str">
        <f>"胡子成"</f>
        <v>胡子成</v>
      </c>
      <c r="C186" s="2" t="s">
        <v>15</v>
      </c>
      <c r="D186" s="2" t="s">
        <v>189</v>
      </c>
      <c r="E186" s="3"/>
    </row>
    <row r="187" spans="1:5" ht="24.75" customHeight="1">
      <c r="A187" s="2">
        <v>185</v>
      </c>
      <c r="B187" s="2" t="str">
        <f>"周晶晶"</f>
        <v>周晶晶</v>
      </c>
      <c r="C187" s="2" t="s">
        <v>15</v>
      </c>
      <c r="D187" s="2" t="s">
        <v>190</v>
      </c>
      <c r="E187" s="3"/>
    </row>
    <row r="188" spans="1:5" ht="24.75" customHeight="1">
      <c r="A188" s="2">
        <v>186</v>
      </c>
      <c r="B188" s="2" t="str">
        <f>"陈雪莹"</f>
        <v>陈雪莹</v>
      </c>
      <c r="C188" s="2" t="s">
        <v>15</v>
      </c>
      <c r="D188" s="2" t="s">
        <v>191</v>
      </c>
      <c r="E188" s="3"/>
    </row>
    <row r="189" spans="1:5" ht="24.75" customHeight="1">
      <c r="A189" s="2">
        <v>187</v>
      </c>
      <c r="B189" s="2" t="str">
        <f>"周益彤"</f>
        <v>周益彤</v>
      </c>
      <c r="C189" s="2" t="s">
        <v>15</v>
      </c>
      <c r="D189" s="2" t="s">
        <v>192</v>
      </c>
      <c r="E189" s="3"/>
    </row>
    <row r="190" spans="1:5" ht="24.75" customHeight="1">
      <c r="A190" s="2">
        <v>188</v>
      </c>
      <c r="B190" s="2" t="str">
        <f>"林玉雪"</f>
        <v>林玉雪</v>
      </c>
      <c r="C190" s="2" t="s">
        <v>15</v>
      </c>
      <c r="D190" s="2" t="s">
        <v>193</v>
      </c>
      <c r="E190" s="3"/>
    </row>
    <row r="191" spans="1:5" ht="24.75" customHeight="1">
      <c r="A191" s="2">
        <v>189</v>
      </c>
      <c r="B191" s="2" t="str">
        <f>"邓珊珊"</f>
        <v>邓珊珊</v>
      </c>
      <c r="C191" s="2" t="s">
        <v>15</v>
      </c>
      <c r="D191" s="2" t="s">
        <v>194</v>
      </c>
      <c r="E191" s="3"/>
    </row>
    <row r="192" spans="1:5" ht="24.75" customHeight="1">
      <c r="A192" s="2">
        <v>190</v>
      </c>
      <c r="B192" s="2" t="str">
        <f>"陈雀"</f>
        <v>陈雀</v>
      </c>
      <c r="C192" s="2" t="s">
        <v>15</v>
      </c>
      <c r="D192" s="2" t="s">
        <v>195</v>
      </c>
      <c r="E192" s="3"/>
    </row>
    <row r="193" spans="1:5" ht="24.75" customHeight="1">
      <c r="A193" s="2">
        <v>191</v>
      </c>
      <c r="B193" s="2" t="str">
        <f>"符长蕊"</f>
        <v>符长蕊</v>
      </c>
      <c r="C193" s="2" t="s">
        <v>15</v>
      </c>
      <c r="D193" s="2" t="s">
        <v>196</v>
      </c>
      <c r="E193" s="3"/>
    </row>
    <row r="194" spans="1:5" ht="24.75" customHeight="1">
      <c r="A194" s="2">
        <v>192</v>
      </c>
      <c r="B194" s="2" t="str">
        <f>"王牧"</f>
        <v>王牧</v>
      </c>
      <c r="C194" s="2" t="s">
        <v>15</v>
      </c>
      <c r="D194" s="2" t="s">
        <v>197</v>
      </c>
      <c r="E194" s="3"/>
    </row>
    <row r="195" spans="1:5" ht="24.75" customHeight="1">
      <c r="A195" s="2">
        <v>193</v>
      </c>
      <c r="B195" s="2" t="str">
        <f>"陈丽叶"</f>
        <v>陈丽叶</v>
      </c>
      <c r="C195" s="2" t="s">
        <v>15</v>
      </c>
      <c r="D195" s="2" t="s">
        <v>198</v>
      </c>
      <c r="E195" s="3"/>
    </row>
    <row r="196" spans="1:5" ht="24.75" customHeight="1">
      <c r="A196" s="2">
        <v>194</v>
      </c>
      <c r="B196" s="2" t="str">
        <f>"林娇"</f>
        <v>林娇</v>
      </c>
      <c r="C196" s="2" t="s">
        <v>15</v>
      </c>
      <c r="D196" s="2" t="s">
        <v>199</v>
      </c>
      <c r="E196" s="3"/>
    </row>
    <row r="197" spans="1:5" ht="24.75" customHeight="1">
      <c r="A197" s="2">
        <v>195</v>
      </c>
      <c r="B197" s="2" t="str">
        <f>"张丽转"</f>
        <v>张丽转</v>
      </c>
      <c r="C197" s="2" t="s">
        <v>15</v>
      </c>
      <c r="D197" s="2" t="s">
        <v>200</v>
      </c>
      <c r="E197" s="3"/>
    </row>
    <row r="198" spans="1:5" ht="24.75" customHeight="1">
      <c r="A198" s="2">
        <v>196</v>
      </c>
      <c r="B198" s="2" t="str">
        <f>"吴思明"</f>
        <v>吴思明</v>
      </c>
      <c r="C198" s="2" t="s">
        <v>15</v>
      </c>
      <c r="D198" s="2" t="s">
        <v>201</v>
      </c>
      <c r="E198" s="3"/>
    </row>
    <row r="199" spans="1:5" ht="24.75" customHeight="1">
      <c r="A199" s="2">
        <v>197</v>
      </c>
      <c r="B199" s="2" t="str">
        <f>"曹玉"</f>
        <v>曹玉</v>
      </c>
      <c r="C199" s="2" t="s">
        <v>15</v>
      </c>
      <c r="D199" s="2" t="s">
        <v>202</v>
      </c>
      <c r="E199" s="3"/>
    </row>
    <row r="200" spans="1:5" ht="24.75" customHeight="1">
      <c r="A200" s="2">
        <v>198</v>
      </c>
      <c r="B200" s="2" t="str">
        <f>"陈娴娜"</f>
        <v>陈娴娜</v>
      </c>
      <c r="C200" s="2" t="s">
        <v>15</v>
      </c>
      <c r="D200" s="2" t="s">
        <v>203</v>
      </c>
      <c r="E200" s="3"/>
    </row>
    <row r="201" spans="1:5" ht="24.75" customHeight="1">
      <c r="A201" s="2">
        <v>199</v>
      </c>
      <c r="B201" s="2" t="str">
        <f>"于蕾"</f>
        <v>于蕾</v>
      </c>
      <c r="C201" s="2" t="s">
        <v>15</v>
      </c>
      <c r="D201" s="2" t="s">
        <v>204</v>
      </c>
      <c r="E201" s="3"/>
    </row>
    <row r="202" spans="1:5" ht="24.75" customHeight="1">
      <c r="A202" s="2">
        <v>200</v>
      </c>
      <c r="B202" s="2" t="str">
        <f>"符玲玲"</f>
        <v>符玲玲</v>
      </c>
      <c r="C202" s="2" t="s">
        <v>15</v>
      </c>
      <c r="D202" s="2" t="s">
        <v>205</v>
      </c>
      <c r="E202" s="3"/>
    </row>
    <row r="203" spans="1:5" ht="24.75" customHeight="1">
      <c r="A203" s="2">
        <v>201</v>
      </c>
      <c r="B203" s="2" t="str">
        <f>"杨舒"</f>
        <v>杨舒</v>
      </c>
      <c r="C203" s="2" t="s">
        <v>15</v>
      </c>
      <c r="D203" s="2" t="s">
        <v>206</v>
      </c>
      <c r="E203" s="3"/>
    </row>
    <row r="204" spans="1:5" ht="24.75" customHeight="1">
      <c r="A204" s="2">
        <v>202</v>
      </c>
      <c r="B204" s="2" t="str">
        <f>"王高瞻"</f>
        <v>王高瞻</v>
      </c>
      <c r="C204" s="2" t="s">
        <v>15</v>
      </c>
      <c r="D204" s="2" t="s">
        <v>207</v>
      </c>
      <c r="E204" s="3"/>
    </row>
    <row r="205" spans="1:5" ht="24.75" customHeight="1">
      <c r="A205" s="2">
        <v>203</v>
      </c>
      <c r="B205" s="2" t="str">
        <f>"郑晓映"</f>
        <v>郑晓映</v>
      </c>
      <c r="C205" s="2" t="s">
        <v>15</v>
      </c>
      <c r="D205" s="2" t="s">
        <v>208</v>
      </c>
      <c r="E205" s="3"/>
    </row>
    <row r="206" spans="1:5" ht="24.75" customHeight="1">
      <c r="A206" s="2">
        <v>204</v>
      </c>
      <c r="B206" s="2" t="str">
        <f>"谢金女"</f>
        <v>谢金女</v>
      </c>
      <c r="C206" s="2" t="s">
        <v>15</v>
      </c>
      <c r="D206" s="2" t="s">
        <v>209</v>
      </c>
      <c r="E206" s="3"/>
    </row>
    <row r="207" spans="1:5" ht="24.75" customHeight="1">
      <c r="A207" s="2">
        <v>205</v>
      </c>
      <c r="B207" s="2" t="str">
        <f>"李珍旭"</f>
        <v>李珍旭</v>
      </c>
      <c r="C207" s="2" t="s">
        <v>15</v>
      </c>
      <c r="D207" s="2" t="s">
        <v>210</v>
      </c>
      <c r="E207" s="3"/>
    </row>
    <row r="208" spans="1:5" ht="24.75" customHeight="1">
      <c r="A208" s="2">
        <v>206</v>
      </c>
      <c r="B208" s="2" t="str">
        <f>"林琳"</f>
        <v>林琳</v>
      </c>
      <c r="C208" s="2" t="s">
        <v>15</v>
      </c>
      <c r="D208" s="2" t="s">
        <v>211</v>
      </c>
      <c r="E208" s="3"/>
    </row>
    <row r="209" spans="1:5" ht="24.75" customHeight="1">
      <c r="A209" s="2">
        <v>207</v>
      </c>
      <c r="B209" s="2" t="str">
        <f>"张媛媛"</f>
        <v>张媛媛</v>
      </c>
      <c r="C209" s="2" t="s">
        <v>15</v>
      </c>
      <c r="D209" s="2" t="s">
        <v>212</v>
      </c>
      <c r="E209" s="3"/>
    </row>
    <row r="210" spans="1:5" ht="24.75" customHeight="1">
      <c r="A210" s="2">
        <v>208</v>
      </c>
      <c r="B210" s="2" t="str">
        <f>"林斯红"</f>
        <v>林斯红</v>
      </c>
      <c r="C210" s="2" t="s">
        <v>15</v>
      </c>
      <c r="D210" s="2" t="s">
        <v>213</v>
      </c>
      <c r="E210" s="3"/>
    </row>
    <row r="211" spans="1:5" ht="24.75" customHeight="1">
      <c r="A211" s="2">
        <v>209</v>
      </c>
      <c r="B211" s="2" t="str">
        <f>"陈宇洋"</f>
        <v>陈宇洋</v>
      </c>
      <c r="C211" s="2" t="s">
        <v>15</v>
      </c>
      <c r="D211" s="2" t="s">
        <v>214</v>
      </c>
      <c r="E211" s="3"/>
    </row>
    <row r="212" spans="1:5" ht="24.75" customHeight="1">
      <c r="A212" s="2">
        <v>210</v>
      </c>
      <c r="B212" s="2" t="str">
        <f>"王翔"</f>
        <v>王翔</v>
      </c>
      <c r="C212" s="2" t="s">
        <v>15</v>
      </c>
      <c r="D212" s="2" t="s">
        <v>215</v>
      </c>
      <c r="E212" s="3"/>
    </row>
    <row r="213" spans="1:5" ht="24.75" customHeight="1">
      <c r="A213" s="2">
        <v>211</v>
      </c>
      <c r="B213" s="2" t="str">
        <f>"郑君"</f>
        <v>郑君</v>
      </c>
      <c r="C213" s="2" t="s">
        <v>15</v>
      </c>
      <c r="D213" s="2" t="s">
        <v>216</v>
      </c>
      <c r="E213" s="3"/>
    </row>
    <row r="214" spans="1:5" ht="24.75" customHeight="1">
      <c r="A214" s="2">
        <v>212</v>
      </c>
      <c r="B214" s="2" t="str">
        <f>"谢欣桓"</f>
        <v>谢欣桓</v>
      </c>
      <c r="C214" s="2" t="s">
        <v>15</v>
      </c>
      <c r="D214" s="2" t="s">
        <v>217</v>
      </c>
      <c r="E214" s="3"/>
    </row>
    <row r="215" spans="1:5" ht="24.75" customHeight="1">
      <c r="A215" s="2">
        <v>213</v>
      </c>
      <c r="B215" s="2" t="str">
        <f>"张馨文"</f>
        <v>张馨文</v>
      </c>
      <c r="C215" s="2" t="s">
        <v>15</v>
      </c>
      <c r="D215" s="2" t="s">
        <v>218</v>
      </c>
      <c r="E215" s="3"/>
    </row>
    <row r="216" spans="1:5" ht="24.75" customHeight="1">
      <c r="A216" s="2">
        <v>214</v>
      </c>
      <c r="B216" s="2" t="str">
        <f>"郑安彤"</f>
        <v>郑安彤</v>
      </c>
      <c r="C216" s="2" t="s">
        <v>15</v>
      </c>
      <c r="D216" s="2" t="s">
        <v>219</v>
      </c>
      <c r="E216" s="3"/>
    </row>
    <row r="217" spans="1:5" ht="24.75" customHeight="1">
      <c r="A217" s="2">
        <v>215</v>
      </c>
      <c r="B217" s="2" t="str">
        <f>"关万澍"</f>
        <v>关万澍</v>
      </c>
      <c r="C217" s="2" t="s">
        <v>15</v>
      </c>
      <c r="D217" s="2" t="s">
        <v>220</v>
      </c>
      <c r="E217" s="3"/>
    </row>
    <row r="218" spans="1:5" ht="24.75" customHeight="1">
      <c r="A218" s="2">
        <v>216</v>
      </c>
      <c r="B218" s="2" t="str">
        <f>"刘哲"</f>
        <v>刘哲</v>
      </c>
      <c r="C218" s="2" t="s">
        <v>15</v>
      </c>
      <c r="D218" s="2" t="s">
        <v>221</v>
      </c>
      <c r="E218" s="3"/>
    </row>
    <row r="219" spans="1:5" ht="24.75" customHeight="1">
      <c r="A219" s="2">
        <v>217</v>
      </c>
      <c r="B219" s="2" t="str">
        <f>"王零免"</f>
        <v>王零免</v>
      </c>
      <c r="C219" s="2" t="s">
        <v>15</v>
      </c>
      <c r="D219" s="2" t="s">
        <v>222</v>
      </c>
      <c r="E219" s="3"/>
    </row>
    <row r="220" spans="1:5" ht="24.75" customHeight="1">
      <c r="A220" s="2">
        <v>218</v>
      </c>
      <c r="B220" s="2" t="str">
        <f>"王孙磊"</f>
        <v>王孙磊</v>
      </c>
      <c r="C220" s="2" t="s">
        <v>15</v>
      </c>
      <c r="D220" s="2" t="s">
        <v>223</v>
      </c>
      <c r="E220" s="3"/>
    </row>
    <row r="221" spans="1:5" ht="24.75" customHeight="1">
      <c r="A221" s="2">
        <v>219</v>
      </c>
      <c r="B221" s="2" t="str">
        <f>"黎泰任"</f>
        <v>黎泰任</v>
      </c>
      <c r="C221" s="2" t="s">
        <v>15</v>
      </c>
      <c r="D221" s="2" t="s">
        <v>224</v>
      </c>
      <c r="E221" s="3"/>
    </row>
    <row r="222" spans="1:5" ht="24.75" customHeight="1">
      <c r="A222" s="2">
        <v>220</v>
      </c>
      <c r="B222" s="2" t="str">
        <f>"郭于婷"</f>
        <v>郭于婷</v>
      </c>
      <c r="C222" s="2" t="s">
        <v>15</v>
      </c>
      <c r="D222" s="2" t="s">
        <v>225</v>
      </c>
      <c r="E222" s="3"/>
    </row>
    <row r="223" spans="1:5" ht="24.75" customHeight="1">
      <c r="A223" s="2">
        <v>221</v>
      </c>
      <c r="B223" s="2" t="str">
        <f>"蔡东雨"</f>
        <v>蔡东雨</v>
      </c>
      <c r="C223" s="2" t="s">
        <v>15</v>
      </c>
      <c r="D223" s="2" t="s">
        <v>226</v>
      </c>
      <c r="E223" s="3"/>
    </row>
    <row r="224" spans="1:5" ht="24.75" customHeight="1">
      <c r="A224" s="2">
        <v>222</v>
      </c>
      <c r="B224" s="2" t="str">
        <f>"陈茜"</f>
        <v>陈茜</v>
      </c>
      <c r="C224" s="2" t="s">
        <v>15</v>
      </c>
      <c r="D224" s="2" t="s">
        <v>227</v>
      </c>
      <c r="E224" s="3"/>
    </row>
    <row r="225" spans="1:5" ht="24.75" customHeight="1">
      <c r="A225" s="2">
        <v>223</v>
      </c>
      <c r="B225" s="2" t="str">
        <f>"邢增莲"</f>
        <v>邢增莲</v>
      </c>
      <c r="C225" s="2" t="s">
        <v>15</v>
      </c>
      <c r="D225" s="2" t="s">
        <v>228</v>
      </c>
      <c r="E225" s="3"/>
    </row>
    <row r="226" spans="1:5" ht="24.75" customHeight="1">
      <c r="A226" s="2">
        <v>224</v>
      </c>
      <c r="B226" s="2" t="str">
        <f>"赵智美"</f>
        <v>赵智美</v>
      </c>
      <c r="C226" s="2" t="s">
        <v>15</v>
      </c>
      <c r="D226" s="2" t="s">
        <v>229</v>
      </c>
      <c r="E226" s="3"/>
    </row>
    <row r="227" spans="1:5" ht="24.75" customHeight="1">
      <c r="A227" s="2">
        <v>225</v>
      </c>
      <c r="B227" s="2" t="str">
        <f>"陈小艳"</f>
        <v>陈小艳</v>
      </c>
      <c r="C227" s="2" t="s">
        <v>15</v>
      </c>
      <c r="D227" s="2" t="s">
        <v>230</v>
      </c>
      <c r="E227" s="3"/>
    </row>
    <row r="228" spans="1:5" ht="24.75" customHeight="1">
      <c r="A228" s="2">
        <v>226</v>
      </c>
      <c r="B228" s="2" t="str">
        <f>"戴亮丽"</f>
        <v>戴亮丽</v>
      </c>
      <c r="C228" s="2" t="s">
        <v>15</v>
      </c>
      <c r="D228" s="2" t="s">
        <v>231</v>
      </c>
      <c r="E228" s="3"/>
    </row>
    <row r="229" spans="1:5" ht="24.75" customHeight="1">
      <c r="A229" s="2">
        <v>227</v>
      </c>
      <c r="B229" s="2" t="str">
        <f>"林婧琦"</f>
        <v>林婧琦</v>
      </c>
      <c r="C229" s="2" t="s">
        <v>15</v>
      </c>
      <c r="D229" s="2" t="s">
        <v>232</v>
      </c>
      <c r="E229" s="3"/>
    </row>
    <row r="230" spans="1:5" ht="24.75" customHeight="1">
      <c r="A230" s="2">
        <v>228</v>
      </c>
      <c r="B230" s="2" t="str">
        <f>"李保德"</f>
        <v>李保德</v>
      </c>
      <c r="C230" s="2" t="s">
        <v>15</v>
      </c>
      <c r="D230" s="2" t="s">
        <v>233</v>
      </c>
      <c r="E230" s="3"/>
    </row>
    <row r="231" spans="1:5" ht="24.75" customHeight="1">
      <c r="A231" s="2">
        <v>229</v>
      </c>
      <c r="B231" s="2" t="str">
        <f>"莫颖君"</f>
        <v>莫颖君</v>
      </c>
      <c r="C231" s="2" t="s">
        <v>15</v>
      </c>
      <c r="D231" s="2" t="s">
        <v>234</v>
      </c>
      <c r="E231" s="3"/>
    </row>
    <row r="232" spans="1:5" ht="24.75" customHeight="1">
      <c r="A232" s="2">
        <v>230</v>
      </c>
      <c r="B232" s="2" t="str">
        <f>"林金玉"</f>
        <v>林金玉</v>
      </c>
      <c r="C232" s="2" t="s">
        <v>15</v>
      </c>
      <c r="D232" s="2" t="s">
        <v>235</v>
      </c>
      <c r="E232" s="3"/>
    </row>
    <row r="233" spans="1:5" ht="24.75" customHeight="1">
      <c r="A233" s="2">
        <v>231</v>
      </c>
      <c r="B233" s="2" t="str">
        <f>"罗潇娴"</f>
        <v>罗潇娴</v>
      </c>
      <c r="C233" s="2" t="s">
        <v>15</v>
      </c>
      <c r="D233" s="2" t="s">
        <v>236</v>
      </c>
      <c r="E233" s="3"/>
    </row>
    <row r="234" spans="1:5" ht="24.75" customHeight="1">
      <c r="A234" s="2">
        <v>232</v>
      </c>
      <c r="B234" s="2" t="str">
        <f>"罗晓蕊"</f>
        <v>罗晓蕊</v>
      </c>
      <c r="C234" s="2" t="s">
        <v>15</v>
      </c>
      <c r="D234" s="2" t="s">
        <v>237</v>
      </c>
      <c r="E234" s="3"/>
    </row>
    <row r="235" spans="1:5" ht="24.75" customHeight="1">
      <c r="A235" s="2">
        <v>233</v>
      </c>
      <c r="B235" s="2" t="str">
        <f>"王秋利"</f>
        <v>王秋利</v>
      </c>
      <c r="C235" s="2" t="s">
        <v>15</v>
      </c>
      <c r="D235" s="2" t="s">
        <v>238</v>
      </c>
      <c r="E235" s="3"/>
    </row>
    <row r="236" spans="1:5" ht="24.75" customHeight="1">
      <c r="A236" s="2">
        <v>234</v>
      </c>
      <c r="B236" s="2" t="str">
        <f>"吴宗泽"</f>
        <v>吴宗泽</v>
      </c>
      <c r="C236" s="2" t="s">
        <v>15</v>
      </c>
      <c r="D236" s="2" t="s">
        <v>239</v>
      </c>
      <c r="E236" s="3"/>
    </row>
    <row r="237" spans="1:5" ht="24.75" customHeight="1">
      <c r="A237" s="2">
        <v>235</v>
      </c>
      <c r="B237" s="2" t="str">
        <f>"庞曼舒"</f>
        <v>庞曼舒</v>
      </c>
      <c r="C237" s="2" t="s">
        <v>15</v>
      </c>
      <c r="D237" s="2" t="s">
        <v>240</v>
      </c>
      <c r="E237" s="3"/>
    </row>
    <row r="238" spans="1:5" ht="24.75" customHeight="1">
      <c r="A238" s="2">
        <v>236</v>
      </c>
      <c r="B238" s="2" t="str">
        <f>"陈曼菁"</f>
        <v>陈曼菁</v>
      </c>
      <c r="C238" s="2" t="s">
        <v>15</v>
      </c>
      <c r="D238" s="2" t="s">
        <v>241</v>
      </c>
      <c r="E238" s="3"/>
    </row>
    <row r="239" spans="1:5" ht="24.75" customHeight="1">
      <c r="A239" s="2">
        <v>237</v>
      </c>
      <c r="B239" s="2" t="str">
        <f>"安文哲"</f>
        <v>安文哲</v>
      </c>
      <c r="C239" s="2" t="s">
        <v>15</v>
      </c>
      <c r="D239" s="2" t="s">
        <v>242</v>
      </c>
      <c r="E239" s="3"/>
    </row>
    <row r="240" spans="1:5" ht="24.75" customHeight="1">
      <c r="A240" s="2">
        <v>238</v>
      </c>
      <c r="B240" s="2" t="str">
        <f>"文心怡"</f>
        <v>文心怡</v>
      </c>
      <c r="C240" s="2" t="s">
        <v>15</v>
      </c>
      <c r="D240" s="2" t="s">
        <v>243</v>
      </c>
      <c r="E240" s="3"/>
    </row>
    <row r="241" spans="1:5" ht="24.75" customHeight="1">
      <c r="A241" s="2">
        <v>239</v>
      </c>
      <c r="B241" s="2" t="str">
        <f>"韦依"</f>
        <v>韦依</v>
      </c>
      <c r="C241" s="2" t="s">
        <v>15</v>
      </c>
      <c r="D241" s="2" t="s">
        <v>244</v>
      </c>
      <c r="E241" s="3"/>
    </row>
    <row r="242" spans="1:5" ht="24.75" customHeight="1">
      <c r="A242" s="2">
        <v>240</v>
      </c>
      <c r="B242" s="2" t="str">
        <f>"吴挺玲"</f>
        <v>吴挺玲</v>
      </c>
      <c r="C242" s="2" t="s">
        <v>15</v>
      </c>
      <c r="D242" s="2" t="s">
        <v>245</v>
      </c>
      <c r="E242" s="3"/>
    </row>
    <row r="243" spans="1:5" ht="24.75" customHeight="1">
      <c r="A243" s="2">
        <v>241</v>
      </c>
      <c r="B243" s="2" t="str">
        <f>"杨茹欣"</f>
        <v>杨茹欣</v>
      </c>
      <c r="C243" s="2" t="s">
        <v>15</v>
      </c>
      <c r="D243" s="2" t="s">
        <v>246</v>
      </c>
      <c r="E243" s="3"/>
    </row>
    <row r="244" spans="1:5" ht="24.75" customHeight="1">
      <c r="A244" s="2">
        <v>242</v>
      </c>
      <c r="B244" s="2" t="str">
        <f>"陈玲"</f>
        <v>陈玲</v>
      </c>
      <c r="C244" s="2" t="s">
        <v>15</v>
      </c>
      <c r="D244" s="2" t="s">
        <v>247</v>
      </c>
      <c r="E244" s="3"/>
    </row>
    <row r="245" spans="1:5" ht="24.75" customHeight="1">
      <c r="A245" s="2">
        <v>243</v>
      </c>
      <c r="B245" s="2" t="str">
        <f>"郭秀女"</f>
        <v>郭秀女</v>
      </c>
      <c r="C245" s="2" t="s">
        <v>15</v>
      </c>
      <c r="D245" s="2" t="s">
        <v>248</v>
      </c>
      <c r="E245" s="3"/>
    </row>
    <row r="246" spans="1:5" ht="24.75" customHeight="1">
      <c r="A246" s="2">
        <v>244</v>
      </c>
      <c r="B246" s="2" t="str">
        <f>"张仕金"</f>
        <v>张仕金</v>
      </c>
      <c r="C246" s="2" t="s">
        <v>15</v>
      </c>
      <c r="D246" s="2" t="s">
        <v>249</v>
      </c>
      <c r="E246" s="3"/>
    </row>
    <row r="247" spans="1:5" ht="24.75" customHeight="1">
      <c r="A247" s="2">
        <v>245</v>
      </c>
      <c r="B247" s="2" t="str">
        <f>"黄春椰"</f>
        <v>黄春椰</v>
      </c>
      <c r="C247" s="2" t="s">
        <v>15</v>
      </c>
      <c r="D247" s="2" t="s">
        <v>250</v>
      </c>
      <c r="E247" s="3"/>
    </row>
    <row r="248" spans="1:5" ht="24.75" customHeight="1">
      <c r="A248" s="2">
        <v>246</v>
      </c>
      <c r="B248" s="2" t="str">
        <f>"韩俐"</f>
        <v>韩俐</v>
      </c>
      <c r="C248" s="2" t="s">
        <v>15</v>
      </c>
      <c r="D248" s="2" t="s">
        <v>251</v>
      </c>
      <c r="E248" s="3"/>
    </row>
    <row r="249" spans="1:5" ht="24.75" customHeight="1">
      <c r="A249" s="2">
        <v>247</v>
      </c>
      <c r="B249" s="2" t="str">
        <f>"张明姿"</f>
        <v>张明姿</v>
      </c>
      <c r="C249" s="2" t="s">
        <v>15</v>
      </c>
      <c r="D249" s="2" t="s">
        <v>252</v>
      </c>
      <c r="E249" s="3"/>
    </row>
    <row r="250" spans="1:5" ht="24.75" customHeight="1">
      <c r="A250" s="2">
        <v>248</v>
      </c>
      <c r="B250" s="2" t="str">
        <f>"符史俊"</f>
        <v>符史俊</v>
      </c>
      <c r="C250" s="2" t="s">
        <v>15</v>
      </c>
      <c r="D250" s="2" t="s">
        <v>253</v>
      </c>
      <c r="E250" s="3"/>
    </row>
    <row r="251" spans="1:5" ht="24.75" customHeight="1">
      <c r="A251" s="2">
        <v>249</v>
      </c>
      <c r="B251" s="2" t="str">
        <f>"刘业仲"</f>
        <v>刘业仲</v>
      </c>
      <c r="C251" s="2" t="s">
        <v>15</v>
      </c>
      <c r="D251" s="2" t="s">
        <v>254</v>
      </c>
      <c r="E251" s="3"/>
    </row>
    <row r="252" spans="1:5" ht="24.75" customHeight="1">
      <c r="A252" s="2">
        <v>250</v>
      </c>
      <c r="B252" s="2" t="str">
        <f>"龙秋云"</f>
        <v>龙秋云</v>
      </c>
      <c r="C252" s="2" t="s">
        <v>15</v>
      </c>
      <c r="D252" s="2" t="s">
        <v>255</v>
      </c>
      <c r="E252" s="3"/>
    </row>
    <row r="253" spans="1:5" ht="24.75" customHeight="1">
      <c r="A253" s="2">
        <v>251</v>
      </c>
      <c r="B253" s="2" t="str">
        <f>"曾庆学"</f>
        <v>曾庆学</v>
      </c>
      <c r="C253" s="2" t="s">
        <v>15</v>
      </c>
      <c r="D253" s="2" t="s">
        <v>256</v>
      </c>
      <c r="E253" s="3"/>
    </row>
    <row r="254" spans="1:5" ht="24.75" customHeight="1">
      <c r="A254" s="2">
        <v>252</v>
      </c>
      <c r="B254" s="2" t="str">
        <f>"黄曦葶"</f>
        <v>黄曦葶</v>
      </c>
      <c r="C254" s="2" t="s">
        <v>15</v>
      </c>
      <c r="D254" s="2" t="s">
        <v>257</v>
      </c>
      <c r="E254" s="3"/>
    </row>
    <row r="255" spans="1:5" ht="24.75" customHeight="1">
      <c r="A255" s="2">
        <v>253</v>
      </c>
      <c r="B255" s="2" t="str">
        <f>"黎嘉欣"</f>
        <v>黎嘉欣</v>
      </c>
      <c r="C255" s="2" t="s">
        <v>15</v>
      </c>
      <c r="D255" s="2" t="s">
        <v>258</v>
      </c>
      <c r="E255" s="3"/>
    </row>
    <row r="256" spans="1:5" ht="24.75" customHeight="1">
      <c r="A256" s="2">
        <v>254</v>
      </c>
      <c r="B256" s="2" t="str">
        <f>"陈衍琨"</f>
        <v>陈衍琨</v>
      </c>
      <c r="C256" s="2" t="s">
        <v>15</v>
      </c>
      <c r="D256" s="2" t="s">
        <v>259</v>
      </c>
      <c r="E256" s="3"/>
    </row>
    <row r="257" spans="1:5" ht="24.75" customHeight="1">
      <c r="A257" s="2">
        <v>255</v>
      </c>
      <c r="B257" s="2" t="str">
        <f>"邹昌宇"</f>
        <v>邹昌宇</v>
      </c>
      <c r="C257" s="2" t="s">
        <v>15</v>
      </c>
      <c r="D257" s="2" t="s">
        <v>260</v>
      </c>
      <c r="E257" s="3"/>
    </row>
    <row r="258" spans="1:5" ht="24.75" customHeight="1">
      <c r="A258" s="2">
        <v>256</v>
      </c>
      <c r="B258" s="2" t="str">
        <f>"范翼"</f>
        <v>范翼</v>
      </c>
      <c r="C258" s="2" t="s">
        <v>15</v>
      </c>
      <c r="D258" s="2" t="s">
        <v>261</v>
      </c>
      <c r="E258" s="3"/>
    </row>
    <row r="259" spans="1:5" ht="24.75" customHeight="1">
      <c r="A259" s="2">
        <v>257</v>
      </c>
      <c r="B259" s="2" t="str">
        <f>"李慢晶"</f>
        <v>李慢晶</v>
      </c>
      <c r="C259" s="2" t="s">
        <v>15</v>
      </c>
      <c r="D259" s="2" t="s">
        <v>262</v>
      </c>
      <c r="E259" s="3"/>
    </row>
    <row r="260" spans="1:5" ht="24.75" customHeight="1">
      <c r="A260" s="2">
        <v>258</v>
      </c>
      <c r="B260" s="2" t="str">
        <f>"陈杰"</f>
        <v>陈杰</v>
      </c>
      <c r="C260" s="2" t="s">
        <v>15</v>
      </c>
      <c r="D260" s="2" t="s">
        <v>263</v>
      </c>
      <c r="E260" s="3"/>
    </row>
    <row r="261" spans="1:5" ht="24.75" customHeight="1">
      <c r="A261" s="2">
        <v>259</v>
      </c>
      <c r="B261" s="2" t="str">
        <f>"王潇"</f>
        <v>王潇</v>
      </c>
      <c r="C261" s="2" t="s">
        <v>15</v>
      </c>
      <c r="D261" s="2" t="s">
        <v>264</v>
      </c>
      <c r="E261" s="3"/>
    </row>
    <row r="262" spans="1:5" ht="24.75" customHeight="1">
      <c r="A262" s="2">
        <v>260</v>
      </c>
      <c r="B262" s="2" t="str">
        <f>"郝晓玲"</f>
        <v>郝晓玲</v>
      </c>
      <c r="C262" s="2" t="s">
        <v>15</v>
      </c>
      <c r="D262" s="2" t="s">
        <v>265</v>
      </c>
      <c r="E262" s="3"/>
    </row>
    <row r="263" spans="1:5" ht="24.75" customHeight="1">
      <c r="A263" s="2">
        <v>261</v>
      </c>
      <c r="B263" s="2" t="str">
        <f>"杨大统"</f>
        <v>杨大统</v>
      </c>
      <c r="C263" s="2" t="s">
        <v>15</v>
      </c>
      <c r="D263" s="2" t="s">
        <v>266</v>
      </c>
      <c r="E263" s="3"/>
    </row>
    <row r="264" spans="1:5" ht="24.75" customHeight="1">
      <c r="A264" s="2">
        <v>262</v>
      </c>
      <c r="B264" s="2" t="str">
        <f>"朱云雨"</f>
        <v>朱云雨</v>
      </c>
      <c r="C264" s="2" t="s">
        <v>15</v>
      </c>
      <c r="D264" s="2" t="s">
        <v>267</v>
      </c>
      <c r="E264" s="3"/>
    </row>
    <row r="265" spans="1:5" ht="24.75" customHeight="1">
      <c r="A265" s="2">
        <v>263</v>
      </c>
      <c r="B265" s="2" t="str">
        <f>"邓力豪"</f>
        <v>邓力豪</v>
      </c>
      <c r="C265" s="2" t="s">
        <v>15</v>
      </c>
      <c r="D265" s="2" t="s">
        <v>268</v>
      </c>
      <c r="E265" s="3"/>
    </row>
    <row r="266" spans="1:5" ht="24.75" customHeight="1">
      <c r="A266" s="2">
        <v>264</v>
      </c>
      <c r="B266" s="2" t="str">
        <f>"符惠珠"</f>
        <v>符惠珠</v>
      </c>
      <c r="C266" s="2" t="s">
        <v>15</v>
      </c>
      <c r="D266" s="2" t="s">
        <v>269</v>
      </c>
      <c r="E266" s="3"/>
    </row>
    <row r="267" spans="1:5" ht="24.75" customHeight="1">
      <c r="A267" s="2">
        <v>265</v>
      </c>
      <c r="B267" s="2" t="str">
        <f>"崔颖妮"</f>
        <v>崔颖妮</v>
      </c>
      <c r="C267" s="2" t="s">
        <v>15</v>
      </c>
      <c r="D267" s="2" t="s">
        <v>270</v>
      </c>
      <c r="E267" s="3"/>
    </row>
    <row r="268" spans="1:5" ht="24.75" customHeight="1">
      <c r="A268" s="2">
        <v>266</v>
      </c>
      <c r="B268" s="2" t="str">
        <f>"李倩"</f>
        <v>李倩</v>
      </c>
      <c r="C268" s="2" t="s">
        <v>15</v>
      </c>
      <c r="D268" s="2" t="s">
        <v>271</v>
      </c>
      <c r="E268" s="3"/>
    </row>
    <row r="269" spans="1:5" ht="24.75" customHeight="1">
      <c r="A269" s="2">
        <v>267</v>
      </c>
      <c r="B269" s="2" t="str">
        <f>"冯静静"</f>
        <v>冯静静</v>
      </c>
      <c r="C269" s="2" t="s">
        <v>15</v>
      </c>
      <c r="D269" s="2" t="s">
        <v>272</v>
      </c>
      <c r="E269" s="3"/>
    </row>
    <row r="270" spans="1:5" ht="24.75" customHeight="1">
      <c r="A270" s="2">
        <v>268</v>
      </c>
      <c r="B270" s="2" t="str">
        <f>"羊瑞华"</f>
        <v>羊瑞华</v>
      </c>
      <c r="C270" s="2" t="s">
        <v>15</v>
      </c>
      <c r="D270" s="2" t="s">
        <v>273</v>
      </c>
      <c r="E270" s="3"/>
    </row>
    <row r="271" spans="1:5" ht="24.75" customHeight="1">
      <c r="A271" s="2">
        <v>269</v>
      </c>
      <c r="B271" s="2" t="str">
        <f>"陈玫伶"</f>
        <v>陈玫伶</v>
      </c>
      <c r="C271" s="2" t="s">
        <v>15</v>
      </c>
      <c r="D271" s="2" t="s">
        <v>274</v>
      </c>
      <c r="E271" s="3"/>
    </row>
    <row r="272" spans="1:5" ht="24.75" customHeight="1">
      <c r="A272" s="2">
        <v>270</v>
      </c>
      <c r="B272" s="2" t="str">
        <f>"林明博"</f>
        <v>林明博</v>
      </c>
      <c r="C272" s="2" t="s">
        <v>15</v>
      </c>
      <c r="D272" s="2" t="s">
        <v>275</v>
      </c>
      <c r="E272" s="3"/>
    </row>
    <row r="273" spans="1:5" ht="24.75" customHeight="1">
      <c r="A273" s="2">
        <v>271</v>
      </c>
      <c r="B273" s="2" t="str">
        <f>"冯羽"</f>
        <v>冯羽</v>
      </c>
      <c r="C273" s="2" t="s">
        <v>15</v>
      </c>
      <c r="D273" s="2" t="s">
        <v>276</v>
      </c>
      <c r="E273" s="3"/>
    </row>
    <row r="274" spans="1:5" ht="24.75" customHeight="1">
      <c r="A274" s="2">
        <v>272</v>
      </c>
      <c r="B274" s="2" t="str">
        <f>"林小雪"</f>
        <v>林小雪</v>
      </c>
      <c r="C274" s="2" t="s">
        <v>15</v>
      </c>
      <c r="D274" s="2" t="s">
        <v>277</v>
      </c>
      <c r="E274" s="3"/>
    </row>
    <row r="275" spans="1:5" ht="24.75" customHeight="1">
      <c r="A275" s="2">
        <v>273</v>
      </c>
      <c r="B275" s="2" t="str">
        <f>"钟依倪"</f>
        <v>钟依倪</v>
      </c>
      <c r="C275" s="2" t="s">
        <v>15</v>
      </c>
      <c r="D275" s="2" t="s">
        <v>278</v>
      </c>
      <c r="E275" s="3"/>
    </row>
    <row r="276" spans="1:5" ht="24.75" customHeight="1">
      <c r="A276" s="2">
        <v>274</v>
      </c>
      <c r="B276" s="2" t="str">
        <f>"陈素影"</f>
        <v>陈素影</v>
      </c>
      <c r="C276" s="2" t="s">
        <v>15</v>
      </c>
      <c r="D276" s="2" t="s">
        <v>279</v>
      </c>
      <c r="E276" s="3"/>
    </row>
    <row r="277" spans="1:5" ht="24.75" customHeight="1">
      <c r="A277" s="2">
        <v>275</v>
      </c>
      <c r="B277" s="2" t="str">
        <f>"李鑫媛"</f>
        <v>李鑫媛</v>
      </c>
      <c r="C277" s="2" t="s">
        <v>15</v>
      </c>
      <c r="D277" s="2" t="s">
        <v>211</v>
      </c>
      <c r="E277" s="3"/>
    </row>
    <row r="278" spans="1:5" ht="24.75" customHeight="1">
      <c r="A278" s="2">
        <v>276</v>
      </c>
      <c r="B278" s="2" t="str">
        <f>"蔡少蕾"</f>
        <v>蔡少蕾</v>
      </c>
      <c r="C278" s="2" t="s">
        <v>15</v>
      </c>
      <c r="D278" s="2" t="s">
        <v>280</v>
      </c>
      <c r="E278" s="3"/>
    </row>
    <row r="279" spans="1:5" ht="24.75" customHeight="1">
      <c r="A279" s="2">
        <v>277</v>
      </c>
      <c r="B279" s="2" t="str">
        <f>"鲁天驰"</f>
        <v>鲁天驰</v>
      </c>
      <c r="C279" s="2" t="s">
        <v>15</v>
      </c>
      <c r="D279" s="2" t="s">
        <v>281</v>
      </c>
      <c r="E279" s="3"/>
    </row>
    <row r="280" spans="1:5" ht="24.75" customHeight="1">
      <c r="A280" s="2">
        <v>278</v>
      </c>
      <c r="B280" s="2" t="str">
        <f>"韩夏贞"</f>
        <v>韩夏贞</v>
      </c>
      <c r="C280" s="2" t="s">
        <v>15</v>
      </c>
      <c r="D280" s="2" t="s">
        <v>282</v>
      </c>
      <c r="E280" s="3"/>
    </row>
    <row r="281" spans="1:5" ht="24.75" customHeight="1">
      <c r="A281" s="2">
        <v>279</v>
      </c>
      <c r="B281" s="2" t="str">
        <f>"梁明智"</f>
        <v>梁明智</v>
      </c>
      <c r="C281" s="2" t="s">
        <v>15</v>
      </c>
      <c r="D281" s="2" t="s">
        <v>231</v>
      </c>
      <c r="E281" s="3"/>
    </row>
    <row r="282" spans="1:5" ht="24.75" customHeight="1">
      <c r="A282" s="2">
        <v>280</v>
      </c>
      <c r="B282" s="2" t="str">
        <f>"师珍珍"</f>
        <v>师珍珍</v>
      </c>
      <c r="C282" s="2" t="s">
        <v>15</v>
      </c>
      <c r="D282" s="2" t="s">
        <v>283</v>
      </c>
      <c r="E282" s="3"/>
    </row>
    <row r="283" spans="1:5" ht="24.75" customHeight="1">
      <c r="A283" s="2">
        <v>281</v>
      </c>
      <c r="B283" s="2" t="str">
        <f>"翁宁"</f>
        <v>翁宁</v>
      </c>
      <c r="C283" s="2" t="s">
        <v>15</v>
      </c>
      <c r="D283" s="2" t="s">
        <v>284</v>
      </c>
      <c r="E283" s="3"/>
    </row>
    <row r="284" spans="1:5" ht="24.75" customHeight="1">
      <c r="A284" s="2">
        <v>282</v>
      </c>
      <c r="B284" s="2" t="str">
        <f>"温希月"</f>
        <v>温希月</v>
      </c>
      <c r="C284" s="2" t="s">
        <v>15</v>
      </c>
      <c r="D284" s="2" t="s">
        <v>285</v>
      </c>
      <c r="E284" s="3"/>
    </row>
    <row r="285" spans="1:5" ht="24.75" customHeight="1">
      <c r="A285" s="2">
        <v>283</v>
      </c>
      <c r="B285" s="2" t="str">
        <f>"郑智文"</f>
        <v>郑智文</v>
      </c>
      <c r="C285" s="2" t="s">
        <v>15</v>
      </c>
      <c r="D285" s="2" t="s">
        <v>286</v>
      </c>
      <c r="E285" s="3"/>
    </row>
    <row r="286" spans="1:5" ht="24.75" customHeight="1">
      <c r="A286" s="2">
        <v>284</v>
      </c>
      <c r="B286" s="2" t="str">
        <f>"许富娇"</f>
        <v>许富娇</v>
      </c>
      <c r="C286" s="2" t="s">
        <v>15</v>
      </c>
      <c r="D286" s="2" t="s">
        <v>287</v>
      </c>
      <c r="E286" s="3"/>
    </row>
    <row r="287" spans="1:5" ht="24.75" customHeight="1">
      <c r="A287" s="2">
        <v>285</v>
      </c>
      <c r="B287" s="2" t="str">
        <f>"郑在龙"</f>
        <v>郑在龙</v>
      </c>
      <c r="C287" s="2" t="s">
        <v>15</v>
      </c>
      <c r="D287" s="2" t="s">
        <v>288</v>
      </c>
      <c r="E287" s="3"/>
    </row>
    <row r="288" spans="1:5" ht="24.75" customHeight="1">
      <c r="A288" s="2">
        <v>286</v>
      </c>
      <c r="B288" s="2" t="str">
        <f>"黄丹"</f>
        <v>黄丹</v>
      </c>
      <c r="C288" s="2" t="s">
        <v>15</v>
      </c>
      <c r="D288" s="2" t="s">
        <v>289</v>
      </c>
      <c r="E288" s="3"/>
    </row>
    <row r="289" spans="1:5" ht="24.75" customHeight="1">
      <c r="A289" s="2">
        <v>287</v>
      </c>
      <c r="B289" s="2" t="str">
        <f>"柯叶春"</f>
        <v>柯叶春</v>
      </c>
      <c r="C289" s="2" t="s">
        <v>15</v>
      </c>
      <c r="D289" s="2" t="s">
        <v>290</v>
      </c>
      <c r="E289" s="3"/>
    </row>
    <row r="290" spans="1:5" ht="24.75" customHeight="1">
      <c r="A290" s="2">
        <v>288</v>
      </c>
      <c r="B290" s="2" t="str">
        <f>"孙昌河"</f>
        <v>孙昌河</v>
      </c>
      <c r="C290" s="2" t="s">
        <v>15</v>
      </c>
      <c r="D290" s="2" t="s">
        <v>291</v>
      </c>
      <c r="E290" s="3"/>
    </row>
    <row r="291" spans="1:5" ht="24.75" customHeight="1">
      <c r="A291" s="2">
        <v>289</v>
      </c>
      <c r="B291" s="2" t="str">
        <f>"樊舒豪"</f>
        <v>樊舒豪</v>
      </c>
      <c r="C291" s="2" t="s">
        <v>15</v>
      </c>
      <c r="D291" s="2" t="s">
        <v>292</v>
      </c>
      <c r="E291" s="3"/>
    </row>
    <row r="292" spans="1:5" ht="24.75" customHeight="1">
      <c r="A292" s="2">
        <v>290</v>
      </c>
      <c r="B292" s="2" t="str">
        <f>"曾浩"</f>
        <v>曾浩</v>
      </c>
      <c r="C292" s="2" t="s">
        <v>15</v>
      </c>
      <c r="D292" s="2" t="s">
        <v>293</v>
      </c>
      <c r="E292" s="3"/>
    </row>
    <row r="293" spans="1:5" ht="24.75" customHeight="1">
      <c r="A293" s="2">
        <v>291</v>
      </c>
      <c r="B293" s="2" t="str">
        <f>"王阳森"</f>
        <v>王阳森</v>
      </c>
      <c r="C293" s="2" t="s">
        <v>15</v>
      </c>
      <c r="D293" s="2" t="s">
        <v>294</v>
      </c>
      <c r="E293" s="3"/>
    </row>
    <row r="294" spans="1:5" ht="24.75" customHeight="1">
      <c r="A294" s="2">
        <v>292</v>
      </c>
      <c r="B294" s="2" t="str">
        <f>"陈雯茜"</f>
        <v>陈雯茜</v>
      </c>
      <c r="C294" s="2" t="s">
        <v>15</v>
      </c>
      <c r="D294" s="2" t="s">
        <v>295</v>
      </c>
      <c r="E294" s="3"/>
    </row>
    <row r="295" spans="1:5" ht="24.75" customHeight="1">
      <c r="A295" s="2">
        <v>293</v>
      </c>
      <c r="B295" s="2" t="str">
        <f>"王靖怡"</f>
        <v>王靖怡</v>
      </c>
      <c r="C295" s="2" t="s">
        <v>15</v>
      </c>
      <c r="D295" s="2" t="s">
        <v>296</v>
      </c>
      <c r="E295" s="3"/>
    </row>
    <row r="296" spans="1:5" ht="24.75" customHeight="1">
      <c r="A296" s="2">
        <v>294</v>
      </c>
      <c r="B296" s="2" t="str">
        <f>"李丹金"</f>
        <v>李丹金</v>
      </c>
      <c r="C296" s="2" t="s">
        <v>15</v>
      </c>
      <c r="D296" s="2" t="s">
        <v>297</v>
      </c>
      <c r="E296" s="3"/>
    </row>
    <row r="297" spans="1:5" ht="24.75" customHeight="1">
      <c r="A297" s="2">
        <v>295</v>
      </c>
      <c r="B297" s="2" t="str">
        <f>"张柏锋"</f>
        <v>张柏锋</v>
      </c>
      <c r="C297" s="2" t="s">
        <v>15</v>
      </c>
      <c r="D297" s="2" t="s">
        <v>298</v>
      </c>
      <c r="E297" s="3"/>
    </row>
    <row r="298" spans="1:5" ht="24.75" customHeight="1">
      <c r="A298" s="2">
        <v>296</v>
      </c>
      <c r="B298" s="2" t="str">
        <f>"符海玲"</f>
        <v>符海玲</v>
      </c>
      <c r="C298" s="2" t="s">
        <v>15</v>
      </c>
      <c r="D298" s="2" t="s">
        <v>299</v>
      </c>
      <c r="E298" s="3"/>
    </row>
    <row r="299" spans="1:5" ht="24.75" customHeight="1">
      <c r="A299" s="2">
        <v>297</v>
      </c>
      <c r="B299" s="2" t="str">
        <f>"王焕"</f>
        <v>王焕</v>
      </c>
      <c r="C299" s="2" t="s">
        <v>15</v>
      </c>
      <c r="D299" s="2" t="s">
        <v>300</v>
      </c>
      <c r="E299" s="3"/>
    </row>
    <row r="300" spans="1:5" ht="24.75" customHeight="1">
      <c r="A300" s="2">
        <v>298</v>
      </c>
      <c r="B300" s="2" t="str">
        <f>"戴潇敏"</f>
        <v>戴潇敏</v>
      </c>
      <c r="C300" s="2" t="s">
        <v>15</v>
      </c>
      <c r="D300" s="2" t="s">
        <v>301</v>
      </c>
      <c r="E300" s="3"/>
    </row>
    <row r="301" spans="1:5" ht="24.75" customHeight="1">
      <c r="A301" s="2">
        <v>299</v>
      </c>
      <c r="B301" s="2" t="str">
        <f>"吴小丽"</f>
        <v>吴小丽</v>
      </c>
      <c r="C301" s="2" t="s">
        <v>15</v>
      </c>
      <c r="D301" s="2" t="s">
        <v>302</v>
      </c>
      <c r="E301" s="3"/>
    </row>
    <row r="302" spans="1:5" ht="24.75" customHeight="1">
      <c r="A302" s="2">
        <v>300</v>
      </c>
      <c r="B302" s="2" t="str">
        <f>"李兰"</f>
        <v>李兰</v>
      </c>
      <c r="C302" s="2" t="s">
        <v>15</v>
      </c>
      <c r="D302" s="2" t="s">
        <v>303</v>
      </c>
      <c r="E302" s="3"/>
    </row>
    <row r="303" spans="1:5" ht="24.75" customHeight="1">
      <c r="A303" s="2">
        <v>301</v>
      </c>
      <c r="B303" s="2" t="str">
        <f>"冯雪倩"</f>
        <v>冯雪倩</v>
      </c>
      <c r="C303" s="2" t="s">
        <v>15</v>
      </c>
      <c r="D303" s="2" t="s">
        <v>304</v>
      </c>
      <c r="E303" s="3"/>
    </row>
    <row r="304" spans="1:5" ht="24.75" customHeight="1">
      <c r="A304" s="2">
        <v>302</v>
      </c>
      <c r="B304" s="2" t="str">
        <f>"吴昃姝"</f>
        <v>吴昃姝</v>
      </c>
      <c r="C304" s="2" t="s">
        <v>15</v>
      </c>
      <c r="D304" s="2" t="s">
        <v>305</v>
      </c>
      <c r="E304" s="3"/>
    </row>
    <row r="305" spans="1:5" ht="24.75" customHeight="1">
      <c r="A305" s="2">
        <v>303</v>
      </c>
      <c r="B305" s="2" t="str">
        <f>"臧旖晗"</f>
        <v>臧旖晗</v>
      </c>
      <c r="C305" s="2" t="s">
        <v>15</v>
      </c>
      <c r="D305" s="2" t="s">
        <v>306</v>
      </c>
      <c r="E305" s="3"/>
    </row>
    <row r="306" spans="1:5" ht="24.75" customHeight="1">
      <c r="A306" s="2">
        <v>304</v>
      </c>
      <c r="B306" s="2" t="str">
        <f>"卓玛莉"</f>
        <v>卓玛莉</v>
      </c>
      <c r="C306" s="2" t="s">
        <v>15</v>
      </c>
      <c r="D306" s="2" t="s">
        <v>307</v>
      </c>
      <c r="E306" s="3"/>
    </row>
    <row r="307" spans="1:5" ht="24.75" customHeight="1">
      <c r="A307" s="2">
        <v>305</v>
      </c>
      <c r="B307" s="2" t="str">
        <f>"杨钰"</f>
        <v>杨钰</v>
      </c>
      <c r="C307" s="2" t="s">
        <v>15</v>
      </c>
      <c r="D307" s="2" t="s">
        <v>308</v>
      </c>
      <c r="E307" s="3"/>
    </row>
    <row r="308" spans="1:5" ht="24.75" customHeight="1">
      <c r="A308" s="2">
        <v>306</v>
      </c>
      <c r="B308" s="2" t="str">
        <f>"莫璐榕"</f>
        <v>莫璐榕</v>
      </c>
      <c r="C308" s="2" t="s">
        <v>15</v>
      </c>
      <c r="D308" s="2" t="s">
        <v>309</v>
      </c>
      <c r="E308" s="3"/>
    </row>
    <row r="309" spans="1:5" ht="24.75" customHeight="1">
      <c r="A309" s="2">
        <v>307</v>
      </c>
      <c r="B309" s="2" t="str">
        <f>"赵鑫玥"</f>
        <v>赵鑫玥</v>
      </c>
      <c r="C309" s="2" t="s">
        <v>15</v>
      </c>
      <c r="D309" s="2" t="s">
        <v>310</v>
      </c>
      <c r="E309" s="3"/>
    </row>
    <row r="310" spans="1:5" ht="24.75" customHeight="1">
      <c r="A310" s="2">
        <v>308</v>
      </c>
      <c r="B310" s="2" t="str">
        <f>"苏月娥"</f>
        <v>苏月娥</v>
      </c>
      <c r="C310" s="2" t="s">
        <v>15</v>
      </c>
      <c r="D310" s="2" t="s">
        <v>311</v>
      </c>
      <c r="E310" s="3"/>
    </row>
    <row r="311" spans="1:5" ht="24.75" customHeight="1">
      <c r="A311" s="2">
        <v>309</v>
      </c>
      <c r="B311" s="2" t="str">
        <f>"王敏"</f>
        <v>王敏</v>
      </c>
      <c r="C311" s="2" t="s">
        <v>15</v>
      </c>
      <c r="D311" s="2" t="s">
        <v>312</v>
      </c>
      <c r="E311" s="3"/>
    </row>
    <row r="312" spans="1:5" ht="24.75" customHeight="1">
      <c r="A312" s="2">
        <v>310</v>
      </c>
      <c r="B312" s="2" t="str">
        <f>"张彪"</f>
        <v>张彪</v>
      </c>
      <c r="C312" s="2" t="s">
        <v>15</v>
      </c>
      <c r="D312" s="2" t="s">
        <v>313</v>
      </c>
      <c r="E312" s="3"/>
    </row>
    <row r="313" spans="1:5" ht="24.75" customHeight="1">
      <c r="A313" s="2">
        <v>311</v>
      </c>
      <c r="B313" s="2" t="str">
        <f>"李美花"</f>
        <v>李美花</v>
      </c>
      <c r="C313" s="2" t="s">
        <v>15</v>
      </c>
      <c r="D313" s="2" t="s">
        <v>314</v>
      </c>
      <c r="E313" s="3"/>
    </row>
    <row r="314" spans="1:5" ht="24.75" customHeight="1">
      <c r="A314" s="2">
        <v>312</v>
      </c>
      <c r="B314" s="2" t="str">
        <f>"王少环"</f>
        <v>王少环</v>
      </c>
      <c r="C314" s="2" t="s">
        <v>15</v>
      </c>
      <c r="D314" s="2" t="s">
        <v>315</v>
      </c>
      <c r="E314" s="3"/>
    </row>
    <row r="315" spans="1:5" ht="24.75" customHeight="1">
      <c r="A315" s="2">
        <v>313</v>
      </c>
      <c r="B315" s="2" t="str">
        <f>"榻咏末"</f>
        <v>榻咏末</v>
      </c>
      <c r="C315" s="2" t="s">
        <v>15</v>
      </c>
      <c r="D315" s="2" t="s">
        <v>316</v>
      </c>
      <c r="E315" s="3"/>
    </row>
    <row r="316" spans="1:5" ht="24.75" customHeight="1">
      <c r="A316" s="2">
        <v>314</v>
      </c>
      <c r="B316" s="2" t="str">
        <f>"葛雯佳"</f>
        <v>葛雯佳</v>
      </c>
      <c r="C316" s="2" t="s">
        <v>15</v>
      </c>
      <c r="D316" s="2" t="s">
        <v>317</v>
      </c>
      <c r="E316" s="3"/>
    </row>
    <row r="317" spans="1:5" ht="24.75" customHeight="1">
      <c r="A317" s="2">
        <v>315</v>
      </c>
      <c r="B317" s="2" t="str">
        <f>"蔡高茜"</f>
        <v>蔡高茜</v>
      </c>
      <c r="C317" s="2" t="s">
        <v>15</v>
      </c>
      <c r="D317" s="2" t="s">
        <v>318</v>
      </c>
      <c r="E317" s="3"/>
    </row>
    <row r="318" spans="1:5" ht="24.75" customHeight="1">
      <c r="A318" s="2">
        <v>316</v>
      </c>
      <c r="B318" s="2" t="str">
        <f>"吴巧鑫"</f>
        <v>吴巧鑫</v>
      </c>
      <c r="C318" s="2" t="s">
        <v>15</v>
      </c>
      <c r="D318" s="2" t="s">
        <v>319</v>
      </c>
      <c r="E318" s="3"/>
    </row>
    <row r="319" spans="1:5" ht="24.75" customHeight="1">
      <c r="A319" s="2">
        <v>317</v>
      </c>
      <c r="B319" s="2" t="str">
        <f>"郭子晖"</f>
        <v>郭子晖</v>
      </c>
      <c r="C319" s="2" t="s">
        <v>15</v>
      </c>
      <c r="D319" s="2" t="s">
        <v>320</v>
      </c>
      <c r="E319" s="3"/>
    </row>
    <row r="320" spans="1:5" ht="24.75" customHeight="1">
      <c r="A320" s="2">
        <v>318</v>
      </c>
      <c r="B320" s="2" t="str">
        <f>"于瑞哲"</f>
        <v>于瑞哲</v>
      </c>
      <c r="C320" s="2" t="s">
        <v>15</v>
      </c>
      <c r="D320" s="2" t="s">
        <v>321</v>
      </c>
      <c r="E320" s="3"/>
    </row>
    <row r="321" spans="1:5" ht="24.75" customHeight="1">
      <c r="A321" s="2">
        <v>319</v>
      </c>
      <c r="B321" s="2" t="str">
        <f>"符艳虹"</f>
        <v>符艳虹</v>
      </c>
      <c r="C321" s="2" t="s">
        <v>15</v>
      </c>
      <c r="D321" s="2" t="s">
        <v>322</v>
      </c>
      <c r="E321" s="3"/>
    </row>
    <row r="322" spans="1:5" ht="24.75" customHeight="1">
      <c r="A322" s="2">
        <v>320</v>
      </c>
      <c r="B322" s="2" t="str">
        <f>"符慧彬"</f>
        <v>符慧彬</v>
      </c>
      <c r="C322" s="2" t="s">
        <v>15</v>
      </c>
      <c r="D322" s="2" t="s">
        <v>323</v>
      </c>
      <c r="E322" s="3"/>
    </row>
    <row r="323" spans="1:5" ht="24.75" customHeight="1">
      <c r="A323" s="2">
        <v>321</v>
      </c>
      <c r="B323" s="2" t="str">
        <f>"孙金明"</f>
        <v>孙金明</v>
      </c>
      <c r="C323" s="2" t="s">
        <v>15</v>
      </c>
      <c r="D323" s="2" t="s">
        <v>324</v>
      </c>
      <c r="E323" s="3"/>
    </row>
    <row r="324" spans="1:5" ht="24.75" customHeight="1">
      <c r="A324" s="2">
        <v>322</v>
      </c>
      <c r="B324" s="2" t="str">
        <f>"伍承杰"</f>
        <v>伍承杰</v>
      </c>
      <c r="C324" s="2" t="s">
        <v>15</v>
      </c>
      <c r="D324" s="2" t="s">
        <v>325</v>
      </c>
      <c r="E324" s="3"/>
    </row>
    <row r="325" spans="1:5" ht="24.75" customHeight="1">
      <c r="A325" s="2">
        <v>323</v>
      </c>
      <c r="B325" s="2" t="str">
        <f>"李彩娇"</f>
        <v>李彩娇</v>
      </c>
      <c r="C325" s="2" t="s">
        <v>15</v>
      </c>
      <c r="D325" s="2" t="s">
        <v>326</v>
      </c>
      <c r="E325" s="3"/>
    </row>
    <row r="326" spans="1:5" ht="24.75" customHeight="1">
      <c r="A326" s="2">
        <v>324</v>
      </c>
      <c r="B326" s="2" t="str">
        <f>"李玉婕"</f>
        <v>李玉婕</v>
      </c>
      <c r="C326" s="2" t="s">
        <v>15</v>
      </c>
      <c r="D326" s="2" t="s">
        <v>327</v>
      </c>
      <c r="E326" s="3"/>
    </row>
    <row r="327" spans="1:5" ht="24.75" customHeight="1">
      <c r="A327" s="2">
        <v>325</v>
      </c>
      <c r="B327" s="2" t="str">
        <f>"林敏"</f>
        <v>林敏</v>
      </c>
      <c r="C327" s="2" t="s">
        <v>15</v>
      </c>
      <c r="D327" s="2" t="s">
        <v>328</v>
      </c>
      <c r="E327" s="3"/>
    </row>
    <row r="328" spans="1:5" ht="24.75" customHeight="1">
      <c r="A328" s="2">
        <v>326</v>
      </c>
      <c r="B328" s="2" t="str">
        <f>"陈宝康"</f>
        <v>陈宝康</v>
      </c>
      <c r="C328" s="2" t="s">
        <v>15</v>
      </c>
      <c r="D328" s="2" t="s">
        <v>329</v>
      </c>
      <c r="E328" s="3"/>
    </row>
    <row r="329" spans="1:5" ht="24.75" customHeight="1">
      <c r="A329" s="2">
        <v>327</v>
      </c>
      <c r="B329" s="2" t="str">
        <f>"杨迎春"</f>
        <v>杨迎春</v>
      </c>
      <c r="C329" s="2" t="s">
        <v>15</v>
      </c>
      <c r="D329" s="2" t="s">
        <v>330</v>
      </c>
      <c r="E329" s="3"/>
    </row>
    <row r="330" spans="1:5" ht="24.75" customHeight="1">
      <c r="A330" s="2">
        <v>328</v>
      </c>
      <c r="B330" s="2" t="str">
        <f>"邱小林"</f>
        <v>邱小林</v>
      </c>
      <c r="C330" s="2" t="s">
        <v>15</v>
      </c>
      <c r="D330" s="2" t="s">
        <v>331</v>
      </c>
      <c r="E330" s="3"/>
    </row>
    <row r="331" spans="1:5" ht="24.75" customHeight="1">
      <c r="A331" s="2">
        <v>329</v>
      </c>
      <c r="B331" s="2" t="str">
        <f>"曾浩伦"</f>
        <v>曾浩伦</v>
      </c>
      <c r="C331" s="2" t="s">
        <v>15</v>
      </c>
      <c r="D331" s="2" t="s">
        <v>332</v>
      </c>
      <c r="E331" s="3"/>
    </row>
    <row r="332" spans="1:5" ht="24.75" customHeight="1">
      <c r="A332" s="2">
        <v>330</v>
      </c>
      <c r="B332" s="2" t="str">
        <f>"张琳"</f>
        <v>张琳</v>
      </c>
      <c r="C332" s="2" t="s">
        <v>15</v>
      </c>
      <c r="D332" s="2" t="s">
        <v>333</v>
      </c>
      <c r="E332" s="3"/>
    </row>
    <row r="333" spans="1:5" ht="24.75" customHeight="1">
      <c r="A333" s="2">
        <v>331</v>
      </c>
      <c r="B333" s="2" t="str">
        <f>"徐丽霞"</f>
        <v>徐丽霞</v>
      </c>
      <c r="C333" s="2" t="s">
        <v>15</v>
      </c>
      <c r="D333" s="2" t="s">
        <v>334</v>
      </c>
      <c r="E333" s="3"/>
    </row>
    <row r="334" spans="1:5" ht="24.75" customHeight="1">
      <c r="A334" s="2">
        <v>332</v>
      </c>
      <c r="B334" s="2" t="str">
        <f>"郝月茹"</f>
        <v>郝月茹</v>
      </c>
      <c r="C334" s="2" t="s">
        <v>15</v>
      </c>
      <c r="D334" s="2" t="s">
        <v>335</v>
      </c>
      <c r="E334" s="3"/>
    </row>
    <row r="335" spans="1:5" ht="24.75" customHeight="1">
      <c r="A335" s="2">
        <v>333</v>
      </c>
      <c r="B335" s="2" t="str">
        <f>"陈冰"</f>
        <v>陈冰</v>
      </c>
      <c r="C335" s="2" t="s">
        <v>15</v>
      </c>
      <c r="D335" s="2" t="s">
        <v>336</v>
      </c>
      <c r="E335" s="3"/>
    </row>
    <row r="336" spans="1:5" ht="24.75" customHeight="1">
      <c r="A336" s="2">
        <v>334</v>
      </c>
      <c r="B336" s="2" t="str">
        <f>"王海姑"</f>
        <v>王海姑</v>
      </c>
      <c r="C336" s="2" t="s">
        <v>15</v>
      </c>
      <c r="D336" s="2" t="s">
        <v>337</v>
      </c>
      <c r="E336" s="3"/>
    </row>
    <row r="337" spans="1:5" ht="24.75" customHeight="1">
      <c r="A337" s="2">
        <v>335</v>
      </c>
      <c r="B337" s="2" t="str">
        <f>"张寒羽"</f>
        <v>张寒羽</v>
      </c>
      <c r="C337" s="2" t="s">
        <v>15</v>
      </c>
      <c r="D337" s="2" t="s">
        <v>49</v>
      </c>
      <c r="E337" s="3"/>
    </row>
    <row r="338" spans="1:5" ht="24.75" customHeight="1">
      <c r="A338" s="2">
        <v>336</v>
      </c>
      <c r="B338" s="2" t="str">
        <f>"王淑瑶"</f>
        <v>王淑瑶</v>
      </c>
      <c r="C338" s="2" t="s">
        <v>15</v>
      </c>
      <c r="D338" s="2" t="s">
        <v>338</v>
      </c>
      <c r="E338" s="3"/>
    </row>
    <row r="339" spans="1:5" ht="24.75" customHeight="1">
      <c r="A339" s="2">
        <v>337</v>
      </c>
      <c r="B339" s="2" t="str">
        <f>"钟东娴"</f>
        <v>钟东娴</v>
      </c>
      <c r="C339" s="2" t="s">
        <v>15</v>
      </c>
      <c r="D339" s="2" t="s">
        <v>339</v>
      </c>
      <c r="E339" s="3"/>
    </row>
    <row r="340" spans="1:5" ht="24.75" customHeight="1">
      <c r="A340" s="2">
        <v>338</v>
      </c>
      <c r="B340" s="2" t="str">
        <f>"陈慧"</f>
        <v>陈慧</v>
      </c>
      <c r="C340" s="2" t="s">
        <v>15</v>
      </c>
      <c r="D340" s="2" t="s">
        <v>27</v>
      </c>
      <c r="E340" s="3"/>
    </row>
    <row r="341" spans="1:5" ht="24.75" customHeight="1">
      <c r="A341" s="2">
        <v>339</v>
      </c>
      <c r="B341" s="2" t="str">
        <f>"张楚"</f>
        <v>张楚</v>
      </c>
      <c r="C341" s="2" t="s">
        <v>15</v>
      </c>
      <c r="D341" s="2" t="s">
        <v>340</v>
      </c>
      <c r="E341" s="3"/>
    </row>
    <row r="342" spans="1:5" ht="24.75" customHeight="1">
      <c r="A342" s="2">
        <v>340</v>
      </c>
      <c r="B342" s="2" t="str">
        <f>"周长安"</f>
        <v>周长安</v>
      </c>
      <c r="C342" s="2" t="s">
        <v>15</v>
      </c>
      <c r="D342" s="2" t="s">
        <v>341</v>
      </c>
      <c r="E342" s="3"/>
    </row>
    <row r="343" spans="1:5" ht="24.75" customHeight="1">
      <c r="A343" s="2">
        <v>341</v>
      </c>
      <c r="B343" s="2" t="str">
        <f>"朱立尧"</f>
        <v>朱立尧</v>
      </c>
      <c r="C343" s="2" t="s">
        <v>15</v>
      </c>
      <c r="D343" s="2" t="s">
        <v>342</v>
      </c>
      <c r="E343" s="3"/>
    </row>
    <row r="344" spans="1:5" ht="24.75" customHeight="1">
      <c r="A344" s="2">
        <v>342</v>
      </c>
      <c r="B344" s="2" t="str">
        <f>"王冰"</f>
        <v>王冰</v>
      </c>
      <c r="C344" s="2" t="s">
        <v>15</v>
      </c>
      <c r="D344" s="2" t="s">
        <v>343</v>
      </c>
      <c r="E344" s="3"/>
    </row>
    <row r="345" spans="1:5" ht="24.75" customHeight="1">
      <c r="A345" s="2">
        <v>343</v>
      </c>
      <c r="B345" s="2" t="str">
        <f>"林道康"</f>
        <v>林道康</v>
      </c>
      <c r="C345" s="2" t="s">
        <v>15</v>
      </c>
      <c r="D345" s="2" t="s">
        <v>344</v>
      </c>
      <c r="E345" s="3"/>
    </row>
    <row r="346" spans="1:5" ht="24.75" customHeight="1">
      <c r="A346" s="2">
        <v>344</v>
      </c>
      <c r="B346" s="2" t="str">
        <f>"林艳"</f>
        <v>林艳</v>
      </c>
      <c r="C346" s="2" t="s">
        <v>15</v>
      </c>
      <c r="D346" s="2" t="s">
        <v>345</v>
      </c>
      <c r="E346" s="3"/>
    </row>
    <row r="347" spans="1:5" ht="24.75" customHeight="1">
      <c r="A347" s="2">
        <v>345</v>
      </c>
      <c r="B347" s="2" t="str">
        <f>"曾小霞"</f>
        <v>曾小霞</v>
      </c>
      <c r="C347" s="2" t="s">
        <v>15</v>
      </c>
      <c r="D347" s="2" t="s">
        <v>346</v>
      </c>
      <c r="E347" s="3"/>
    </row>
    <row r="348" spans="1:5" ht="24.75" customHeight="1">
      <c r="A348" s="2">
        <v>346</v>
      </c>
      <c r="B348" s="2" t="str">
        <f>"符祥容"</f>
        <v>符祥容</v>
      </c>
      <c r="C348" s="2" t="s">
        <v>15</v>
      </c>
      <c r="D348" s="2" t="s">
        <v>347</v>
      </c>
      <c r="E348" s="3"/>
    </row>
    <row r="349" spans="1:5" ht="24.75" customHeight="1">
      <c r="A349" s="2">
        <v>347</v>
      </c>
      <c r="B349" s="2" t="str">
        <f>"陈冠铭"</f>
        <v>陈冠铭</v>
      </c>
      <c r="C349" s="2" t="s">
        <v>15</v>
      </c>
      <c r="D349" s="2" t="s">
        <v>348</v>
      </c>
      <c r="E349" s="3"/>
    </row>
    <row r="350" spans="1:5" ht="24.75" customHeight="1">
      <c r="A350" s="2">
        <v>348</v>
      </c>
      <c r="B350" s="2" t="str">
        <f>"陈和景"</f>
        <v>陈和景</v>
      </c>
      <c r="C350" s="2" t="s">
        <v>15</v>
      </c>
      <c r="D350" s="2" t="s">
        <v>349</v>
      </c>
      <c r="E350" s="3"/>
    </row>
    <row r="351" spans="1:5" ht="24.75" customHeight="1">
      <c r="A351" s="2">
        <v>349</v>
      </c>
      <c r="B351" s="2" t="str">
        <f>"何许虹"</f>
        <v>何许虹</v>
      </c>
      <c r="C351" s="2" t="s">
        <v>15</v>
      </c>
      <c r="D351" s="2" t="s">
        <v>350</v>
      </c>
      <c r="E351" s="3"/>
    </row>
    <row r="352" spans="1:5" ht="24.75" customHeight="1">
      <c r="A352" s="2">
        <v>350</v>
      </c>
      <c r="B352" s="2" t="str">
        <f>"吕佳慧"</f>
        <v>吕佳慧</v>
      </c>
      <c r="C352" s="2" t="s">
        <v>15</v>
      </c>
      <c r="D352" s="2" t="s">
        <v>351</v>
      </c>
      <c r="E352" s="3"/>
    </row>
    <row r="353" spans="1:5" ht="24.75" customHeight="1">
      <c r="A353" s="2">
        <v>351</v>
      </c>
      <c r="B353" s="2" t="str">
        <f>"林兰雯"</f>
        <v>林兰雯</v>
      </c>
      <c r="C353" s="2" t="s">
        <v>15</v>
      </c>
      <c r="D353" s="2" t="s">
        <v>352</v>
      </c>
      <c r="E353" s="3"/>
    </row>
    <row r="354" spans="1:5" ht="24.75" customHeight="1">
      <c r="A354" s="2">
        <v>352</v>
      </c>
      <c r="B354" s="2" t="str">
        <f>"骆一鸣"</f>
        <v>骆一鸣</v>
      </c>
      <c r="C354" s="2" t="s">
        <v>15</v>
      </c>
      <c r="D354" s="2" t="s">
        <v>353</v>
      </c>
      <c r="E354" s="3"/>
    </row>
    <row r="355" spans="1:5" ht="24.75" customHeight="1">
      <c r="A355" s="2">
        <v>353</v>
      </c>
      <c r="B355" s="2" t="str">
        <f>"潘柳秀"</f>
        <v>潘柳秀</v>
      </c>
      <c r="C355" s="2" t="s">
        <v>15</v>
      </c>
      <c r="D355" s="2" t="s">
        <v>354</v>
      </c>
      <c r="E355" s="3"/>
    </row>
    <row r="356" spans="1:5" ht="24.75" customHeight="1">
      <c r="A356" s="2">
        <v>354</v>
      </c>
      <c r="B356" s="2" t="str">
        <f>"吴清鸣"</f>
        <v>吴清鸣</v>
      </c>
      <c r="C356" s="2" t="s">
        <v>15</v>
      </c>
      <c r="D356" s="2" t="s">
        <v>92</v>
      </c>
      <c r="E356" s="3"/>
    </row>
    <row r="357" spans="1:5" ht="24.75" customHeight="1">
      <c r="A357" s="2">
        <v>355</v>
      </c>
      <c r="B357" s="2" t="str">
        <f>"符小妹"</f>
        <v>符小妹</v>
      </c>
      <c r="C357" s="2" t="s">
        <v>15</v>
      </c>
      <c r="D357" s="2" t="s">
        <v>355</v>
      </c>
      <c r="E357" s="3"/>
    </row>
    <row r="358" spans="1:5" ht="24.75" customHeight="1">
      <c r="A358" s="2">
        <v>356</v>
      </c>
      <c r="B358" s="2" t="str">
        <f>"王娇芬"</f>
        <v>王娇芬</v>
      </c>
      <c r="C358" s="2" t="s">
        <v>15</v>
      </c>
      <c r="D358" s="2" t="s">
        <v>356</v>
      </c>
      <c r="E358" s="3"/>
    </row>
    <row r="359" spans="1:5" ht="24.75" customHeight="1">
      <c r="A359" s="2">
        <v>357</v>
      </c>
      <c r="B359" s="2" t="str">
        <f>"傅国翠"</f>
        <v>傅国翠</v>
      </c>
      <c r="C359" s="2" t="s">
        <v>15</v>
      </c>
      <c r="D359" s="2" t="s">
        <v>357</v>
      </c>
      <c r="E359" s="3"/>
    </row>
    <row r="360" spans="1:5" ht="24.75" customHeight="1">
      <c r="A360" s="2">
        <v>358</v>
      </c>
      <c r="B360" s="2" t="str">
        <f>"王华艳"</f>
        <v>王华艳</v>
      </c>
      <c r="C360" s="2" t="s">
        <v>15</v>
      </c>
      <c r="D360" s="2" t="s">
        <v>358</v>
      </c>
      <c r="E360" s="3"/>
    </row>
    <row r="361" spans="1:5" ht="24.75" customHeight="1">
      <c r="A361" s="2">
        <v>359</v>
      </c>
      <c r="B361" s="2" t="str">
        <f>"黄春燕"</f>
        <v>黄春燕</v>
      </c>
      <c r="C361" s="2" t="s">
        <v>15</v>
      </c>
      <c r="D361" s="2" t="s">
        <v>359</v>
      </c>
      <c r="E361" s="3"/>
    </row>
    <row r="362" spans="1:5" ht="24.75" customHeight="1">
      <c r="A362" s="2">
        <v>360</v>
      </c>
      <c r="B362" s="2" t="str">
        <f>"苏乙叶"</f>
        <v>苏乙叶</v>
      </c>
      <c r="C362" s="2" t="s">
        <v>15</v>
      </c>
      <c r="D362" s="2" t="s">
        <v>360</v>
      </c>
      <c r="E362" s="3"/>
    </row>
    <row r="363" spans="1:5" ht="24.75" customHeight="1">
      <c r="A363" s="2">
        <v>361</v>
      </c>
      <c r="B363" s="2" t="str">
        <f>"何敏"</f>
        <v>何敏</v>
      </c>
      <c r="C363" s="2" t="s">
        <v>15</v>
      </c>
      <c r="D363" s="2" t="s">
        <v>361</v>
      </c>
      <c r="E363" s="3"/>
    </row>
    <row r="364" spans="1:5" ht="24.75" customHeight="1">
      <c r="A364" s="2">
        <v>362</v>
      </c>
      <c r="B364" s="2" t="str">
        <f>"王开戌"</f>
        <v>王开戌</v>
      </c>
      <c r="C364" s="2" t="s">
        <v>15</v>
      </c>
      <c r="D364" s="2" t="s">
        <v>362</v>
      </c>
      <c r="E364" s="3"/>
    </row>
    <row r="365" spans="1:5" ht="24.75" customHeight="1">
      <c r="A365" s="2">
        <v>363</v>
      </c>
      <c r="B365" s="2" t="str">
        <f>"吴晶晶"</f>
        <v>吴晶晶</v>
      </c>
      <c r="C365" s="2" t="s">
        <v>15</v>
      </c>
      <c r="D365" s="2" t="s">
        <v>363</v>
      </c>
      <c r="E365" s="3"/>
    </row>
    <row r="366" spans="1:5" ht="24.75" customHeight="1">
      <c r="A366" s="2">
        <v>364</v>
      </c>
      <c r="B366" s="2" t="str">
        <f>"李琳"</f>
        <v>李琳</v>
      </c>
      <c r="C366" s="2" t="s">
        <v>15</v>
      </c>
      <c r="D366" s="2" t="s">
        <v>364</v>
      </c>
      <c r="E366" s="3"/>
    </row>
    <row r="367" spans="1:5" ht="24.75" customHeight="1">
      <c r="A367" s="2">
        <v>365</v>
      </c>
      <c r="B367" s="2" t="str">
        <f>"林诗超"</f>
        <v>林诗超</v>
      </c>
      <c r="C367" s="2" t="s">
        <v>15</v>
      </c>
      <c r="D367" s="2" t="s">
        <v>365</v>
      </c>
      <c r="E367" s="3"/>
    </row>
    <row r="368" spans="1:5" ht="24.75" customHeight="1">
      <c r="A368" s="2">
        <v>366</v>
      </c>
      <c r="B368" s="2" t="str">
        <f>"莫薇"</f>
        <v>莫薇</v>
      </c>
      <c r="C368" s="2" t="s">
        <v>15</v>
      </c>
      <c r="D368" s="2" t="s">
        <v>366</v>
      </c>
      <c r="E368" s="3"/>
    </row>
    <row r="369" spans="1:5" ht="24.75" customHeight="1">
      <c r="A369" s="2">
        <v>367</v>
      </c>
      <c r="B369" s="2" t="str">
        <f>"唐文娟"</f>
        <v>唐文娟</v>
      </c>
      <c r="C369" s="2" t="s">
        <v>15</v>
      </c>
      <c r="D369" s="2" t="s">
        <v>367</v>
      </c>
      <c r="E369" s="3"/>
    </row>
    <row r="370" spans="1:5" ht="24.75" customHeight="1">
      <c r="A370" s="2">
        <v>368</v>
      </c>
      <c r="B370" s="2" t="str">
        <f>"符琼尹"</f>
        <v>符琼尹</v>
      </c>
      <c r="C370" s="2" t="s">
        <v>15</v>
      </c>
      <c r="D370" s="2" t="s">
        <v>368</v>
      </c>
      <c r="E370" s="3"/>
    </row>
    <row r="371" spans="1:5" ht="24.75" customHeight="1">
      <c r="A371" s="2">
        <v>369</v>
      </c>
      <c r="B371" s="2" t="str">
        <f>"李平"</f>
        <v>李平</v>
      </c>
      <c r="C371" s="2" t="s">
        <v>15</v>
      </c>
      <c r="D371" s="2" t="s">
        <v>369</v>
      </c>
      <c r="E371" s="3"/>
    </row>
    <row r="372" spans="1:5" ht="24.75" customHeight="1">
      <c r="A372" s="2">
        <v>370</v>
      </c>
      <c r="B372" s="2" t="str">
        <f>"麦琪静"</f>
        <v>麦琪静</v>
      </c>
      <c r="C372" s="2" t="s">
        <v>15</v>
      </c>
      <c r="D372" s="2" t="s">
        <v>370</v>
      </c>
      <c r="E372" s="3"/>
    </row>
    <row r="373" spans="1:5" ht="24.75" customHeight="1">
      <c r="A373" s="2">
        <v>371</v>
      </c>
      <c r="B373" s="2" t="str">
        <f>"杜尚汝"</f>
        <v>杜尚汝</v>
      </c>
      <c r="C373" s="2" t="s">
        <v>15</v>
      </c>
      <c r="D373" s="2" t="s">
        <v>371</v>
      </c>
      <c r="E373" s="3"/>
    </row>
    <row r="374" spans="1:5" ht="24.75" customHeight="1">
      <c r="A374" s="2">
        <v>372</v>
      </c>
      <c r="B374" s="2" t="str">
        <f>"王艳"</f>
        <v>王艳</v>
      </c>
      <c r="C374" s="2" t="s">
        <v>15</v>
      </c>
      <c r="D374" s="2" t="s">
        <v>372</v>
      </c>
      <c r="E374" s="3"/>
    </row>
    <row r="375" spans="1:5" ht="24.75" customHeight="1">
      <c r="A375" s="2">
        <v>373</v>
      </c>
      <c r="B375" s="2" t="str">
        <f>"吴艺慧"</f>
        <v>吴艺慧</v>
      </c>
      <c r="C375" s="2" t="s">
        <v>15</v>
      </c>
      <c r="D375" s="2" t="s">
        <v>373</v>
      </c>
      <c r="E375" s="3"/>
    </row>
    <row r="376" spans="1:5" ht="24.75" customHeight="1">
      <c r="A376" s="2">
        <v>374</v>
      </c>
      <c r="B376" s="2" t="str">
        <f>"林栩卉"</f>
        <v>林栩卉</v>
      </c>
      <c r="C376" s="2" t="s">
        <v>15</v>
      </c>
      <c r="D376" s="2" t="s">
        <v>374</v>
      </c>
      <c r="E376" s="3"/>
    </row>
    <row r="377" spans="1:5" ht="24.75" customHeight="1">
      <c r="A377" s="2">
        <v>375</v>
      </c>
      <c r="B377" s="2" t="str">
        <f>"蔡培艺"</f>
        <v>蔡培艺</v>
      </c>
      <c r="C377" s="2" t="s">
        <v>15</v>
      </c>
      <c r="D377" s="2" t="s">
        <v>375</v>
      </c>
      <c r="E377" s="3"/>
    </row>
    <row r="378" spans="1:5" ht="24.75" customHeight="1">
      <c r="A378" s="2">
        <v>376</v>
      </c>
      <c r="B378" s="2" t="str">
        <f>"何紫微"</f>
        <v>何紫微</v>
      </c>
      <c r="C378" s="2" t="s">
        <v>15</v>
      </c>
      <c r="D378" s="2" t="s">
        <v>376</v>
      </c>
      <c r="E378" s="3"/>
    </row>
    <row r="379" spans="1:5" ht="24.75" customHeight="1">
      <c r="A379" s="2">
        <v>377</v>
      </c>
      <c r="B379" s="2" t="str">
        <f>"陈逸韬"</f>
        <v>陈逸韬</v>
      </c>
      <c r="C379" s="2" t="s">
        <v>15</v>
      </c>
      <c r="D379" s="2" t="s">
        <v>377</v>
      </c>
      <c r="E379" s="3"/>
    </row>
    <row r="380" spans="1:5" ht="24.75" customHeight="1">
      <c r="A380" s="2">
        <v>378</v>
      </c>
      <c r="B380" s="2" t="str">
        <f>"张登佳"</f>
        <v>张登佳</v>
      </c>
      <c r="C380" s="2" t="s">
        <v>15</v>
      </c>
      <c r="D380" s="2" t="s">
        <v>378</v>
      </c>
      <c r="E380" s="3"/>
    </row>
    <row r="381" spans="1:5" ht="24.75" customHeight="1">
      <c r="A381" s="2">
        <v>379</v>
      </c>
      <c r="B381" s="2" t="str">
        <f>"高元龙"</f>
        <v>高元龙</v>
      </c>
      <c r="C381" s="2" t="s">
        <v>15</v>
      </c>
      <c r="D381" s="2" t="s">
        <v>379</v>
      </c>
      <c r="E381" s="3"/>
    </row>
    <row r="382" spans="1:5" ht="24.75" customHeight="1">
      <c r="A382" s="2">
        <v>380</v>
      </c>
      <c r="B382" s="2" t="str">
        <f>"关万婷"</f>
        <v>关万婷</v>
      </c>
      <c r="C382" s="2" t="s">
        <v>15</v>
      </c>
      <c r="D382" s="2" t="s">
        <v>380</v>
      </c>
      <c r="E382" s="3"/>
    </row>
    <row r="383" spans="1:5" ht="24.75" customHeight="1">
      <c r="A383" s="2">
        <v>381</v>
      </c>
      <c r="B383" s="2" t="str">
        <f>"袁月"</f>
        <v>袁月</v>
      </c>
      <c r="C383" s="2" t="s">
        <v>15</v>
      </c>
      <c r="D383" s="2" t="s">
        <v>381</v>
      </c>
      <c r="E383" s="3"/>
    </row>
    <row r="384" spans="1:5" ht="24.75" customHeight="1">
      <c r="A384" s="2">
        <v>382</v>
      </c>
      <c r="B384" s="2" t="str">
        <f>"秦雪"</f>
        <v>秦雪</v>
      </c>
      <c r="C384" s="2" t="s">
        <v>15</v>
      </c>
      <c r="D384" s="2" t="s">
        <v>164</v>
      </c>
      <c r="E384" s="3"/>
    </row>
    <row r="385" spans="1:5" ht="24.75" customHeight="1">
      <c r="A385" s="2">
        <v>383</v>
      </c>
      <c r="B385" s="2" t="str">
        <f>"路璐"</f>
        <v>路璐</v>
      </c>
      <c r="C385" s="2" t="s">
        <v>15</v>
      </c>
      <c r="D385" s="2" t="s">
        <v>382</v>
      </c>
      <c r="E385" s="3"/>
    </row>
    <row r="386" spans="1:5" ht="24.75" customHeight="1">
      <c r="A386" s="2">
        <v>384</v>
      </c>
      <c r="B386" s="2" t="str">
        <f>"郑佳玲"</f>
        <v>郑佳玲</v>
      </c>
      <c r="C386" s="2" t="s">
        <v>15</v>
      </c>
      <c r="D386" s="2" t="s">
        <v>383</v>
      </c>
      <c r="E386" s="3"/>
    </row>
    <row r="387" spans="1:5" ht="24.75" customHeight="1">
      <c r="A387" s="2">
        <v>385</v>
      </c>
      <c r="B387" s="2" t="str">
        <f>"姜敏慧"</f>
        <v>姜敏慧</v>
      </c>
      <c r="C387" s="2" t="s">
        <v>15</v>
      </c>
      <c r="D387" s="2" t="s">
        <v>384</v>
      </c>
      <c r="E387" s="3"/>
    </row>
    <row r="388" spans="1:5" ht="24.75" customHeight="1">
      <c r="A388" s="2">
        <v>386</v>
      </c>
      <c r="B388" s="2" t="str">
        <f>"陈佳馨"</f>
        <v>陈佳馨</v>
      </c>
      <c r="C388" s="2" t="s">
        <v>15</v>
      </c>
      <c r="D388" s="2" t="s">
        <v>385</v>
      </c>
      <c r="E388" s="3"/>
    </row>
    <row r="389" spans="1:5" ht="24.75" customHeight="1">
      <c r="A389" s="2">
        <v>387</v>
      </c>
      <c r="B389" s="2" t="str">
        <f>"张晓娜"</f>
        <v>张晓娜</v>
      </c>
      <c r="C389" s="2" t="s">
        <v>15</v>
      </c>
      <c r="D389" s="2" t="s">
        <v>386</v>
      </c>
      <c r="E389" s="3"/>
    </row>
    <row r="390" spans="1:5" ht="24.75" customHeight="1">
      <c r="A390" s="2">
        <v>388</v>
      </c>
      <c r="B390" s="2" t="str">
        <f>"羊萍"</f>
        <v>羊萍</v>
      </c>
      <c r="C390" s="2" t="s">
        <v>15</v>
      </c>
      <c r="D390" s="2" t="s">
        <v>387</v>
      </c>
      <c r="E390" s="3"/>
    </row>
    <row r="391" spans="1:5" ht="24.75" customHeight="1">
      <c r="A391" s="2">
        <v>389</v>
      </c>
      <c r="B391" s="2" t="str">
        <f>"王鑫"</f>
        <v>王鑫</v>
      </c>
      <c r="C391" s="2" t="s">
        <v>15</v>
      </c>
      <c r="D391" s="2" t="s">
        <v>388</v>
      </c>
      <c r="E391" s="3"/>
    </row>
    <row r="392" spans="1:5" ht="24.75" customHeight="1">
      <c r="A392" s="2">
        <v>390</v>
      </c>
      <c r="B392" s="2" t="str">
        <f>"吴玫坛"</f>
        <v>吴玫坛</v>
      </c>
      <c r="C392" s="2" t="s">
        <v>15</v>
      </c>
      <c r="D392" s="2" t="s">
        <v>389</v>
      </c>
      <c r="E392" s="3"/>
    </row>
    <row r="393" spans="1:5" ht="24.75" customHeight="1">
      <c r="A393" s="2">
        <v>391</v>
      </c>
      <c r="B393" s="2" t="str">
        <f>"陈虹"</f>
        <v>陈虹</v>
      </c>
      <c r="C393" s="2" t="s">
        <v>15</v>
      </c>
      <c r="D393" s="2" t="s">
        <v>390</v>
      </c>
      <c r="E393" s="3"/>
    </row>
    <row r="394" spans="1:5" ht="24.75" customHeight="1">
      <c r="A394" s="2">
        <v>392</v>
      </c>
      <c r="B394" s="2" t="str">
        <f>"凌月"</f>
        <v>凌月</v>
      </c>
      <c r="C394" s="2" t="s">
        <v>15</v>
      </c>
      <c r="D394" s="2" t="s">
        <v>391</v>
      </c>
      <c r="E394" s="3"/>
    </row>
    <row r="395" spans="1:5" ht="24.75" customHeight="1">
      <c r="A395" s="2">
        <v>393</v>
      </c>
      <c r="B395" s="2" t="str">
        <f>"王莹"</f>
        <v>王莹</v>
      </c>
      <c r="C395" s="2" t="s">
        <v>15</v>
      </c>
      <c r="D395" s="2" t="s">
        <v>392</v>
      </c>
      <c r="E395" s="3"/>
    </row>
    <row r="396" spans="1:5" ht="24.75" customHeight="1">
      <c r="A396" s="2">
        <v>394</v>
      </c>
      <c r="B396" s="2" t="str">
        <f>"周妹"</f>
        <v>周妹</v>
      </c>
      <c r="C396" s="2" t="s">
        <v>15</v>
      </c>
      <c r="D396" s="2" t="s">
        <v>393</v>
      </c>
      <c r="E396" s="3"/>
    </row>
    <row r="397" spans="1:5" ht="24.75" customHeight="1">
      <c r="A397" s="2">
        <v>395</v>
      </c>
      <c r="B397" s="2" t="str">
        <f>"吴琼妹"</f>
        <v>吴琼妹</v>
      </c>
      <c r="C397" s="2" t="s">
        <v>15</v>
      </c>
      <c r="D397" s="2" t="s">
        <v>394</v>
      </c>
      <c r="E397" s="3"/>
    </row>
    <row r="398" spans="1:5" ht="24.75" customHeight="1">
      <c r="A398" s="2">
        <v>396</v>
      </c>
      <c r="B398" s="2" t="str">
        <f>"谢姗妤"</f>
        <v>谢姗妤</v>
      </c>
      <c r="C398" s="2" t="s">
        <v>15</v>
      </c>
      <c r="D398" s="2" t="s">
        <v>234</v>
      </c>
      <c r="E398" s="3"/>
    </row>
    <row r="399" spans="1:5" ht="24.75" customHeight="1">
      <c r="A399" s="2">
        <v>397</v>
      </c>
      <c r="B399" s="2" t="str">
        <f>"庄惠惠"</f>
        <v>庄惠惠</v>
      </c>
      <c r="C399" s="2" t="s">
        <v>15</v>
      </c>
      <c r="D399" s="2" t="s">
        <v>395</v>
      </c>
      <c r="E399" s="3"/>
    </row>
    <row r="400" spans="1:5" ht="24.75" customHeight="1">
      <c r="A400" s="2">
        <v>398</v>
      </c>
      <c r="B400" s="2" t="str">
        <f>"符虹怡"</f>
        <v>符虹怡</v>
      </c>
      <c r="C400" s="2" t="s">
        <v>15</v>
      </c>
      <c r="D400" s="2" t="s">
        <v>396</v>
      </c>
      <c r="E400" s="3"/>
    </row>
    <row r="401" spans="1:5" ht="24.75" customHeight="1">
      <c r="A401" s="2">
        <v>399</v>
      </c>
      <c r="B401" s="2" t="str">
        <f>"陈玉花"</f>
        <v>陈玉花</v>
      </c>
      <c r="C401" s="2" t="s">
        <v>15</v>
      </c>
      <c r="D401" s="2" t="s">
        <v>397</v>
      </c>
      <c r="E401" s="3"/>
    </row>
    <row r="402" spans="1:5" ht="24.75" customHeight="1">
      <c r="A402" s="2">
        <v>400</v>
      </c>
      <c r="B402" s="2" t="str">
        <f>"韩润峰"</f>
        <v>韩润峰</v>
      </c>
      <c r="C402" s="2" t="s">
        <v>15</v>
      </c>
      <c r="D402" s="2" t="s">
        <v>266</v>
      </c>
      <c r="E402" s="3"/>
    </row>
    <row r="403" spans="1:5" ht="24.75" customHeight="1">
      <c r="A403" s="2">
        <v>401</v>
      </c>
      <c r="B403" s="2" t="str">
        <f>"陈小妹"</f>
        <v>陈小妹</v>
      </c>
      <c r="C403" s="2" t="s">
        <v>15</v>
      </c>
      <c r="D403" s="2" t="s">
        <v>398</v>
      </c>
      <c r="E403" s="3"/>
    </row>
    <row r="404" spans="1:5" ht="24.75" customHeight="1">
      <c r="A404" s="2">
        <v>402</v>
      </c>
      <c r="B404" s="2" t="str">
        <f>"周美霞"</f>
        <v>周美霞</v>
      </c>
      <c r="C404" s="2" t="s">
        <v>15</v>
      </c>
      <c r="D404" s="2" t="s">
        <v>399</v>
      </c>
      <c r="E404" s="3"/>
    </row>
    <row r="405" spans="1:5" ht="24.75" customHeight="1">
      <c r="A405" s="2">
        <v>403</v>
      </c>
      <c r="B405" s="2" t="str">
        <f>"张小媚"</f>
        <v>张小媚</v>
      </c>
      <c r="C405" s="2" t="s">
        <v>15</v>
      </c>
      <c r="D405" s="2" t="s">
        <v>400</v>
      </c>
      <c r="E405" s="3"/>
    </row>
    <row r="406" spans="1:5" ht="24.75" customHeight="1">
      <c r="A406" s="2">
        <v>404</v>
      </c>
      <c r="B406" s="2" t="str">
        <f>"陶美旭"</f>
        <v>陶美旭</v>
      </c>
      <c r="C406" s="2" t="s">
        <v>15</v>
      </c>
      <c r="D406" s="2" t="s">
        <v>401</v>
      </c>
      <c r="E406" s="3"/>
    </row>
    <row r="407" spans="1:5" ht="24.75" customHeight="1">
      <c r="A407" s="2">
        <v>405</v>
      </c>
      <c r="B407" s="2" t="str">
        <f>"周子靖"</f>
        <v>周子靖</v>
      </c>
      <c r="C407" s="2" t="s">
        <v>15</v>
      </c>
      <c r="D407" s="2" t="s">
        <v>402</v>
      </c>
      <c r="E407" s="3"/>
    </row>
    <row r="408" spans="1:5" ht="24.75" customHeight="1">
      <c r="A408" s="2">
        <v>406</v>
      </c>
      <c r="B408" s="2" t="str">
        <f>"杨棣"</f>
        <v>杨棣</v>
      </c>
      <c r="C408" s="2" t="s">
        <v>15</v>
      </c>
      <c r="D408" s="2" t="s">
        <v>403</v>
      </c>
      <c r="E408" s="3"/>
    </row>
    <row r="409" spans="1:5" ht="24.75" customHeight="1">
      <c r="A409" s="2">
        <v>407</v>
      </c>
      <c r="B409" s="2" t="str">
        <f>"沈咏璋"</f>
        <v>沈咏璋</v>
      </c>
      <c r="C409" s="2" t="s">
        <v>15</v>
      </c>
      <c r="D409" s="2" t="s">
        <v>404</v>
      </c>
      <c r="E409" s="3"/>
    </row>
    <row r="410" spans="1:5" ht="24.75" customHeight="1">
      <c r="A410" s="2">
        <v>408</v>
      </c>
      <c r="B410" s="2" t="str">
        <f>"陈凡"</f>
        <v>陈凡</v>
      </c>
      <c r="C410" s="2" t="s">
        <v>15</v>
      </c>
      <c r="D410" s="2" t="s">
        <v>405</v>
      </c>
      <c r="E410" s="3"/>
    </row>
    <row r="411" spans="1:5" ht="24.75" customHeight="1">
      <c r="A411" s="2">
        <v>409</v>
      </c>
      <c r="B411" s="2" t="str">
        <f>"王丽美"</f>
        <v>王丽美</v>
      </c>
      <c r="C411" s="2" t="s">
        <v>15</v>
      </c>
      <c r="D411" s="2" t="s">
        <v>406</v>
      </c>
      <c r="E411" s="3"/>
    </row>
    <row r="412" spans="1:5" ht="24.75" customHeight="1">
      <c r="A412" s="2">
        <v>410</v>
      </c>
      <c r="B412" s="2" t="str">
        <f>"杨克冰"</f>
        <v>杨克冰</v>
      </c>
      <c r="C412" s="2" t="s">
        <v>15</v>
      </c>
      <c r="D412" s="2" t="s">
        <v>407</v>
      </c>
      <c r="E412" s="3"/>
    </row>
    <row r="413" spans="1:5" ht="24.75" customHeight="1">
      <c r="A413" s="2">
        <v>411</v>
      </c>
      <c r="B413" s="2" t="str">
        <f>"王潇雪"</f>
        <v>王潇雪</v>
      </c>
      <c r="C413" s="2" t="s">
        <v>15</v>
      </c>
      <c r="D413" s="2" t="s">
        <v>408</v>
      </c>
      <c r="E413" s="3"/>
    </row>
    <row r="414" spans="1:5" ht="24.75" customHeight="1">
      <c r="A414" s="2">
        <v>412</v>
      </c>
      <c r="B414" s="2" t="str">
        <f>"王少颖"</f>
        <v>王少颖</v>
      </c>
      <c r="C414" s="2" t="s">
        <v>15</v>
      </c>
      <c r="D414" s="2" t="s">
        <v>409</v>
      </c>
      <c r="E414" s="3"/>
    </row>
    <row r="415" spans="1:5" ht="24.75" customHeight="1">
      <c r="A415" s="2">
        <v>413</v>
      </c>
      <c r="B415" s="2" t="str">
        <f>"冯欣"</f>
        <v>冯欣</v>
      </c>
      <c r="C415" s="2" t="s">
        <v>15</v>
      </c>
      <c r="D415" s="2" t="s">
        <v>139</v>
      </c>
      <c r="E415" s="3"/>
    </row>
    <row r="416" spans="1:5" ht="24.75" customHeight="1">
      <c r="A416" s="2">
        <v>414</v>
      </c>
      <c r="B416" s="2" t="str">
        <f>"秦梧桐"</f>
        <v>秦梧桐</v>
      </c>
      <c r="C416" s="2" t="s">
        <v>410</v>
      </c>
      <c r="D416" s="2" t="s">
        <v>411</v>
      </c>
      <c r="E416" s="3"/>
    </row>
    <row r="417" spans="1:5" ht="24.75" customHeight="1">
      <c r="A417" s="2">
        <v>415</v>
      </c>
      <c r="B417" s="2" t="str">
        <f>"潘青叶"</f>
        <v>潘青叶</v>
      </c>
      <c r="C417" s="2" t="s">
        <v>410</v>
      </c>
      <c r="D417" s="2" t="s">
        <v>412</v>
      </c>
      <c r="E417" s="3"/>
    </row>
    <row r="418" spans="1:5" ht="24.75" customHeight="1">
      <c r="A418" s="2">
        <v>416</v>
      </c>
      <c r="B418" s="2" t="str">
        <f>"胡鹏"</f>
        <v>胡鹏</v>
      </c>
      <c r="C418" s="2" t="s">
        <v>410</v>
      </c>
      <c r="D418" s="2" t="s">
        <v>413</v>
      </c>
      <c r="E418" s="3"/>
    </row>
    <row r="419" spans="1:5" ht="24.75" customHeight="1">
      <c r="A419" s="2">
        <v>417</v>
      </c>
      <c r="B419" s="2" t="str">
        <f>"游文鑫"</f>
        <v>游文鑫</v>
      </c>
      <c r="C419" s="2" t="s">
        <v>410</v>
      </c>
      <c r="D419" s="2" t="s">
        <v>414</v>
      </c>
      <c r="E419" s="3"/>
    </row>
    <row r="420" spans="1:5" ht="24.75" customHeight="1">
      <c r="A420" s="2">
        <v>418</v>
      </c>
      <c r="B420" s="2" t="str">
        <f>"王慧青"</f>
        <v>王慧青</v>
      </c>
      <c r="C420" s="2" t="s">
        <v>410</v>
      </c>
      <c r="D420" s="2" t="s">
        <v>415</v>
      </c>
      <c r="E420" s="3"/>
    </row>
    <row r="421" spans="1:5" ht="24.75" customHeight="1">
      <c r="A421" s="2">
        <v>419</v>
      </c>
      <c r="B421" s="2" t="str">
        <f>"陈凤日"</f>
        <v>陈凤日</v>
      </c>
      <c r="C421" s="2" t="s">
        <v>410</v>
      </c>
      <c r="D421" s="2" t="s">
        <v>416</v>
      </c>
      <c r="E421" s="3"/>
    </row>
    <row r="422" spans="1:5" ht="24.75" customHeight="1">
      <c r="A422" s="2">
        <v>420</v>
      </c>
      <c r="B422" s="2" t="str">
        <f>"王谷宇"</f>
        <v>王谷宇</v>
      </c>
      <c r="C422" s="2" t="s">
        <v>410</v>
      </c>
      <c r="D422" s="2" t="s">
        <v>417</v>
      </c>
      <c r="E422" s="3"/>
    </row>
    <row r="423" spans="1:5" ht="24.75" customHeight="1">
      <c r="A423" s="2">
        <v>421</v>
      </c>
      <c r="B423" s="2" t="str">
        <f>"谭月籼"</f>
        <v>谭月籼</v>
      </c>
      <c r="C423" s="2" t="s">
        <v>410</v>
      </c>
      <c r="D423" s="2" t="s">
        <v>418</v>
      </c>
      <c r="E423" s="3"/>
    </row>
    <row r="424" spans="1:5" ht="24.75" customHeight="1">
      <c r="A424" s="2">
        <v>422</v>
      </c>
      <c r="B424" s="2" t="str">
        <f>"蔡宛桦"</f>
        <v>蔡宛桦</v>
      </c>
      <c r="C424" s="2" t="s">
        <v>410</v>
      </c>
      <c r="D424" s="2" t="s">
        <v>419</v>
      </c>
      <c r="E424" s="3"/>
    </row>
    <row r="425" spans="1:5" ht="24.75" customHeight="1">
      <c r="A425" s="2">
        <v>423</v>
      </c>
      <c r="B425" s="2" t="str">
        <f>"郑佳丽"</f>
        <v>郑佳丽</v>
      </c>
      <c r="C425" s="2" t="s">
        <v>410</v>
      </c>
      <c r="D425" s="2" t="s">
        <v>420</v>
      </c>
      <c r="E425" s="3"/>
    </row>
    <row r="426" spans="1:5" ht="24.75" customHeight="1">
      <c r="A426" s="2">
        <v>424</v>
      </c>
      <c r="B426" s="2" t="str">
        <f>"黄柏栋"</f>
        <v>黄柏栋</v>
      </c>
      <c r="C426" s="2" t="s">
        <v>410</v>
      </c>
      <c r="D426" s="2" t="s">
        <v>421</v>
      </c>
      <c r="E426" s="3"/>
    </row>
    <row r="427" spans="1:5" ht="24.75" customHeight="1">
      <c r="A427" s="2">
        <v>425</v>
      </c>
      <c r="B427" s="2" t="str">
        <f>"陈泽莲"</f>
        <v>陈泽莲</v>
      </c>
      <c r="C427" s="2" t="s">
        <v>410</v>
      </c>
      <c r="D427" s="2" t="s">
        <v>422</v>
      </c>
      <c r="E427" s="3"/>
    </row>
    <row r="428" spans="1:5" ht="24.75" customHeight="1">
      <c r="A428" s="2">
        <v>426</v>
      </c>
      <c r="B428" s="2" t="str">
        <f>"符传丹"</f>
        <v>符传丹</v>
      </c>
      <c r="C428" s="2" t="s">
        <v>410</v>
      </c>
      <c r="D428" s="2" t="s">
        <v>423</v>
      </c>
      <c r="E428" s="3"/>
    </row>
    <row r="429" spans="1:5" ht="24.75" customHeight="1">
      <c r="A429" s="2">
        <v>427</v>
      </c>
      <c r="B429" s="2" t="str">
        <f>"杜彦君"</f>
        <v>杜彦君</v>
      </c>
      <c r="C429" s="2" t="s">
        <v>410</v>
      </c>
      <c r="D429" s="2" t="s">
        <v>424</v>
      </c>
      <c r="E429" s="3"/>
    </row>
    <row r="430" spans="1:5" ht="24.75" customHeight="1">
      <c r="A430" s="2">
        <v>428</v>
      </c>
      <c r="B430" s="2" t="str">
        <f>"洪曼茜"</f>
        <v>洪曼茜</v>
      </c>
      <c r="C430" s="2" t="s">
        <v>410</v>
      </c>
      <c r="D430" s="2" t="s">
        <v>425</v>
      </c>
      <c r="E430" s="3"/>
    </row>
    <row r="431" spans="1:5" ht="24.75" customHeight="1">
      <c r="A431" s="2">
        <v>429</v>
      </c>
      <c r="B431" s="2" t="str">
        <f>"林秋"</f>
        <v>林秋</v>
      </c>
      <c r="C431" s="2" t="s">
        <v>410</v>
      </c>
      <c r="D431" s="2" t="s">
        <v>426</v>
      </c>
      <c r="E431" s="3"/>
    </row>
    <row r="432" spans="1:5" ht="24.75" customHeight="1">
      <c r="A432" s="2">
        <v>430</v>
      </c>
      <c r="B432" s="2" t="str">
        <f>"黎源秀"</f>
        <v>黎源秀</v>
      </c>
      <c r="C432" s="2" t="s">
        <v>410</v>
      </c>
      <c r="D432" s="2" t="s">
        <v>427</v>
      </c>
      <c r="E432" s="3"/>
    </row>
    <row r="433" spans="1:5" ht="24.75" customHeight="1">
      <c r="A433" s="2">
        <v>431</v>
      </c>
      <c r="B433" s="2" t="str">
        <f>"唐悦"</f>
        <v>唐悦</v>
      </c>
      <c r="C433" s="2" t="s">
        <v>410</v>
      </c>
      <c r="D433" s="2" t="s">
        <v>428</v>
      </c>
      <c r="E433" s="3"/>
    </row>
    <row r="434" spans="1:5" ht="24.75" customHeight="1">
      <c r="A434" s="2">
        <v>432</v>
      </c>
      <c r="B434" s="2" t="str">
        <f>"陈凯雯"</f>
        <v>陈凯雯</v>
      </c>
      <c r="C434" s="2" t="s">
        <v>410</v>
      </c>
      <c r="D434" s="2" t="s">
        <v>162</v>
      </c>
      <c r="E434" s="3"/>
    </row>
    <row r="435" spans="1:5" ht="24.75" customHeight="1">
      <c r="A435" s="2">
        <v>433</v>
      </c>
      <c r="B435" s="2" t="str">
        <f>"袁超"</f>
        <v>袁超</v>
      </c>
      <c r="C435" s="2" t="s">
        <v>410</v>
      </c>
      <c r="D435" s="2" t="s">
        <v>429</v>
      </c>
      <c r="E435" s="3"/>
    </row>
    <row r="436" spans="1:5" ht="24.75" customHeight="1">
      <c r="A436" s="2">
        <v>434</v>
      </c>
      <c r="B436" s="2" t="str">
        <f>"王红妹"</f>
        <v>王红妹</v>
      </c>
      <c r="C436" s="2" t="s">
        <v>410</v>
      </c>
      <c r="D436" s="2" t="s">
        <v>430</v>
      </c>
      <c r="E436" s="3"/>
    </row>
    <row r="437" spans="1:5" ht="24.75" customHeight="1">
      <c r="A437" s="2">
        <v>435</v>
      </c>
      <c r="B437" s="2" t="str">
        <f>"梁迪鹏"</f>
        <v>梁迪鹏</v>
      </c>
      <c r="C437" s="2" t="s">
        <v>410</v>
      </c>
      <c r="D437" s="2" t="s">
        <v>431</v>
      </c>
      <c r="E437" s="3"/>
    </row>
    <row r="438" spans="1:5" ht="24.75" customHeight="1">
      <c r="A438" s="2">
        <v>436</v>
      </c>
      <c r="B438" s="2" t="str">
        <f>"崔高"</f>
        <v>崔高</v>
      </c>
      <c r="C438" s="2" t="s">
        <v>410</v>
      </c>
      <c r="D438" s="2" t="s">
        <v>432</v>
      </c>
      <c r="E438" s="3"/>
    </row>
    <row r="439" spans="1:5" ht="24.75" customHeight="1">
      <c r="A439" s="2">
        <v>437</v>
      </c>
      <c r="B439" s="2" t="str">
        <f>"陈茜"</f>
        <v>陈茜</v>
      </c>
      <c r="C439" s="2" t="s">
        <v>410</v>
      </c>
      <c r="D439" s="2" t="s">
        <v>433</v>
      </c>
      <c r="E439" s="3"/>
    </row>
    <row r="440" spans="1:5" ht="24.75" customHeight="1">
      <c r="A440" s="2">
        <v>438</v>
      </c>
      <c r="B440" s="2" t="str">
        <f>"吴珊珊"</f>
        <v>吴珊珊</v>
      </c>
      <c r="C440" s="2" t="s">
        <v>410</v>
      </c>
      <c r="D440" s="2" t="s">
        <v>434</v>
      </c>
      <c r="E440" s="3"/>
    </row>
    <row r="441" spans="1:5" ht="24.75" customHeight="1">
      <c r="A441" s="2">
        <v>439</v>
      </c>
      <c r="B441" s="2" t="str">
        <f>"蔡海菊"</f>
        <v>蔡海菊</v>
      </c>
      <c r="C441" s="2" t="s">
        <v>410</v>
      </c>
      <c r="D441" s="2" t="s">
        <v>435</v>
      </c>
      <c r="E441" s="3"/>
    </row>
    <row r="442" spans="1:5" ht="24.75" customHeight="1">
      <c r="A442" s="2">
        <v>440</v>
      </c>
      <c r="B442" s="2" t="str">
        <f>"刘秋余"</f>
        <v>刘秋余</v>
      </c>
      <c r="C442" s="2" t="s">
        <v>410</v>
      </c>
      <c r="D442" s="2" t="s">
        <v>436</v>
      </c>
      <c r="E442" s="3"/>
    </row>
    <row r="443" spans="1:5" ht="24.75" customHeight="1">
      <c r="A443" s="2">
        <v>441</v>
      </c>
      <c r="B443" s="2" t="str">
        <f>"张蕾"</f>
        <v>张蕾</v>
      </c>
      <c r="C443" s="2" t="s">
        <v>410</v>
      </c>
      <c r="D443" s="2" t="s">
        <v>437</v>
      </c>
      <c r="E443" s="3"/>
    </row>
    <row r="444" spans="1:5" ht="24.75" customHeight="1">
      <c r="A444" s="2">
        <v>442</v>
      </c>
      <c r="B444" s="2" t="str">
        <f>"邢贞玉"</f>
        <v>邢贞玉</v>
      </c>
      <c r="C444" s="2" t="s">
        <v>410</v>
      </c>
      <c r="D444" s="2" t="s">
        <v>438</v>
      </c>
      <c r="E444" s="3"/>
    </row>
    <row r="445" spans="1:5" ht="24.75" customHeight="1">
      <c r="A445" s="2">
        <v>443</v>
      </c>
      <c r="B445" s="2" t="str">
        <f>"吴晓颖"</f>
        <v>吴晓颖</v>
      </c>
      <c r="C445" s="2" t="s">
        <v>410</v>
      </c>
      <c r="D445" s="2" t="s">
        <v>439</v>
      </c>
      <c r="E445" s="3"/>
    </row>
    <row r="446" spans="1:5" ht="24.75" customHeight="1">
      <c r="A446" s="2">
        <v>444</v>
      </c>
      <c r="B446" s="2" t="str">
        <f>"谢宗美"</f>
        <v>谢宗美</v>
      </c>
      <c r="C446" s="2" t="s">
        <v>410</v>
      </c>
      <c r="D446" s="2" t="s">
        <v>440</v>
      </c>
      <c r="E446" s="3"/>
    </row>
    <row r="447" spans="1:5" ht="24.75" customHeight="1">
      <c r="A447" s="2">
        <v>445</v>
      </c>
      <c r="B447" s="2" t="str">
        <f>"何精杯"</f>
        <v>何精杯</v>
      </c>
      <c r="C447" s="2" t="s">
        <v>410</v>
      </c>
      <c r="D447" s="2" t="s">
        <v>441</v>
      </c>
      <c r="E447" s="3"/>
    </row>
    <row r="448" spans="1:5" ht="24.75" customHeight="1">
      <c r="A448" s="2">
        <v>446</v>
      </c>
      <c r="B448" s="2" t="str">
        <f>"凌子玄"</f>
        <v>凌子玄</v>
      </c>
      <c r="C448" s="2" t="s">
        <v>410</v>
      </c>
      <c r="D448" s="2" t="s">
        <v>442</v>
      </c>
      <c r="E448" s="3"/>
    </row>
    <row r="449" spans="1:5" ht="24.75" customHeight="1">
      <c r="A449" s="2">
        <v>447</v>
      </c>
      <c r="B449" s="2" t="str">
        <f>"朱靓"</f>
        <v>朱靓</v>
      </c>
      <c r="C449" s="2" t="s">
        <v>410</v>
      </c>
      <c r="D449" s="2" t="s">
        <v>139</v>
      </c>
      <c r="E449" s="3"/>
    </row>
    <row r="450" spans="1:5" ht="24.75" customHeight="1">
      <c r="A450" s="2">
        <v>448</v>
      </c>
      <c r="B450" s="2" t="str">
        <f>"董清风"</f>
        <v>董清风</v>
      </c>
      <c r="C450" s="2" t="s">
        <v>410</v>
      </c>
      <c r="D450" s="2" t="s">
        <v>443</v>
      </c>
      <c r="E450" s="3"/>
    </row>
    <row r="451" spans="1:5" ht="24.75" customHeight="1">
      <c r="A451" s="2">
        <v>449</v>
      </c>
      <c r="B451" s="2" t="str">
        <f>"付俊山"</f>
        <v>付俊山</v>
      </c>
      <c r="C451" s="2" t="s">
        <v>410</v>
      </c>
      <c r="D451" s="2" t="s">
        <v>444</v>
      </c>
      <c r="E451" s="3"/>
    </row>
    <row r="452" spans="1:5" ht="24.75" customHeight="1">
      <c r="A452" s="2">
        <v>450</v>
      </c>
      <c r="B452" s="2" t="str">
        <f>"邓正忠"</f>
        <v>邓正忠</v>
      </c>
      <c r="C452" s="2" t="s">
        <v>410</v>
      </c>
      <c r="D452" s="2" t="s">
        <v>445</v>
      </c>
      <c r="E452" s="3"/>
    </row>
    <row r="453" spans="1:5" ht="24.75" customHeight="1">
      <c r="A453" s="2">
        <v>451</v>
      </c>
      <c r="B453" s="2" t="str">
        <f>"冯思琪"</f>
        <v>冯思琪</v>
      </c>
      <c r="C453" s="2" t="s">
        <v>410</v>
      </c>
      <c r="D453" s="2" t="s">
        <v>446</v>
      </c>
      <c r="E453" s="3"/>
    </row>
    <row r="454" spans="1:5" ht="24.75" customHeight="1">
      <c r="A454" s="2">
        <v>452</v>
      </c>
      <c r="B454" s="2" t="str">
        <f>"郭龙青"</f>
        <v>郭龙青</v>
      </c>
      <c r="C454" s="2" t="s">
        <v>410</v>
      </c>
      <c r="D454" s="2" t="s">
        <v>447</v>
      </c>
      <c r="E454" s="3"/>
    </row>
    <row r="455" spans="1:5" ht="24.75" customHeight="1">
      <c r="A455" s="2">
        <v>453</v>
      </c>
      <c r="B455" s="2" t="str">
        <f>"邢孔渝"</f>
        <v>邢孔渝</v>
      </c>
      <c r="C455" s="2" t="s">
        <v>410</v>
      </c>
      <c r="D455" s="2" t="s">
        <v>448</v>
      </c>
      <c r="E455" s="3"/>
    </row>
    <row r="456" spans="1:5" ht="24.75" customHeight="1">
      <c r="A456" s="2">
        <v>454</v>
      </c>
      <c r="B456" s="2" t="str">
        <f>"黄洳钲"</f>
        <v>黄洳钲</v>
      </c>
      <c r="C456" s="2" t="s">
        <v>410</v>
      </c>
      <c r="D456" s="2" t="s">
        <v>449</v>
      </c>
      <c r="E456" s="3"/>
    </row>
    <row r="457" spans="1:5" ht="24.75" customHeight="1">
      <c r="A457" s="2">
        <v>455</v>
      </c>
      <c r="B457" s="2" t="str">
        <f>"毛佳歆"</f>
        <v>毛佳歆</v>
      </c>
      <c r="C457" s="2" t="s">
        <v>410</v>
      </c>
      <c r="D457" s="2" t="s">
        <v>450</v>
      </c>
      <c r="E457" s="3"/>
    </row>
    <row r="458" spans="1:5" ht="24.75" customHeight="1">
      <c r="A458" s="2">
        <v>456</v>
      </c>
      <c r="B458" s="2" t="str">
        <f>"赵璟"</f>
        <v>赵璟</v>
      </c>
      <c r="C458" s="2" t="s">
        <v>410</v>
      </c>
      <c r="D458" s="2" t="s">
        <v>451</v>
      </c>
      <c r="E458" s="3"/>
    </row>
    <row r="459" spans="1:5" ht="24.75" customHeight="1">
      <c r="A459" s="2">
        <v>457</v>
      </c>
      <c r="B459" s="2" t="str">
        <f>"黄镇坚"</f>
        <v>黄镇坚</v>
      </c>
      <c r="C459" s="2" t="s">
        <v>410</v>
      </c>
      <c r="D459" s="2" t="s">
        <v>452</v>
      </c>
      <c r="E459" s="3"/>
    </row>
    <row r="460" spans="1:5" ht="24.75" customHeight="1">
      <c r="A460" s="2">
        <v>458</v>
      </c>
      <c r="B460" s="2" t="str">
        <f>"何洋"</f>
        <v>何洋</v>
      </c>
      <c r="C460" s="2" t="s">
        <v>410</v>
      </c>
      <c r="D460" s="2" t="s">
        <v>453</v>
      </c>
      <c r="E460" s="3"/>
    </row>
    <row r="461" spans="1:5" ht="24.75" customHeight="1">
      <c r="A461" s="2">
        <v>459</v>
      </c>
      <c r="B461" s="2" t="str">
        <f>"陈晶晶"</f>
        <v>陈晶晶</v>
      </c>
      <c r="C461" s="2" t="s">
        <v>410</v>
      </c>
      <c r="D461" s="2" t="s">
        <v>454</v>
      </c>
      <c r="E461" s="3"/>
    </row>
    <row r="462" spans="1:5" ht="24.75" customHeight="1">
      <c r="A462" s="2">
        <v>460</v>
      </c>
      <c r="B462" s="2" t="str">
        <f>"吴海斌"</f>
        <v>吴海斌</v>
      </c>
      <c r="C462" s="2" t="s">
        <v>410</v>
      </c>
      <c r="D462" s="2" t="s">
        <v>455</v>
      </c>
      <c r="E462" s="3"/>
    </row>
    <row r="463" spans="1:5" ht="24.75" customHeight="1">
      <c r="A463" s="2">
        <v>461</v>
      </c>
      <c r="B463" s="2" t="str">
        <f>"黄丽"</f>
        <v>黄丽</v>
      </c>
      <c r="C463" s="2" t="s">
        <v>410</v>
      </c>
      <c r="D463" s="2" t="s">
        <v>456</v>
      </c>
      <c r="E463" s="3"/>
    </row>
    <row r="464" spans="1:5" ht="24.75" customHeight="1">
      <c r="A464" s="2">
        <v>462</v>
      </c>
      <c r="B464" s="2" t="str">
        <f>"周亚环"</f>
        <v>周亚环</v>
      </c>
      <c r="C464" s="2" t="s">
        <v>410</v>
      </c>
      <c r="D464" s="2" t="s">
        <v>457</v>
      </c>
      <c r="E464" s="3"/>
    </row>
    <row r="465" spans="1:5" ht="24.75" customHeight="1">
      <c r="A465" s="2">
        <v>463</v>
      </c>
      <c r="B465" s="2" t="str">
        <f>"温刘钦"</f>
        <v>温刘钦</v>
      </c>
      <c r="C465" s="2" t="s">
        <v>410</v>
      </c>
      <c r="D465" s="2" t="s">
        <v>458</v>
      </c>
      <c r="E465" s="3"/>
    </row>
    <row r="466" spans="1:5" ht="24.75" customHeight="1">
      <c r="A466" s="2">
        <v>464</v>
      </c>
      <c r="B466" s="2" t="str">
        <f>"王慧梅"</f>
        <v>王慧梅</v>
      </c>
      <c r="C466" s="2" t="s">
        <v>410</v>
      </c>
      <c r="D466" s="2" t="s">
        <v>459</v>
      </c>
      <c r="E466" s="3"/>
    </row>
    <row r="467" spans="1:5" ht="24.75" customHeight="1">
      <c r="A467" s="2">
        <v>465</v>
      </c>
      <c r="B467" s="2" t="str">
        <f>"邓俊俏"</f>
        <v>邓俊俏</v>
      </c>
      <c r="C467" s="2" t="s">
        <v>410</v>
      </c>
      <c r="D467" s="2" t="s">
        <v>460</v>
      </c>
      <c r="E467" s="3"/>
    </row>
    <row r="468" spans="1:5" ht="24.75" customHeight="1">
      <c r="A468" s="2">
        <v>466</v>
      </c>
      <c r="B468" s="2" t="str">
        <f>"许晓雯"</f>
        <v>许晓雯</v>
      </c>
      <c r="C468" s="2" t="s">
        <v>410</v>
      </c>
      <c r="D468" s="2" t="s">
        <v>461</v>
      </c>
      <c r="E468" s="3"/>
    </row>
    <row r="469" spans="1:5" ht="24.75" customHeight="1">
      <c r="A469" s="2">
        <v>467</v>
      </c>
      <c r="B469" s="2" t="str">
        <f>"王岭"</f>
        <v>王岭</v>
      </c>
      <c r="C469" s="2" t="s">
        <v>410</v>
      </c>
      <c r="D469" s="2" t="s">
        <v>462</v>
      </c>
      <c r="E469" s="3"/>
    </row>
    <row r="470" spans="1:5" ht="24.75" customHeight="1">
      <c r="A470" s="2">
        <v>468</v>
      </c>
      <c r="B470" s="2" t="str">
        <f>"葛锦"</f>
        <v>葛锦</v>
      </c>
      <c r="C470" s="2" t="s">
        <v>410</v>
      </c>
      <c r="D470" s="2" t="s">
        <v>463</v>
      </c>
      <c r="E470" s="3"/>
    </row>
    <row r="471" spans="1:5" ht="24.75" customHeight="1">
      <c r="A471" s="2">
        <v>469</v>
      </c>
      <c r="B471" s="2" t="str">
        <f>"严凌利"</f>
        <v>严凌利</v>
      </c>
      <c r="C471" s="2" t="s">
        <v>410</v>
      </c>
      <c r="D471" s="2" t="s">
        <v>464</v>
      </c>
      <c r="E471" s="3"/>
    </row>
    <row r="472" spans="1:5" ht="24.75" customHeight="1">
      <c r="A472" s="2">
        <v>470</v>
      </c>
      <c r="B472" s="2" t="str">
        <f>"张之淼"</f>
        <v>张之淼</v>
      </c>
      <c r="C472" s="2" t="s">
        <v>410</v>
      </c>
      <c r="D472" s="2" t="s">
        <v>465</v>
      </c>
      <c r="E472" s="3"/>
    </row>
    <row r="473" spans="1:5" ht="24.75" customHeight="1">
      <c r="A473" s="2">
        <v>471</v>
      </c>
      <c r="B473" s="2" t="str">
        <f>"陈思"</f>
        <v>陈思</v>
      </c>
      <c r="C473" s="2" t="s">
        <v>410</v>
      </c>
      <c r="D473" s="2" t="s">
        <v>466</v>
      </c>
      <c r="E473" s="3"/>
    </row>
    <row r="474" spans="1:5" ht="24.75" customHeight="1">
      <c r="A474" s="2">
        <v>472</v>
      </c>
      <c r="B474" s="2" t="str">
        <f>"陈群"</f>
        <v>陈群</v>
      </c>
      <c r="C474" s="2" t="s">
        <v>410</v>
      </c>
      <c r="D474" s="2" t="s">
        <v>467</v>
      </c>
      <c r="E474" s="3"/>
    </row>
    <row r="475" spans="1:5" ht="24.75" customHeight="1">
      <c r="A475" s="2">
        <v>473</v>
      </c>
      <c r="B475" s="2" t="str">
        <f>"熊樱婷"</f>
        <v>熊樱婷</v>
      </c>
      <c r="C475" s="2" t="s">
        <v>410</v>
      </c>
      <c r="D475" s="2" t="s">
        <v>468</v>
      </c>
      <c r="E475" s="3"/>
    </row>
    <row r="476" spans="1:5" ht="24.75" customHeight="1">
      <c r="A476" s="2">
        <v>474</v>
      </c>
      <c r="B476" s="2" t="str">
        <f>"陈婆美"</f>
        <v>陈婆美</v>
      </c>
      <c r="C476" s="2" t="s">
        <v>410</v>
      </c>
      <c r="D476" s="2" t="s">
        <v>469</v>
      </c>
      <c r="E476" s="3"/>
    </row>
    <row r="477" spans="1:5" ht="24.75" customHeight="1">
      <c r="A477" s="2">
        <v>475</v>
      </c>
      <c r="B477" s="2" t="str">
        <f>"杜海玎"</f>
        <v>杜海玎</v>
      </c>
      <c r="C477" s="2" t="s">
        <v>410</v>
      </c>
      <c r="D477" s="2" t="s">
        <v>470</v>
      </c>
      <c r="E477" s="3"/>
    </row>
    <row r="478" spans="1:5" ht="24.75" customHeight="1">
      <c r="A478" s="2">
        <v>476</v>
      </c>
      <c r="B478" s="2" t="str">
        <f>"廖文华"</f>
        <v>廖文华</v>
      </c>
      <c r="C478" s="2" t="s">
        <v>410</v>
      </c>
      <c r="D478" s="2" t="s">
        <v>471</v>
      </c>
      <c r="E478" s="3"/>
    </row>
    <row r="479" spans="1:5" ht="24.75" customHeight="1">
      <c r="A479" s="2">
        <v>477</v>
      </c>
      <c r="B479" s="2" t="str">
        <f>"周婷婷"</f>
        <v>周婷婷</v>
      </c>
      <c r="C479" s="2" t="s">
        <v>410</v>
      </c>
      <c r="D479" s="2" t="s">
        <v>472</v>
      </c>
      <c r="E479" s="3"/>
    </row>
    <row r="480" spans="1:5" ht="24.75" customHeight="1">
      <c r="A480" s="2">
        <v>478</v>
      </c>
      <c r="B480" s="2" t="str">
        <f>"陈洁"</f>
        <v>陈洁</v>
      </c>
      <c r="C480" s="2" t="s">
        <v>410</v>
      </c>
      <c r="D480" s="2" t="s">
        <v>473</v>
      </c>
      <c r="E480" s="3"/>
    </row>
    <row r="481" spans="1:5" ht="24.75" customHeight="1">
      <c r="A481" s="2">
        <v>479</v>
      </c>
      <c r="B481" s="2" t="str">
        <f>"李方沼"</f>
        <v>李方沼</v>
      </c>
      <c r="C481" s="2" t="s">
        <v>410</v>
      </c>
      <c r="D481" s="2" t="s">
        <v>474</v>
      </c>
      <c r="E481" s="3"/>
    </row>
    <row r="482" spans="1:5" ht="24.75" customHeight="1">
      <c r="A482" s="2">
        <v>480</v>
      </c>
      <c r="B482" s="2" t="str">
        <f>"李邦萁"</f>
        <v>李邦萁</v>
      </c>
      <c r="C482" s="2" t="s">
        <v>410</v>
      </c>
      <c r="D482" s="2" t="s">
        <v>475</v>
      </c>
      <c r="E482" s="3"/>
    </row>
    <row r="483" spans="1:5" ht="24.75" customHeight="1">
      <c r="A483" s="2">
        <v>481</v>
      </c>
      <c r="B483" s="2" t="str">
        <f>"江丽梅"</f>
        <v>江丽梅</v>
      </c>
      <c r="C483" s="2" t="s">
        <v>410</v>
      </c>
      <c r="D483" s="2" t="s">
        <v>476</v>
      </c>
      <c r="E483" s="3"/>
    </row>
    <row r="484" spans="1:5" ht="24.75" customHeight="1">
      <c r="A484" s="2">
        <v>482</v>
      </c>
      <c r="B484" s="2" t="str">
        <f>"陈杰"</f>
        <v>陈杰</v>
      </c>
      <c r="C484" s="2" t="s">
        <v>410</v>
      </c>
      <c r="D484" s="2" t="s">
        <v>477</v>
      </c>
      <c r="E484" s="3"/>
    </row>
    <row r="485" spans="1:5" ht="24.75" customHeight="1">
      <c r="A485" s="2">
        <v>483</v>
      </c>
      <c r="B485" s="2" t="str">
        <f>"陈雪"</f>
        <v>陈雪</v>
      </c>
      <c r="C485" s="2" t="s">
        <v>410</v>
      </c>
      <c r="D485" s="2" t="s">
        <v>478</v>
      </c>
      <c r="E485" s="3"/>
    </row>
    <row r="486" spans="1:5" ht="24.75" customHeight="1">
      <c r="A486" s="2">
        <v>484</v>
      </c>
      <c r="B486" s="2" t="str">
        <f>"陈惠怡"</f>
        <v>陈惠怡</v>
      </c>
      <c r="C486" s="2" t="s">
        <v>410</v>
      </c>
      <c r="D486" s="2" t="s">
        <v>479</v>
      </c>
      <c r="E486" s="3"/>
    </row>
    <row r="487" spans="1:5" ht="24.75" customHeight="1">
      <c r="A487" s="2">
        <v>485</v>
      </c>
      <c r="B487" s="2" t="str">
        <f>"韦钟号"</f>
        <v>韦钟号</v>
      </c>
      <c r="C487" s="2" t="s">
        <v>410</v>
      </c>
      <c r="D487" s="2" t="s">
        <v>480</v>
      </c>
      <c r="E487" s="3"/>
    </row>
    <row r="488" spans="1:5" ht="24.75" customHeight="1">
      <c r="A488" s="2">
        <v>486</v>
      </c>
      <c r="B488" s="2" t="str">
        <f>"王雅婷"</f>
        <v>王雅婷</v>
      </c>
      <c r="C488" s="2" t="s">
        <v>410</v>
      </c>
      <c r="D488" s="2" t="s">
        <v>481</v>
      </c>
      <c r="E488" s="3"/>
    </row>
    <row r="489" spans="1:5" ht="24.75" customHeight="1">
      <c r="A489" s="2">
        <v>487</v>
      </c>
      <c r="B489" s="2" t="str">
        <f>"蔡惠卿"</f>
        <v>蔡惠卿</v>
      </c>
      <c r="C489" s="2" t="s">
        <v>410</v>
      </c>
      <c r="D489" s="2" t="s">
        <v>482</v>
      </c>
      <c r="E489" s="3"/>
    </row>
    <row r="490" spans="1:5" ht="24.75" customHeight="1">
      <c r="A490" s="2">
        <v>488</v>
      </c>
      <c r="B490" s="2" t="str">
        <f>"翁永妹"</f>
        <v>翁永妹</v>
      </c>
      <c r="C490" s="2" t="s">
        <v>410</v>
      </c>
      <c r="D490" s="2" t="s">
        <v>483</v>
      </c>
      <c r="E490" s="3"/>
    </row>
    <row r="491" spans="1:5" ht="24.75" customHeight="1">
      <c r="A491" s="2">
        <v>489</v>
      </c>
      <c r="B491" s="2" t="str">
        <f>"孙志佳"</f>
        <v>孙志佳</v>
      </c>
      <c r="C491" s="2" t="s">
        <v>410</v>
      </c>
      <c r="D491" s="2" t="s">
        <v>484</v>
      </c>
      <c r="E491" s="3"/>
    </row>
    <row r="492" spans="1:5" ht="24.75" customHeight="1">
      <c r="A492" s="2">
        <v>490</v>
      </c>
      <c r="B492" s="2" t="str">
        <f>"廖婷婷"</f>
        <v>廖婷婷</v>
      </c>
      <c r="C492" s="2" t="s">
        <v>410</v>
      </c>
      <c r="D492" s="2" t="s">
        <v>485</v>
      </c>
      <c r="E492" s="3"/>
    </row>
    <row r="493" spans="1:5" ht="24.75" customHeight="1">
      <c r="A493" s="2">
        <v>491</v>
      </c>
      <c r="B493" s="2" t="str">
        <f>"张冬旭"</f>
        <v>张冬旭</v>
      </c>
      <c r="C493" s="2" t="s">
        <v>410</v>
      </c>
      <c r="D493" s="2" t="s">
        <v>486</v>
      </c>
      <c r="E493" s="3"/>
    </row>
    <row r="494" spans="1:5" ht="24.75" customHeight="1">
      <c r="A494" s="2">
        <v>492</v>
      </c>
      <c r="B494" s="2" t="str">
        <f>"陈莹"</f>
        <v>陈莹</v>
      </c>
      <c r="C494" s="2" t="s">
        <v>410</v>
      </c>
      <c r="D494" s="2" t="s">
        <v>487</v>
      </c>
      <c r="E494" s="3"/>
    </row>
    <row r="495" spans="1:5" ht="24.75" customHeight="1">
      <c r="A495" s="2">
        <v>493</v>
      </c>
      <c r="B495" s="2" t="str">
        <f>"梁亚敏"</f>
        <v>梁亚敏</v>
      </c>
      <c r="C495" s="2" t="s">
        <v>410</v>
      </c>
      <c r="D495" s="2" t="s">
        <v>488</v>
      </c>
      <c r="E495" s="3"/>
    </row>
    <row r="496" spans="1:5" ht="24.75" customHeight="1">
      <c r="A496" s="2">
        <v>494</v>
      </c>
      <c r="B496" s="2" t="str">
        <f>"胡心洋"</f>
        <v>胡心洋</v>
      </c>
      <c r="C496" s="2" t="s">
        <v>410</v>
      </c>
      <c r="D496" s="2" t="s">
        <v>489</v>
      </c>
      <c r="E496" s="3"/>
    </row>
    <row r="497" spans="1:5" ht="24.75" customHeight="1">
      <c r="A497" s="2">
        <v>495</v>
      </c>
      <c r="B497" s="2" t="str">
        <f>"陈佳慧"</f>
        <v>陈佳慧</v>
      </c>
      <c r="C497" s="2" t="s">
        <v>410</v>
      </c>
      <c r="D497" s="2" t="s">
        <v>490</v>
      </c>
      <c r="E497" s="3"/>
    </row>
    <row r="498" spans="1:5" ht="24.75" customHeight="1">
      <c r="A498" s="2">
        <v>496</v>
      </c>
      <c r="B498" s="2" t="str">
        <f>"蔡雅敏"</f>
        <v>蔡雅敏</v>
      </c>
      <c r="C498" s="2" t="s">
        <v>410</v>
      </c>
      <c r="D498" s="2" t="s">
        <v>491</v>
      </c>
      <c r="E498" s="3"/>
    </row>
    <row r="499" spans="1:5" ht="24.75" customHeight="1">
      <c r="A499" s="2">
        <v>497</v>
      </c>
      <c r="B499" s="2" t="str">
        <f>"黄晓瑞"</f>
        <v>黄晓瑞</v>
      </c>
      <c r="C499" s="2" t="s">
        <v>410</v>
      </c>
      <c r="D499" s="2" t="s">
        <v>492</v>
      </c>
      <c r="E499" s="3"/>
    </row>
    <row r="500" spans="1:5" ht="24.75" customHeight="1">
      <c r="A500" s="2">
        <v>498</v>
      </c>
      <c r="B500" s="2" t="str">
        <f>"朱昌昊"</f>
        <v>朱昌昊</v>
      </c>
      <c r="C500" s="2" t="s">
        <v>410</v>
      </c>
      <c r="D500" s="2" t="s">
        <v>493</v>
      </c>
      <c r="E500" s="3"/>
    </row>
    <row r="501" spans="1:5" ht="24.75" customHeight="1">
      <c r="A501" s="2">
        <v>499</v>
      </c>
      <c r="B501" s="2" t="str">
        <f>"王瑞欣"</f>
        <v>王瑞欣</v>
      </c>
      <c r="C501" s="2" t="s">
        <v>410</v>
      </c>
      <c r="D501" s="2" t="s">
        <v>494</v>
      </c>
      <c r="E501" s="3"/>
    </row>
    <row r="502" spans="1:5" ht="24.75" customHeight="1">
      <c r="A502" s="2">
        <v>500</v>
      </c>
      <c r="B502" s="2" t="str">
        <f>"杨金贵"</f>
        <v>杨金贵</v>
      </c>
      <c r="C502" s="2" t="s">
        <v>410</v>
      </c>
      <c r="D502" s="2" t="s">
        <v>495</v>
      </c>
      <c r="E502" s="3"/>
    </row>
    <row r="503" spans="1:5" ht="24.75" customHeight="1">
      <c r="A503" s="2">
        <v>501</v>
      </c>
      <c r="B503" s="2" t="str">
        <f>"符应鲜"</f>
        <v>符应鲜</v>
      </c>
      <c r="C503" s="2" t="s">
        <v>410</v>
      </c>
      <c r="D503" s="2" t="s">
        <v>496</v>
      </c>
      <c r="E503" s="3"/>
    </row>
    <row r="504" spans="1:5" ht="24.75" customHeight="1">
      <c r="A504" s="2">
        <v>502</v>
      </c>
      <c r="B504" s="2" t="str">
        <f>"张金梅"</f>
        <v>张金梅</v>
      </c>
      <c r="C504" s="2" t="s">
        <v>410</v>
      </c>
      <c r="D504" s="2" t="s">
        <v>497</v>
      </c>
      <c r="E504" s="3"/>
    </row>
    <row r="505" spans="1:5" ht="24.75" customHeight="1">
      <c r="A505" s="2">
        <v>503</v>
      </c>
      <c r="B505" s="2" t="str">
        <f>"蓝本"</f>
        <v>蓝本</v>
      </c>
      <c r="C505" s="2" t="s">
        <v>410</v>
      </c>
      <c r="D505" s="2" t="s">
        <v>498</v>
      </c>
      <c r="E505" s="3"/>
    </row>
    <row r="506" spans="1:5" ht="24.75" customHeight="1">
      <c r="A506" s="2">
        <v>504</v>
      </c>
      <c r="B506" s="2" t="str">
        <f>"陈丽桥"</f>
        <v>陈丽桥</v>
      </c>
      <c r="C506" s="2" t="s">
        <v>410</v>
      </c>
      <c r="D506" s="2" t="s">
        <v>499</v>
      </c>
      <c r="E506" s="3"/>
    </row>
    <row r="507" spans="1:5" ht="24.75" customHeight="1">
      <c r="A507" s="2">
        <v>505</v>
      </c>
      <c r="B507" s="2" t="str">
        <f>"李乃恩"</f>
        <v>李乃恩</v>
      </c>
      <c r="C507" s="2" t="s">
        <v>410</v>
      </c>
      <c r="D507" s="2" t="s">
        <v>500</v>
      </c>
      <c r="E507" s="3"/>
    </row>
    <row r="508" spans="1:5" ht="24.75" customHeight="1">
      <c r="A508" s="2">
        <v>506</v>
      </c>
      <c r="B508" s="2" t="str">
        <f>"陈芳委"</f>
        <v>陈芳委</v>
      </c>
      <c r="C508" s="2" t="s">
        <v>410</v>
      </c>
      <c r="D508" s="2" t="s">
        <v>501</v>
      </c>
      <c r="E508" s="3"/>
    </row>
    <row r="509" spans="1:5" ht="24.75" customHeight="1">
      <c r="A509" s="2">
        <v>507</v>
      </c>
      <c r="B509" s="2" t="str">
        <f>"刘英子"</f>
        <v>刘英子</v>
      </c>
      <c r="C509" s="2" t="s">
        <v>410</v>
      </c>
      <c r="D509" s="2" t="s">
        <v>502</v>
      </c>
      <c r="E509" s="3"/>
    </row>
    <row r="510" spans="1:5" ht="24.75" customHeight="1">
      <c r="A510" s="2">
        <v>508</v>
      </c>
      <c r="B510" s="2" t="str">
        <f>"谢清钰"</f>
        <v>谢清钰</v>
      </c>
      <c r="C510" s="2" t="s">
        <v>410</v>
      </c>
      <c r="D510" s="2" t="s">
        <v>503</v>
      </c>
      <c r="E510" s="3"/>
    </row>
    <row r="511" spans="1:5" ht="24.75" customHeight="1">
      <c r="A511" s="2">
        <v>509</v>
      </c>
      <c r="B511" s="2" t="str">
        <f>"余玉梅"</f>
        <v>余玉梅</v>
      </c>
      <c r="C511" s="2" t="s">
        <v>410</v>
      </c>
      <c r="D511" s="2" t="s">
        <v>504</v>
      </c>
      <c r="E511" s="3"/>
    </row>
    <row r="512" spans="1:5" ht="24.75" customHeight="1">
      <c r="A512" s="2">
        <v>510</v>
      </c>
      <c r="B512" s="2" t="str">
        <f>"邱净"</f>
        <v>邱净</v>
      </c>
      <c r="C512" s="2" t="s">
        <v>410</v>
      </c>
      <c r="D512" s="2" t="s">
        <v>505</v>
      </c>
      <c r="E512" s="3"/>
    </row>
    <row r="513" spans="1:5" ht="24.75" customHeight="1">
      <c r="A513" s="2">
        <v>511</v>
      </c>
      <c r="B513" s="2" t="str">
        <f>"刁云川"</f>
        <v>刁云川</v>
      </c>
      <c r="C513" s="2" t="s">
        <v>410</v>
      </c>
      <c r="D513" s="2" t="s">
        <v>506</v>
      </c>
      <c r="E513" s="3"/>
    </row>
    <row r="514" spans="1:5" ht="24.75" customHeight="1">
      <c r="A514" s="2">
        <v>512</v>
      </c>
      <c r="B514" s="2" t="str">
        <f>"王秦杰"</f>
        <v>王秦杰</v>
      </c>
      <c r="C514" s="2" t="s">
        <v>410</v>
      </c>
      <c r="D514" s="2" t="s">
        <v>507</v>
      </c>
      <c r="E514" s="3"/>
    </row>
    <row r="515" spans="1:5" ht="24.75" customHeight="1">
      <c r="A515" s="2">
        <v>513</v>
      </c>
      <c r="B515" s="2" t="str">
        <f>"白云凡"</f>
        <v>白云凡</v>
      </c>
      <c r="C515" s="2" t="s">
        <v>410</v>
      </c>
      <c r="D515" s="2" t="s">
        <v>508</v>
      </c>
      <c r="E515" s="3"/>
    </row>
    <row r="516" spans="1:5" ht="24.75" customHeight="1">
      <c r="A516" s="2">
        <v>514</v>
      </c>
      <c r="B516" s="2" t="str">
        <f>"许寰梦"</f>
        <v>许寰梦</v>
      </c>
      <c r="C516" s="2" t="s">
        <v>410</v>
      </c>
      <c r="D516" s="2" t="s">
        <v>509</v>
      </c>
      <c r="E516" s="3"/>
    </row>
    <row r="517" spans="1:5" ht="24.75" customHeight="1">
      <c r="A517" s="2">
        <v>515</v>
      </c>
      <c r="B517" s="2" t="str">
        <f>"朱惠"</f>
        <v>朱惠</v>
      </c>
      <c r="C517" s="2" t="s">
        <v>410</v>
      </c>
      <c r="D517" s="2" t="s">
        <v>510</v>
      </c>
      <c r="E517" s="3"/>
    </row>
    <row r="518" spans="1:5" ht="24.75" customHeight="1">
      <c r="A518" s="2">
        <v>516</v>
      </c>
      <c r="B518" s="2" t="str">
        <f>"陈秀琳"</f>
        <v>陈秀琳</v>
      </c>
      <c r="C518" s="2" t="s">
        <v>410</v>
      </c>
      <c r="D518" s="2" t="s">
        <v>511</v>
      </c>
      <c r="E518" s="3"/>
    </row>
    <row r="519" spans="1:5" ht="24.75" customHeight="1">
      <c r="A519" s="2">
        <v>517</v>
      </c>
      <c r="B519" s="2" t="str">
        <f>"万磊鑫"</f>
        <v>万磊鑫</v>
      </c>
      <c r="C519" s="2" t="s">
        <v>410</v>
      </c>
      <c r="D519" s="2" t="s">
        <v>512</v>
      </c>
      <c r="E519" s="3"/>
    </row>
    <row r="520" spans="1:5" ht="24.75" customHeight="1">
      <c r="A520" s="2">
        <v>518</v>
      </c>
      <c r="B520" s="2" t="str">
        <f>"朱秋蕾"</f>
        <v>朱秋蕾</v>
      </c>
      <c r="C520" s="2" t="s">
        <v>410</v>
      </c>
      <c r="D520" s="2" t="s">
        <v>513</v>
      </c>
      <c r="E520" s="3"/>
    </row>
    <row r="521" spans="1:5" ht="24.75" customHeight="1">
      <c r="A521" s="2">
        <v>519</v>
      </c>
      <c r="B521" s="2" t="str">
        <f>"吴慧迪"</f>
        <v>吴慧迪</v>
      </c>
      <c r="C521" s="2" t="s">
        <v>410</v>
      </c>
      <c r="D521" s="2" t="s">
        <v>514</v>
      </c>
      <c r="E521" s="3"/>
    </row>
    <row r="522" spans="1:5" ht="24.75" customHeight="1">
      <c r="A522" s="2">
        <v>520</v>
      </c>
      <c r="B522" s="2" t="str">
        <f>"李越山"</f>
        <v>李越山</v>
      </c>
      <c r="C522" s="2" t="s">
        <v>410</v>
      </c>
      <c r="D522" s="2" t="s">
        <v>515</v>
      </c>
      <c r="E522" s="3"/>
    </row>
    <row r="523" spans="1:5" ht="24.75" customHeight="1">
      <c r="A523" s="2">
        <v>521</v>
      </c>
      <c r="B523" s="2" t="str">
        <f>"白静"</f>
        <v>白静</v>
      </c>
      <c r="C523" s="2" t="s">
        <v>410</v>
      </c>
      <c r="D523" s="2" t="s">
        <v>516</v>
      </c>
      <c r="E523" s="3"/>
    </row>
    <row r="524" spans="1:5" ht="24.75" customHeight="1">
      <c r="A524" s="2">
        <v>522</v>
      </c>
      <c r="B524" s="2" t="str">
        <f>"周丽娇"</f>
        <v>周丽娇</v>
      </c>
      <c r="C524" s="2" t="s">
        <v>410</v>
      </c>
      <c r="D524" s="2" t="s">
        <v>517</v>
      </c>
      <c r="E524" s="3"/>
    </row>
    <row r="525" spans="1:5" ht="24.75" customHeight="1">
      <c r="A525" s="2">
        <v>523</v>
      </c>
      <c r="B525" s="2" t="str">
        <f>"张凤尧"</f>
        <v>张凤尧</v>
      </c>
      <c r="C525" s="2" t="s">
        <v>410</v>
      </c>
      <c r="D525" s="2" t="s">
        <v>518</v>
      </c>
      <c r="E525" s="3"/>
    </row>
    <row r="526" spans="1:5" ht="24.75" customHeight="1">
      <c r="A526" s="2">
        <v>524</v>
      </c>
      <c r="B526" s="2" t="str">
        <f>"黄东东"</f>
        <v>黄东东</v>
      </c>
      <c r="C526" s="2" t="s">
        <v>410</v>
      </c>
      <c r="D526" s="2" t="s">
        <v>519</v>
      </c>
      <c r="E526" s="3"/>
    </row>
    <row r="527" spans="1:5" ht="24.75" customHeight="1">
      <c r="A527" s="2">
        <v>525</v>
      </c>
      <c r="B527" s="2" t="str">
        <f>"吴维新"</f>
        <v>吴维新</v>
      </c>
      <c r="C527" s="2" t="s">
        <v>520</v>
      </c>
      <c r="D527" s="2" t="s">
        <v>521</v>
      </c>
      <c r="E527" s="3"/>
    </row>
    <row r="528" spans="1:5" ht="24.75" customHeight="1">
      <c r="A528" s="2">
        <v>526</v>
      </c>
      <c r="B528" s="2" t="str">
        <f>"张思华"</f>
        <v>张思华</v>
      </c>
      <c r="C528" s="2" t="s">
        <v>520</v>
      </c>
      <c r="D528" s="2" t="s">
        <v>522</v>
      </c>
      <c r="E528" s="3"/>
    </row>
    <row r="529" spans="1:5" ht="24.75" customHeight="1">
      <c r="A529" s="2">
        <v>527</v>
      </c>
      <c r="B529" s="2" t="str">
        <f>"吴海军"</f>
        <v>吴海军</v>
      </c>
      <c r="C529" s="2" t="s">
        <v>520</v>
      </c>
      <c r="D529" s="2" t="s">
        <v>523</v>
      </c>
      <c r="E529" s="3"/>
    </row>
    <row r="530" spans="1:5" ht="24.75" customHeight="1">
      <c r="A530" s="2">
        <v>528</v>
      </c>
      <c r="B530" s="2" t="str">
        <f>"余安洁"</f>
        <v>余安洁</v>
      </c>
      <c r="C530" s="2" t="s">
        <v>520</v>
      </c>
      <c r="D530" s="2" t="s">
        <v>524</v>
      </c>
      <c r="E530" s="3"/>
    </row>
    <row r="531" spans="1:5" ht="24.75" customHeight="1">
      <c r="A531" s="2">
        <v>529</v>
      </c>
      <c r="B531" s="2" t="str">
        <f>"陈文亮"</f>
        <v>陈文亮</v>
      </c>
      <c r="C531" s="2" t="s">
        <v>520</v>
      </c>
      <c r="D531" s="2" t="s">
        <v>525</v>
      </c>
      <c r="E531" s="3"/>
    </row>
    <row r="532" spans="1:5" ht="24.75" customHeight="1">
      <c r="A532" s="2">
        <v>530</v>
      </c>
      <c r="B532" s="2" t="str">
        <f>"杜珅源"</f>
        <v>杜珅源</v>
      </c>
      <c r="C532" s="2" t="s">
        <v>520</v>
      </c>
      <c r="D532" s="2" t="s">
        <v>526</v>
      </c>
      <c r="E532" s="3"/>
    </row>
    <row r="533" spans="1:5" ht="24.75" customHeight="1">
      <c r="A533" s="2">
        <v>531</v>
      </c>
      <c r="B533" s="2" t="str">
        <f>"杨倩倩"</f>
        <v>杨倩倩</v>
      </c>
      <c r="C533" s="2" t="s">
        <v>520</v>
      </c>
      <c r="D533" s="2" t="s">
        <v>527</v>
      </c>
      <c r="E533" s="3"/>
    </row>
    <row r="534" spans="1:5" ht="24.75" customHeight="1">
      <c r="A534" s="2">
        <v>532</v>
      </c>
      <c r="B534" s="2" t="str">
        <f>"方琴岚"</f>
        <v>方琴岚</v>
      </c>
      <c r="C534" s="2" t="s">
        <v>520</v>
      </c>
      <c r="D534" s="2" t="s">
        <v>528</v>
      </c>
      <c r="E534" s="3"/>
    </row>
    <row r="535" spans="1:5" ht="24.75" customHeight="1">
      <c r="A535" s="2">
        <v>533</v>
      </c>
      <c r="B535" s="2" t="str">
        <f>"郑巧梵"</f>
        <v>郑巧梵</v>
      </c>
      <c r="C535" s="2" t="s">
        <v>520</v>
      </c>
      <c r="D535" s="2" t="s">
        <v>529</v>
      </c>
      <c r="E535" s="3"/>
    </row>
    <row r="536" spans="1:5" ht="24.75" customHeight="1">
      <c r="A536" s="2">
        <v>534</v>
      </c>
      <c r="B536" s="2" t="str">
        <f>"钟怡"</f>
        <v>钟怡</v>
      </c>
      <c r="C536" s="2" t="s">
        <v>520</v>
      </c>
      <c r="D536" s="2" t="s">
        <v>530</v>
      </c>
      <c r="E536" s="3"/>
    </row>
    <row r="537" spans="1:5" ht="24.75" customHeight="1">
      <c r="A537" s="2">
        <v>535</v>
      </c>
      <c r="B537" s="2" t="str">
        <f>"刘晓茜"</f>
        <v>刘晓茜</v>
      </c>
      <c r="C537" s="2" t="s">
        <v>520</v>
      </c>
      <c r="D537" s="2" t="s">
        <v>531</v>
      </c>
      <c r="E537" s="3"/>
    </row>
    <row r="538" spans="1:5" ht="24.75" customHeight="1">
      <c r="A538" s="2">
        <v>536</v>
      </c>
      <c r="B538" s="2" t="str">
        <f>"吴淑意"</f>
        <v>吴淑意</v>
      </c>
      <c r="C538" s="2" t="s">
        <v>520</v>
      </c>
      <c r="D538" s="2" t="s">
        <v>532</v>
      </c>
      <c r="E538" s="3"/>
    </row>
    <row r="539" spans="1:5" ht="24.75" customHeight="1">
      <c r="A539" s="2">
        <v>537</v>
      </c>
      <c r="B539" s="2" t="str">
        <f>"林声栋"</f>
        <v>林声栋</v>
      </c>
      <c r="C539" s="2" t="s">
        <v>520</v>
      </c>
      <c r="D539" s="2" t="s">
        <v>533</v>
      </c>
      <c r="E539" s="3"/>
    </row>
    <row r="540" spans="1:5" ht="24.75" customHeight="1">
      <c r="A540" s="2">
        <v>538</v>
      </c>
      <c r="B540" s="2" t="str">
        <f>"谢敏"</f>
        <v>谢敏</v>
      </c>
      <c r="C540" s="2" t="s">
        <v>520</v>
      </c>
      <c r="D540" s="2" t="s">
        <v>534</v>
      </c>
      <c r="E540" s="3"/>
    </row>
    <row r="541" spans="1:5" ht="24.75" customHeight="1">
      <c r="A541" s="2">
        <v>539</v>
      </c>
      <c r="B541" s="2" t="str">
        <f>"罗祺"</f>
        <v>罗祺</v>
      </c>
      <c r="C541" s="2" t="s">
        <v>520</v>
      </c>
      <c r="D541" s="2" t="s">
        <v>535</v>
      </c>
      <c r="E541" s="3"/>
    </row>
    <row r="542" spans="1:5" ht="24.75" customHeight="1">
      <c r="A542" s="2">
        <v>540</v>
      </c>
      <c r="B542" s="2" t="str">
        <f>"罗紫兰"</f>
        <v>罗紫兰</v>
      </c>
      <c r="C542" s="2" t="s">
        <v>520</v>
      </c>
      <c r="D542" s="2" t="s">
        <v>536</v>
      </c>
      <c r="E542" s="3"/>
    </row>
    <row r="543" spans="1:5" ht="24.75" customHeight="1">
      <c r="A543" s="2">
        <v>541</v>
      </c>
      <c r="B543" s="2" t="str">
        <f>"赵茜茹"</f>
        <v>赵茜茹</v>
      </c>
      <c r="C543" s="2" t="s">
        <v>520</v>
      </c>
      <c r="D543" s="2" t="s">
        <v>537</v>
      </c>
      <c r="E543" s="3"/>
    </row>
    <row r="544" spans="1:5" ht="24.75" customHeight="1">
      <c r="A544" s="2">
        <v>542</v>
      </c>
      <c r="B544" s="2" t="str">
        <f>"刘思麟"</f>
        <v>刘思麟</v>
      </c>
      <c r="C544" s="2" t="s">
        <v>520</v>
      </c>
      <c r="D544" s="2" t="s">
        <v>538</v>
      </c>
      <c r="E544" s="3"/>
    </row>
    <row r="545" spans="1:5" ht="24.75" customHeight="1">
      <c r="A545" s="2">
        <v>543</v>
      </c>
      <c r="B545" s="2" t="str">
        <f>"钟云"</f>
        <v>钟云</v>
      </c>
      <c r="C545" s="2" t="s">
        <v>520</v>
      </c>
      <c r="D545" s="2" t="s">
        <v>539</v>
      </c>
      <c r="E545" s="3"/>
    </row>
    <row r="546" spans="1:5" ht="24.75" customHeight="1">
      <c r="A546" s="2">
        <v>544</v>
      </c>
      <c r="B546" s="2" t="str">
        <f>"牛文瑶"</f>
        <v>牛文瑶</v>
      </c>
      <c r="C546" s="2" t="s">
        <v>520</v>
      </c>
      <c r="D546" s="2" t="s">
        <v>540</v>
      </c>
      <c r="E546" s="3"/>
    </row>
    <row r="547" spans="1:5" ht="24.75" customHeight="1">
      <c r="A547" s="2">
        <v>545</v>
      </c>
      <c r="B547" s="2" t="str">
        <f>"羊以好"</f>
        <v>羊以好</v>
      </c>
      <c r="C547" s="2" t="s">
        <v>520</v>
      </c>
      <c r="D547" s="2" t="s">
        <v>541</v>
      </c>
      <c r="E547" s="3"/>
    </row>
    <row r="548" spans="1:5" ht="24.75" customHeight="1">
      <c r="A548" s="2">
        <v>546</v>
      </c>
      <c r="B548" s="2" t="str">
        <f>"杜燕清"</f>
        <v>杜燕清</v>
      </c>
      <c r="C548" s="2" t="s">
        <v>520</v>
      </c>
      <c r="D548" s="2" t="s">
        <v>470</v>
      </c>
      <c r="E548" s="3"/>
    </row>
    <row r="549" spans="1:5" ht="24.75" customHeight="1">
      <c r="A549" s="2">
        <v>547</v>
      </c>
      <c r="B549" s="2" t="str">
        <f>"刘鲜"</f>
        <v>刘鲜</v>
      </c>
      <c r="C549" s="2" t="s">
        <v>520</v>
      </c>
      <c r="D549" s="2" t="s">
        <v>542</v>
      </c>
      <c r="E549" s="3"/>
    </row>
    <row r="550" spans="1:5" ht="24.75" customHeight="1">
      <c r="A550" s="2">
        <v>548</v>
      </c>
      <c r="B550" s="2" t="str">
        <f>"潘金妹"</f>
        <v>潘金妹</v>
      </c>
      <c r="C550" s="2" t="s">
        <v>543</v>
      </c>
      <c r="D550" s="2" t="s">
        <v>544</v>
      </c>
      <c r="E550" s="3"/>
    </row>
    <row r="551" spans="1:5" ht="24.75" customHeight="1">
      <c r="A551" s="2">
        <v>549</v>
      </c>
      <c r="B551" s="2" t="str">
        <f>"林贻彬"</f>
        <v>林贻彬</v>
      </c>
      <c r="C551" s="2" t="s">
        <v>543</v>
      </c>
      <c r="D551" s="2" t="s">
        <v>545</v>
      </c>
      <c r="E551" s="3"/>
    </row>
    <row r="552" spans="1:5" ht="24.75" customHeight="1">
      <c r="A552" s="2">
        <v>550</v>
      </c>
      <c r="B552" s="2" t="str">
        <f>"陈莹"</f>
        <v>陈莹</v>
      </c>
      <c r="C552" s="2" t="s">
        <v>543</v>
      </c>
      <c r="D552" s="2" t="s">
        <v>546</v>
      </c>
      <c r="E552" s="3"/>
    </row>
    <row r="553" spans="1:5" ht="24.75" customHeight="1">
      <c r="A553" s="2">
        <v>551</v>
      </c>
      <c r="B553" s="2" t="str">
        <f>"符章旺"</f>
        <v>符章旺</v>
      </c>
      <c r="C553" s="2" t="s">
        <v>543</v>
      </c>
      <c r="D553" s="2" t="s">
        <v>547</v>
      </c>
      <c r="E553" s="3"/>
    </row>
    <row r="554" spans="1:5" ht="24.75" customHeight="1">
      <c r="A554" s="2">
        <v>552</v>
      </c>
      <c r="B554" s="2" t="str">
        <f>"陈月文"</f>
        <v>陈月文</v>
      </c>
      <c r="C554" s="2" t="s">
        <v>543</v>
      </c>
      <c r="D554" s="2" t="s">
        <v>548</v>
      </c>
      <c r="E554" s="3"/>
    </row>
    <row r="555" spans="1:5" ht="24.75" customHeight="1">
      <c r="A555" s="2">
        <v>553</v>
      </c>
      <c r="B555" s="2" t="str">
        <f>"陈宏杰"</f>
        <v>陈宏杰</v>
      </c>
      <c r="C555" s="2" t="s">
        <v>543</v>
      </c>
      <c r="D555" s="2" t="s">
        <v>549</v>
      </c>
      <c r="E555" s="3"/>
    </row>
    <row r="556" spans="1:5" ht="24.75" customHeight="1">
      <c r="A556" s="2">
        <v>554</v>
      </c>
      <c r="B556" s="2" t="str">
        <f>"陈彩妮"</f>
        <v>陈彩妮</v>
      </c>
      <c r="C556" s="2" t="s">
        <v>543</v>
      </c>
      <c r="D556" s="2" t="s">
        <v>550</v>
      </c>
      <c r="E556" s="3"/>
    </row>
    <row r="557" spans="1:5" ht="24.75" customHeight="1">
      <c r="A557" s="2">
        <v>555</v>
      </c>
      <c r="B557" s="2" t="str">
        <f>"陈琦"</f>
        <v>陈琦</v>
      </c>
      <c r="C557" s="2" t="s">
        <v>543</v>
      </c>
      <c r="D557" s="2" t="s">
        <v>551</v>
      </c>
      <c r="E557" s="3"/>
    </row>
    <row r="558" spans="1:5" ht="24.75" customHeight="1">
      <c r="A558" s="2">
        <v>556</v>
      </c>
      <c r="B558" s="2" t="str">
        <f>"温浩华"</f>
        <v>温浩华</v>
      </c>
      <c r="C558" s="2" t="s">
        <v>543</v>
      </c>
      <c r="D558" s="2" t="s">
        <v>552</v>
      </c>
      <c r="E558" s="3"/>
    </row>
    <row r="559" spans="1:5" ht="24.75" customHeight="1">
      <c r="A559" s="2">
        <v>557</v>
      </c>
      <c r="B559" s="2" t="str">
        <f>"何优"</f>
        <v>何优</v>
      </c>
      <c r="C559" s="2" t="s">
        <v>543</v>
      </c>
      <c r="D559" s="2" t="s">
        <v>553</v>
      </c>
      <c r="E559" s="3"/>
    </row>
    <row r="560" spans="1:5" ht="24.75" customHeight="1">
      <c r="A560" s="2">
        <v>558</v>
      </c>
      <c r="B560" s="2" t="str">
        <f>"王妹"</f>
        <v>王妹</v>
      </c>
      <c r="C560" s="2" t="s">
        <v>543</v>
      </c>
      <c r="D560" s="2" t="s">
        <v>554</v>
      </c>
      <c r="E560" s="3"/>
    </row>
    <row r="561" spans="1:5" ht="24.75" customHeight="1">
      <c r="A561" s="2">
        <v>559</v>
      </c>
      <c r="B561" s="2" t="str">
        <f>"李冠"</f>
        <v>李冠</v>
      </c>
      <c r="C561" s="2" t="s">
        <v>543</v>
      </c>
      <c r="D561" s="2" t="s">
        <v>555</v>
      </c>
      <c r="E561" s="3"/>
    </row>
    <row r="562" spans="1:5" ht="24.75" customHeight="1">
      <c r="A562" s="2">
        <v>560</v>
      </c>
      <c r="B562" s="2" t="str">
        <f>"黎沛雯"</f>
        <v>黎沛雯</v>
      </c>
      <c r="C562" s="2" t="s">
        <v>543</v>
      </c>
      <c r="D562" s="2" t="s">
        <v>556</v>
      </c>
      <c r="E562" s="3"/>
    </row>
    <row r="563" spans="1:5" ht="24.75" customHeight="1">
      <c r="A563" s="2">
        <v>561</v>
      </c>
      <c r="B563" s="2" t="str">
        <f>"王华铎"</f>
        <v>王华铎</v>
      </c>
      <c r="C563" s="2" t="s">
        <v>543</v>
      </c>
      <c r="D563" s="2" t="s">
        <v>557</v>
      </c>
      <c r="E563" s="3"/>
    </row>
    <row r="564" spans="1:5" ht="24.75" customHeight="1">
      <c r="A564" s="2">
        <v>562</v>
      </c>
      <c r="B564" s="2" t="str">
        <f>"文静"</f>
        <v>文静</v>
      </c>
      <c r="C564" s="2" t="s">
        <v>543</v>
      </c>
      <c r="D564" s="2" t="s">
        <v>558</v>
      </c>
      <c r="E564" s="3"/>
    </row>
    <row r="565" spans="1:5" ht="24.75" customHeight="1">
      <c r="A565" s="2">
        <v>563</v>
      </c>
      <c r="B565" s="2" t="str">
        <f>"高丙竣"</f>
        <v>高丙竣</v>
      </c>
      <c r="C565" s="2" t="s">
        <v>543</v>
      </c>
      <c r="D565" s="2" t="s">
        <v>559</v>
      </c>
      <c r="E565" s="3"/>
    </row>
    <row r="566" spans="1:5" ht="24.75" customHeight="1">
      <c r="A566" s="2">
        <v>564</v>
      </c>
      <c r="B566" s="2" t="str">
        <f>"黎灵柯"</f>
        <v>黎灵柯</v>
      </c>
      <c r="C566" s="2" t="s">
        <v>543</v>
      </c>
      <c r="D566" s="2" t="s">
        <v>560</v>
      </c>
      <c r="E566" s="3"/>
    </row>
    <row r="567" spans="1:5" ht="24.75" customHeight="1">
      <c r="A567" s="2">
        <v>565</v>
      </c>
      <c r="B567" s="2" t="str">
        <f>"迪丽拜尔·克于木"</f>
        <v>迪丽拜尔·克于木</v>
      </c>
      <c r="C567" s="2" t="s">
        <v>543</v>
      </c>
      <c r="D567" s="2" t="s">
        <v>561</v>
      </c>
      <c r="E567" s="3"/>
    </row>
    <row r="568" spans="1:5" ht="24.75" customHeight="1">
      <c r="A568" s="2">
        <v>566</v>
      </c>
      <c r="B568" s="2" t="str">
        <f>"唐舒欣"</f>
        <v>唐舒欣</v>
      </c>
      <c r="C568" s="2" t="s">
        <v>543</v>
      </c>
      <c r="D568" s="2" t="s">
        <v>562</v>
      </c>
      <c r="E568" s="3"/>
    </row>
    <row r="569" spans="1:5" ht="24.75" customHeight="1">
      <c r="A569" s="2">
        <v>567</v>
      </c>
      <c r="B569" s="2" t="str">
        <f>"王叶"</f>
        <v>王叶</v>
      </c>
      <c r="C569" s="2" t="s">
        <v>543</v>
      </c>
      <c r="D569" s="2" t="s">
        <v>563</v>
      </c>
      <c r="E569" s="3"/>
    </row>
    <row r="570" spans="1:5" ht="24.75" customHeight="1">
      <c r="A570" s="2">
        <v>568</v>
      </c>
      <c r="B570" s="2" t="str">
        <f>"朱清莹"</f>
        <v>朱清莹</v>
      </c>
      <c r="C570" s="2" t="s">
        <v>543</v>
      </c>
      <c r="D570" s="2" t="s">
        <v>564</v>
      </c>
      <c r="E570" s="3"/>
    </row>
    <row r="571" spans="1:5" ht="24.75" customHeight="1">
      <c r="A571" s="2">
        <v>569</v>
      </c>
      <c r="B571" s="2" t="str">
        <f>"任梦圆"</f>
        <v>任梦圆</v>
      </c>
      <c r="C571" s="2" t="s">
        <v>543</v>
      </c>
      <c r="D571" s="2" t="s">
        <v>565</v>
      </c>
      <c r="E571" s="3"/>
    </row>
    <row r="572" spans="1:5" ht="24.75" customHeight="1">
      <c r="A572" s="2">
        <v>570</v>
      </c>
      <c r="B572" s="2" t="str">
        <f>"钟华敏"</f>
        <v>钟华敏</v>
      </c>
      <c r="C572" s="2" t="s">
        <v>543</v>
      </c>
      <c r="D572" s="2" t="s">
        <v>566</v>
      </c>
      <c r="E572" s="3"/>
    </row>
    <row r="573" spans="1:5" ht="24.75" customHeight="1">
      <c r="A573" s="2">
        <v>571</v>
      </c>
      <c r="B573" s="2" t="str">
        <f>"李硕"</f>
        <v>李硕</v>
      </c>
      <c r="C573" s="2" t="s">
        <v>543</v>
      </c>
      <c r="D573" s="2" t="s">
        <v>567</v>
      </c>
      <c r="E573" s="3"/>
    </row>
    <row r="574" spans="1:5" ht="24.75" customHeight="1">
      <c r="A574" s="2">
        <v>572</v>
      </c>
      <c r="B574" s="2" t="str">
        <f>"王星予"</f>
        <v>王星予</v>
      </c>
      <c r="C574" s="2" t="s">
        <v>543</v>
      </c>
      <c r="D574" s="2" t="s">
        <v>568</v>
      </c>
      <c r="E574" s="3"/>
    </row>
    <row r="575" spans="1:5" ht="24.75" customHeight="1">
      <c r="A575" s="2">
        <v>573</v>
      </c>
      <c r="B575" s="2" t="str">
        <f>"曾乙秦"</f>
        <v>曾乙秦</v>
      </c>
      <c r="C575" s="2" t="s">
        <v>543</v>
      </c>
      <c r="D575" s="2" t="s">
        <v>569</v>
      </c>
      <c r="E575" s="3"/>
    </row>
    <row r="576" spans="1:5" ht="24.75" customHeight="1">
      <c r="A576" s="2">
        <v>574</v>
      </c>
      <c r="B576" s="2" t="str">
        <f>"吴毓禄"</f>
        <v>吴毓禄</v>
      </c>
      <c r="C576" s="2" t="s">
        <v>543</v>
      </c>
      <c r="D576" s="2" t="s">
        <v>570</v>
      </c>
      <c r="E576" s="3"/>
    </row>
    <row r="577" spans="1:5" ht="24.75" customHeight="1">
      <c r="A577" s="2">
        <v>575</v>
      </c>
      <c r="B577" s="2" t="str">
        <f>"林毓"</f>
        <v>林毓</v>
      </c>
      <c r="C577" s="2" t="s">
        <v>543</v>
      </c>
      <c r="D577" s="2" t="s">
        <v>571</v>
      </c>
      <c r="E577" s="3"/>
    </row>
    <row r="578" spans="1:5" ht="24.75" customHeight="1">
      <c r="A578" s="2">
        <v>576</v>
      </c>
      <c r="B578" s="2" t="str">
        <f>"张颖"</f>
        <v>张颖</v>
      </c>
      <c r="C578" s="2" t="s">
        <v>543</v>
      </c>
      <c r="D578" s="2" t="s">
        <v>572</v>
      </c>
      <c r="E578" s="3"/>
    </row>
    <row r="579" spans="1:5" ht="24.75" customHeight="1">
      <c r="A579" s="2">
        <v>577</v>
      </c>
      <c r="B579" s="2" t="str">
        <f>"张丽佳"</f>
        <v>张丽佳</v>
      </c>
      <c r="C579" s="2" t="s">
        <v>543</v>
      </c>
      <c r="D579" s="2" t="s">
        <v>573</v>
      </c>
      <c r="E579" s="3"/>
    </row>
    <row r="580" spans="1:5" ht="24.75" customHeight="1">
      <c r="A580" s="2">
        <v>578</v>
      </c>
      <c r="B580" s="2" t="str">
        <f>"卞珍婷"</f>
        <v>卞珍婷</v>
      </c>
      <c r="C580" s="2" t="s">
        <v>543</v>
      </c>
      <c r="D580" s="2" t="s">
        <v>574</v>
      </c>
      <c r="E580" s="3"/>
    </row>
    <row r="581" spans="1:5" ht="24.75" customHeight="1">
      <c r="A581" s="2">
        <v>579</v>
      </c>
      <c r="B581" s="2" t="str">
        <f>"李华曦"</f>
        <v>李华曦</v>
      </c>
      <c r="C581" s="2" t="s">
        <v>543</v>
      </c>
      <c r="D581" s="2" t="s">
        <v>575</v>
      </c>
      <c r="E581" s="3"/>
    </row>
    <row r="582" spans="1:5" ht="24.75" customHeight="1">
      <c r="A582" s="2">
        <v>580</v>
      </c>
      <c r="B582" s="2" t="str">
        <f>"陈丽妹"</f>
        <v>陈丽妹</v>
      </c>
      <c r="C582" s="2" t="s">
        <v>543</v>
      </c>
      <c r="D582" s="2" t="s">
        <v>576</v>
      </c>
      <c r="E582" s="3"/>
    </row>
    <row r="583" spans="1:5" ht="24.75" customHeight="1">
      <c r="A583" s="2">
        <v>581</v>
      </c>
      <c r="B583" s="2" t="str">
        <f>"叶彤"</f>
        <v>叶彤</v>
      </c>
      <c r="C583" s="2" t="s">
        <v>543</v>
      </c>
      <c r="D583" s="2" t="s">
        <v>577</v>
      </c>
      <c r="E583" s="3"/>
    </row>
    <row r="584" spans="1:5" ht="24.75" customHeight="1">
      <c r="A584" s="2">
        <v>582</v>
      </c>
      <c r="B584" s="2" t="str">
        <f>"李乔"</f>
        <v>李乔</v>
      </c>
      <c r="C584" s="2" t="s">
        <v>543</v>
      </c>
      <c r="D584" s="2" t="s">
        <v>578</v>
      </c>
      <c r="E584" s="3"/>
    </row>
    <row r="585" spans="1:5" ht="24.75" customHeight="1">
      <c r="A585" s="2">
        <v>583</v>
      </c>
      <c r="B585" s="2" t="str">
        <f>"吴惠英"</f>
        <v>吴惠英</v>
      </c>
      <c r="C585" s="2" t="s">
        <v>543</v>
      </c>
      <c r="D585" s="2" t="s">
        <v>579</v>
      </c>
      <c r="E585" s="3"/>
    </row>
    <row r="586" spans="1:5" ht="24.75" customHeight="1">
      <c r="A586" s="2">
        <v>584</v>
      </c>
      <c r="B586" s="2" t="str">
        <f>"张玉婷"</f>
        <v>张玉婷</v>
      </c>
      <c r="C586" s="2" t="s">
        <v>543</v>
      </c>
      <c r="D586" s="2" t="s">
        <v>580</v>
      </c>
      <c r="E586" s="3"/>
    </row>
    <row r="587" spans="1:5" ht="24.75" customHeight="1">
      <c r="A587" s="2">
        <v>585</v>
      </c>
      <c r="B587" s="2" t="str">
        <f>"王磊鑫"</f>
        <v>王磊鑫</v>
      </c>
      <c r="C587" s="2" t="s">
        <v>543</v>
      </c>
      <c r="D587" s="2" t="s">
        <v>581</v>
      </c>
      <c r="E587" s="3"/>
    </row>
    <row r="588" spans="1:5" ht="24.75" customHeight="1">
      <c r="A588" s="2">
        <v>586</v>
      </c>
      <c r="B588" s="2" t="str">
        <f>"林馥芸"</f>
        <v>林馥芸</v>
      </c>
      <c r="C588" s="2" t="s">
        <v>543</v>
      </c>
      <c r="D588" s="2" t="s">
        <v>568</v>
      </c>
      <c r="E588" s="3"/>
    </row>
    <row r="589" spans="1:5" ht="24.75" customHeight="1">
      <c r="A589" s="2">
        <v>587</v>
      </c>
      <c r="B589" s="2" t="str">
        <f>"李王玲"</f>
        <v>李王玲</v>
      </c>
      <c r="C589" s="2" t="s">
        <v>543</v>
      </c>
      <c r="D589" s="2" t="s">
        <v>582</v>
      </c>
      <c r="E589" s="3"/>
    </row>
    <row r="590" spans="1:5" ht="24.75" customHeight="1">
      <c r="A590" s="2">
        <v>588</v>
      </c>
      <c r="B590" s="2" t="str">
        <f>"朱秋柏"</f>
        <v>朱秋柏</v>
      </c>
      <c r="C590" s="2" t="s">
        <v>543</v>
      </c>
      <c r="D590" s="2" t="s">
        <v>583</v>
      </c>
      <c r="E590" s="3"/>
    </row>
    <row r="591" spans="1:5" ht="24.75" customHeight="1">
      <c r="A591" s="2">
        <v>589</v>
      </c>
      <c r="B591" s="2" t="str">
        <f>"邱名鼎"</f>
        <v>邱名鼎</v>
      </c>
      <c r="C591" s="2" t="s">
        <v>543</v>
      </c>
      <c r="D591" s="2" t="s">
        <v>584</v>
      </c>
      <c r="E591" s="3"/>
    </row>
    <row r="592" spans="1:5" ht="24.75" customHeight="1">
      <c r="A592" s="2">
        <v>590</v>
      </c>
      <c r="B592" s="2" t="str">
        <f>"羿文璐"</f>
        <v>羿文璐</v>
      </c>
      <c r="C592" s="2" t="s">
        <v>543</v>
      </c>
      <c r="D592" s="2" t="s">
        <v>585</v>
      </c>
      <c r="E592" s="3"/>
    </row>
    <row r="593" spans="1:5" ht="24.75" customHeight="1">
      <c r="A593" s="2">
        <v>591</v>
      </c>
      <c r="B593" s="2" t="str">
        <f>"王丽红"</f>
        <v>王丽红</v>
      </c>
      <c r="C593" s="2" t="s">
        <v>543</v>
      </c>
      <c r="D593" s="2" t="s">
        <v>586</v>
      </c>
      <c r="E593" s="3"/>
    </row>
    <row r="594" spans="1:5" ht="24.75" customHeight="1">
      <c r="A594" s="2">
        <v>592</v>
      </c>
      <c r="B594" s="2" t="str">
        <f>"朱晓红"</f>
        <v>朱晓红</v>
      </c>
      <c r="C594" s="2" t="s">
        <v>543</v>
      </c>
      <c r="D594" s="2" t="s">
        <v>587</v>
      </c>
      <c r="E594" s="3"/>
    </row>
    <row r="595" spans="1:5" ht="24.75" customHeight="1">
      <c r="A595" s="2">
        <v>593</v>
      </c>
      <c r="B595" s="2" t="str">
        <f>"陈海俊"</f>
        <v>陈海俊</v>
      </c>
      <c r="C595" s="2" t="s">
        <v>543</v>
      </c>
      <c r="D595" s="2" t="s">
        <v>588</v>
      </c>
      <c r="E595" s="3"/>
    </row>
    <row r="596" spans="1:5" ht="24.75" customHeight="1">
      <c r="A596" s="2">
        <v>594</v>
      </c>
      <c r="B596" s="2" t="str">
        <f>"沈明远"</f>
        <v>沈明远</v>
      </c>
      <c r="C596" s="2" t="s">
        <v>543</v>
      </c>
      <c r="D596" s="2" t="s">
        <v>589</v>
      </c>
      <c r="E596" s="3"/>
    </row>
    <row r="597" spans="1:5" ht="24.75" customHeight="1">
      <c r="A597" s="2">
        <v>595</v>
      </c>
      <c r="B597" s="2" t="str">
        <f>"林马珍"</f>
        <v>林马珍</v>
      </c>
      <c r="C597" s="2" t="s">
        <v>543</v>
      </c>
      <c r="D597" s="2" t="s">
        <v>590</v>
      </c>
      <c r="E597" s="3"/>
    </row>
    <row r="598" spans="1:5" ht="24.75" customHeight="1">
      <c r="A598" s="2">
        <v>596</v>
      </c>
      <c r="B598" s="2" t="str">
        <f>"邓林青"</f>
        <v>邓林青</v>
      </c>
      <c r="C598" s="2" t="s">
        <v>591</v>
      </c>
      <c r="D598" s="2" t="s">
        <v>592</v>
      </c>
      <c r="E598" s="3"/>
    </row>
    <row r="599" spans="1:5" ht="24.75" customHeight="1">
      <c r="A599" s="2">
        <v>597</v>
      </c>
      <c r="B599" s="2" t="str">
        <f>"吴春燕"</f>
        <v>吴春燕</v>
      </c>
      <c r="C599" s="2" t="s">
        <v>591</v>
      </c>
      <c r="D599" s="2" t="s">
        <v>593</v>
      </c>
      <c r="E599" s="3"/>
    </row>
    <row r="600" spans="1:5" ht="24.75" customHeight="1">
      <c r="A600" s="2">
        <v>598</v>
      </c>
      <c r="B600" s="2" t="str">
        <f>"黄一帆"</f>
        <v>黄一帆</v>
      </c>
      <c r="C600" s="2" t="s">
        <v>591</v>
      </c>
      <c r="D600" s="2" t="s">
        <v>594</v>
      </c>
      <c r="E600" s="3"/>
    </row>
    <row r="601" spans="1:5" ht="24.75" customHeight="1">
      <c r="A601" s="2">
        <v>599</v>
      </c>
      <c r="B601" s="2" t="str">
        <f>"王舒凌"</f>
        <v>王舒凌</v>
      </c>
      <c r="C601" s="2" t="s">
        <v>591</v>
      </c>
      <c r="D601" s="2" t="s">
        <v>108</v>
      </c>
      <c r="E601" s="3"/>
    </row>
    <row r="602" spans="1:5" ht="24.75" customHeight="1">
      <c r="A602" s="2">
        <v>600</v>
      </c>
      <c r="B602" s="2" t="str">
        <f>"秦井霞"</f>
        <v>秦井霞</v>
      </c>
      <c r="C602" s="2" t="s">
        <v>591</v>
      </c>
      <c r="D602" s="2" t="s">
        <v>595</v>
      </c>
      <c r="E602" s="3"/>
    </row>
    <row r="603" spans="1:5" ht="24.75" customHeight="1">
      <c r="A603" s="2">
        <v>601</v>
      </c>
      <c r="B603" s="2" t="str">
        <f>"严东"</f>
        <v>严东</v>
      </c>
      <c r="C603" s="2" t="s">
        <v>591</v>
      </c>
      <c r="D603" s="2" t="s">
        <v>596</v>
      </c>
      <c r="E603" s="3"/>
    </row>
    <row r="604" spans="1:5" ht="24.75" customHeight="1">
      <c r="A604" s="2">
        <v>602</v>
      </c>
      <c r="B604" s="2" t="str">
        <f>"蒋帅"</f>
        <v>蒋帅</v>
      </c>
      <c r="C604" s="2" t="s">
        <v>591</v>
      </c>
      <c r="D604" s="2" t="s">
        <v>597</v>
      </c>
      <c r="E604" s="3"/>
    </row>
    <row r="605" spans="1:5" ht="24.75" customHeight="1">
      <c r="A605" s="2">
        <v>603</v>
      </c>
      <c r="B605" s="2" t="str">
        <f>"范智勇"</f>
        <v>范智勇</v>
      </c>
      <c r="C605" s="2" t="s">
        <v>591</v>
      </c>
      <c r="D605" s="2" t="s">
        <v>598</v>
      </c>
      <c r="E605" s="3"/>
    </row>
    <row r="606" spans="1:5" ht="24.75" customHeight="1">
      <c r="A606" s="2">
        <v>604</v>
      </c>
      <c r="B606" s="2" t="str">
        <f>"林明飞"</f>
        <v>林明飞</v>
      </c>
      <c r="C606" s="2" t="s">
        <v>591</v>
      </c>
      <c r="D606" s="2" t="s">
        <v>599</v>
      </c>
      <c r="E606" s="3"/>
    </row>
    <row r="607" spans="1:5" ht="24.75" customHeight="1">
      <c r="A607" s="2">
        <v>605</v>
      </c>
      <c r="B607" s="2" t="str">
        <f>"察斯娜"</f>
        <v>察斯娜</v>
      </c>
      <c r="C607" s="2" t="s">
        <v>591</v>
      </c>
      <c r="D607" s="2" t="s">
        <v>600</v>
      </c>
      <c r="E607" s="3"/>
    </row>
    <row r="608" spans="1:5" ht="24.75" customHeight="1">
      <c r="A608" s="2">
        <v>606</v>
      </c>
      <c r="B608" s="2" t="str">
        <f>"郑一晗"</f>
        <v>郑一晗</v>
      </c>
      <c r="C608" s="2" t="s">
        <v>591</v>
      </c>
      <c r="D608" s="2" t="s">
        <v>601</v>
      </c>
      <c r="E608" s="3"/>
    </row>
    <row r="609" spans="1:5" ht="24.75" customHeight="1">
      <c r="A609" s="2">
        <v>607</v>
      </c>
      <c r="B609" s="2" t="str">
        <f>"曾学香"</f>
        <v>曾学香</v>
      </c>
      <c r="C609" s="2" t="s">
        <v>591</v>
      </c>
      <c r="D609" s="2" t="s">
        <v>602</v>
      </c>
      <c r="E609" s="3"/>
    </row>
    <row r="610" spans="1:5" ht="24.75" customHeight="1">
      <c r="A610" s="2">
        <v>608</v>
      </c>
      <c r="B610" s="2" t="str">
        <f>"黎品良"</f>
        <v>黎品良</v>
      </c>
      <c r="C610" s="2" t="s">
        <v>591</v>
      </c>
      <c r="D610" s="2" t="s">
        <v>603</v>
      </c>
      <c r="E610" s="3"/>
    </row>
    <row r="611" spans="1:5" ht="24.75" customHeight="1">
      <c r="A611" s="2">
        <v>609</v>
      </c>
      <c r="B611" s="2" t="str">
        <f>"王琪文"</f>
        <v>王琪文</v>
      </c>
      <c r="C611" s="2" t="s">
        <v>591</v>
      </c>
      <c r="D611" s="2" t="s">
        <v>604</v>
      </c>
      <c r="E611" s="3"/>
    </row>
    <row r="612" spans="1:5" ht="24.75" customHeight="1">
      <c r="A612" s="2">
        <v>610</v>
      </c>
      <c r="B612" s="2" t="str">
        <f>"吴娟"</f>
        <v>吴娟</v>
      </c>
      <c r="C612" s="2" t="s">
        <v>591</v>
      </c>
      <c r="D612" s="2" t="s">
        <v>605</v>
      </c>
      <c r="E612" s="3"/>
    </row>
    <row r="613" spans="1:5" ht="24.75" customHeight="1">
      <c r="A613" s="2">
        <v>611</v>
      </c>
      <c r="B613" s="2" t="str">
        <f>"石磊"</f>
        <v>石磊</v>
      </c>
      <c r="C613" s="2" t="s">
        <v>591</v>
      </c>
      <c r="D613" s="2" t="s">
        <v>606</v>
      </c>
      <c r="E613" s="3"/>
    </row>
    <row r="614" spans="1:5" ht="24.75" customHeight="1">
      <c r="A614" s="2">
        <v>612</v>
      </c>
      <c r="B614" s="2" t="str">
        <f>"崔博炜"</f>
        <v>崔博炜</v>
      </c>
      <c r="C614" s="2" t="s">
        <v>591</v>
      </c>
      <c r="D614" s="2" t="s">
        <v>607</v>
      </c>
      <c r="E614" s="3"/>
    </row>
    <row r="615" spans="1:5" ht="24.75" customHeight="1">
      <c r="A615" s="2">
        <v>613</v>
      </c>
      <c r="B615" s="2" t="str">
        <f>"韦迪健"</f>
        <v>韦迪健</v>
      </c>
      <c r="C615" s="2" t="s">
        <v>591</v>
      </c>
      <c r="D615" s="2" t="s">
        <v>608</v>
      </c>
      <c r="E615" s="3"/>
    </row>
    <row r="616" spans="1:5" ht="24.75" customHeight="1">
      <c r="A616" s="2">
        <v>614</v>
      </c>
      <c r="B616" s="2" t="str">
        <f>"盛运会"</f>
        <v>盛运会</v>
      </c>
      <c r="C616" s="2" t="s">
        <v>591</v>
      </c>
      <c r="D616" s="2" t="s">
        <v>603</v>
      </c>
      <c r="E616" s="3"/>
    </row>
    <row r="617" spans="1:5" ht="24.75" customHeight="1">
      <c r="A617" s="2">
        <v>615</v>
      </c>
      <c r="B617" s="2" t="str">
        <f>"吴志鹏"</f>
        <v>吴志鹏</v>
      </c>
      <c r="C617" s="2" t="s">
        <v>591</v>
      </c>
      <c r="D617" s="2" t="s">
        <v>609</v>
      </c>
      <c r="E617" s="3"/>
    </row>
    <row r="618" spans="1:5" ht="24.75" customHeight="1">
      <c r="A618" s="2">
        <v>616</v>
      </c>
      <c r="B618" s="2" t="str">
        <f>"刘超铭"</f>
        <v>刘超铭</v>
      </c>
      <c r="C618" s="2" t="s">
        <v>591</v>
      </c>
      <c r="D618" s="2" t="s">
        <v>610</v>
      </c>
      <c r="E618" s="3"/>
    </row>
    <row r="619" spans="1:5" ht="24.75" customHeight="1">
      <c r="A619" s="2">
        <v>617</v>
      </c>
      <c r="B619" s="2" t="str">
        <f>"吴耿"</f>
        <v>吴耿</v>
      </c>
      <c r="C619" s="2" t="s">
        <v>591</v>
      </c>
      <c r="D619" s="2" t="s">
        <v>611</v>
      </c>
      <c r="E619" s="3"/>
    </row>
    <row r="620" spans="1:5" ht="24.75" customHeight="1">
      <c r="A620" s="2">
        <v>618</v>
      </c>
      <c r="B620" s="2" t="str">
        <f>"莫兰英"</f>
        <v>莫兰英</v>
      </c>
      <c r="C620" s="2" t="s">
        <v>591</v>
      </c>
      <c r="D620" s="2" t="s">
        <v>612</v>
      </c>
      <c r="E620" s="3"/>
    </row>
    <row r="621" spans="1:5" ht="24.75" customHeight="1">
      <c r="A621" s="2">
        <v>619</v>
      </c>
      <c r="B621" s="2" t="str">
        <f>"林冰"</f>
        <v>林冰</v>
      </c>
      <c r="C621" s="2" t="s">
        <v>591</v>
      </c>
      <c r="D621" s="2" t="s">
        <v>613</v>
      </c>
      <c r="E621" s="3"/>
    </row>
    <row r="622" spans="1:5" ht="24.75" customHeight="1">
      <c r="A622" s="2">
        <v>620</v>
      </c>
      <c r="B622" s="2" t="str">
        <f>"梁玉妹"</f>
        <v>梁玉妹</v>
      </c>
      <c r="C622" s="2" t="s">
        <v>591</v>
      </c>
      <c r="D622" s="2" t="s">
        <v>614</v>
      </c>
      <c r="E622" s="3"/>
    </row>
    <row r="623" spans="1:5" ht="24.75" customHeight="1">
      <c r="A623" s="2">
        <v>621</v>
      </c>
      <c r="B623" s="2" t="str">
        <f>"王国威"</f>
        <v>王国威</v>
      </c>
      <c r="C623" s="2" t="s">
        <v>591</v>
      </c>
      <c r="D623" s="2" t="s">
        <v>615</v>
      </c>
      <c r="E623" s="3"/>
    </row>
    <row r="624" spans="1:5" ht="24.75" customHeight="1">
      <c r="A624" s="2">
        <v>622</v>
      </c>
      <c r="B624" s="2" t="str">
        <f>"黄艳"</f>
        <v>黄艳</v>
      </c>
      <c r="C624" s="2" t="s">
        <v>591</v>
      </c>
      <c r="D624" s="2" t="s">
        <v>616</v>
      </c>
      <c r="E624" s="3"/>
    </row>
    <row r="625" spans="1:5" ht="24.75" customHeight="1">
      <c r="A625" s="2">
        <v>623</v>
      </c>
      <c r="B625" s="2" t="str">
        <f>"王菁"</f>
        <v>王菁</v>
      </c>
      <c r="C625" s="2" t="s">
        <v>591</v>
      </c>
      <c r="D625" s="2" t="s">
        <v>617</v>
      </c>
      <c r="E625" s="3"/>
    </row>
    <row r="626" spans="1:5" ht="24.75" customHeight="1">
      <c r="A626" s="2">
        <v>624</v>
      </c>
      <c r="B626" s="2" t="str">
        <f>"符芳蔚"</f>
        <v>符芳蔚</v>
      </c>
      <c r="C626" s="2" t="s">
        <v>591</v>
      </c>
      <c r="D626" s="2" t="s">
        <v>618</v>
      </c>
      <c r="E626" s="3"/>
    </row>
    <row r="627" spans="1:5" ht="24.75" customHeight="1">
      <c r="A627" s="2">
        <v>625</v>
      </c>
      <c r="B627" s="2" t="str">
        <f>"吕鹏"</f>
        <v>吕鹏</v>
      </c>
      <c r="C627" s="2" t="s">
        <v>591</v>
      </c>
      <c r="D627" s="2" t="s">
        <v>619</v>
      </c>
      <c r="E627" s="3"/>
    </row>
    <row r="628" spans="1:5" ht="24.75" customHeight="1">
      <c r="A628" s="2">
        <v>626</v>
      </c>
      <c r="B628" s="2" t="str">
        <f>"孙先渠"</f>
        <v>孙先渠</v>
      </c>
      <c r="C628" s="2" t="s">
        <v>591</v>
      </c>
      <c r="D628" s="2" t="s">
        <v>620</v>
      </c>
      <c r="E628" s="3"/>
    </row>
    <row r="629" spans="1:5" ht="24.75" customHeight="1">
      <c r="A629" s="2">
        <v>627</v>
      </c>
      <c r="B629" s="2" t="str">
        <f>"吴小波"</f>
        <v>吴小波</v>
      </c>
      <c r="C629" s="2" t="s">
        <v>591</v>
      </c>
      <c r="D629" s="2" t="s">
        <v>621</v>
      </c>
      <c r="E629" s="3"/>
    </row>
    <row r="630" spans="1:5" ht="24.75" customHeight="1">
      <c r="A630" s="2">
        <v>628</v>
      </c>
      <c r="B630" s="2" t="str">
        <f>"孙有干"</f>
        <v>孙有干</v>
      </c>
      <c r="C630" s="2" t="s">
        <v>591</v>
      </c>
      <c r="D630" s="2" t="s">
        <v>622</v>
      </c>
      <c r="E630" s="3"/>
    </row>
    <row r="631" spans="1:5" ht="24.75" customHeight="1">
      <c r="A631" s="2">
        <v>629</v>
      </c>
      <c r="B631" s="2" t="str">
        <f>"程道植"</f>
        <v>程道植</v>
      </c>
      <c r="C631" s="2" t="s">
        <v>591</v>
      </c>
      <c r="D631" s="2" t="s">
        <v>623</v>
      </c>
      <c r="E631" s="3"/>
    </row>
    <row r="632" spans="1:5" ht="24.75" customHeight="1">
      <c r="A632" s="2">
        <v>630</v>
      </c>
      <c r="B632" s="2" t="str">
        <f>"王志强"</f>
        <v>王志强</v>
      </c>
      <c r="C632" s="2" t="s">
        <v>591</v>
      </c>
      <c r="D632" s="2" t="s">
        <v>624</v>
      </c>
      <c r="E632" s="3"/>
    </row>
    <row r="633" spans="1:5" ht="24.75" customHeight="1">
      <c r="A633" s="2">
        <v>631</v>
      </c>
      <c r="B633" s="2" t="str">
        <f>"杨志伟"</f>
        <v>杨志伟</v>
      </c>
      <c r="C633" s="2" t="s">
        <v>591</v>
      </c>
      <c r="D633" s="2" t="s">
        <v>625</v>
      </c>
      <c r="E633" s="3"/>
    </row>
    <row r="634" spans="1:5" ht="24.75" customHeight="1">
      <c r="A634" s="2">
        <v>632</v>
      </c>
      <c r="B634" s="2" t="str">
        <f>"陈丽纯"</f>
        <v>陈丽纯</v>
      </c>
      <c r="C634" s="2" t="s">
        <v>591</v>
      </c>
      <c r="D634" s="2" t="s">
        <v>626</v>
      </c>
      <c r="E634" s="3"/>
    </row>
    <row r="635" spans="1:5" ht="24.75" customHeight="1">
      <c r="A635" s="2">
        <v>633</v>
      </c>
      <c r="B635" s="2" t="str">
        <f>"符贵家"</f>
        <v>符贵家</v>
      </c>
      <c r="C635" s="2" t="s">
        <v>591</v>
      </c>
      <c r="D635" s="2" t="s">
        <v>627</v>
      </c>
      <c r="E635" s="3"/>
    </row>
    <row r="636" spans="1:5" ht="24.75" customHeight="1">
      <c r="A636" s="2">
        <v>634</v>
      </c>
      <c r="B636" s="2" t="str">
        <f>"林芳优"</f>
        <v>林芳优</v>
      </c>
      <c r="C636" s="2" t="s">
        <v>591</v>
      </c>
      <c r="D636" s="2" t="s">
        <v>628</v>
      </c>
      <c r="E636" s="3"/>
    </row>
    <row r="637" spans="1:5" ht="24.75" customHeight="1">
      <c r="A637" s="2">
        <v>635</v>
      </c>
      <c r="B637" s="2" t="str">
        <f>"张余超"</f>
        <v>张余超</v>
      </c>
      <c r="C637" s="2" t="s">
        <v>591</v>
      </c>
      <c r="D637" s="2" t="s">
        <v>629</v>
      </c>
      <c r="E637" s="3"/>
    </row>
    <row r="638" spans="1:5" ht="24.75" customHeight="1">
      <c r="A638" s="2">
        <v>636</v>
      </c>
      <c r="B638" s="2" t="str">
        <f>"杨双"</f>
        <v>杨双</v>
      </c>
      <c r="C638" s="2" t="s">
        <v>591</v>
      </c>
      <c r="D638" s="2" t="s">
        <v>630</v>
      </c>
      <c r="E638" s="3"/>
    </row>
    <row r="639" spans="1:5" ht="24.75" customHeight="1">
      <c r="A639" s="2">
        <v>637</v>
      </c>
      <c r="B639" s="2" t="str">
        <f>"吴多文"</f>
        <v>吴多文</v>
      </c>
      <c r="C639" s="2" t="s">
        <v>591</v>
      </c>
      <c r="D639" s="2" t="s">
        <v>631</v>
      </c>
      <c r="E639" s="3"/>
    </row>
    <row r="640" spans="1:5" ht="24.75" customHeight="1">
      <c r="A640" s="2">
        <v>638</v>
      </c>
      <c r="B640" s="2" t="str">
        <f>"王钰淇"</f>
        <v>王钰淇</v>
      </c>
      <c r="C640" s="2" t="s">
        <v>591</v>
      </c>
      <c r="D640" s="2" t="s">
        <v>632</v>
      </c>
      <c r="E640" s="3"/>
    </row>
    <row r="641" spans="1:5" ht="24.75" customHeight="1">
      <c r="A641" s="2">
        <v>639</v>
      </c>
      <c r="B641" s="2" t="str">
        <f>"刘雪华"</f>
        <v>刘雪华</v>
      </c>
      <c r="C641" s="2" t="s">
        <v>591</v>
      </c>
      <c r="D641" s="2" t="s">
        <v>633</v>
      </c>
      <c r="E641" s="3"/>
    </row>
    <row r="642" spans="1:5" ht="24.75" customHeight="1">
      <c r="A642" s="2">
        <v>640</v>
      </c>
      <c r="B642" s="2" t="str">
        <f>"邝超"</f>
        <v>邝超</v>
      </c>
      <c r="C642" s="2" t="s">
        <v>591</v>
      </c>
      <c r="D642" s="2" t="s">
        <v>634</v>
      </c>
      <c r="E642" s="3"/>
    </row>
    <row r="643" spans="1:5" ht="24.75" customHeight="1">
      <c r="A643" s="2">
        <v>641</v>
      </c>
      <c r="B643" s="2" t="str">
        <f>"姚彦羽"</f>
        <v>姚彦羽</v>
      </c>
      <c r="C643" s="2" t="s">
        <v>591</v>
      </c>
      <c r="D643" s="2" t="s">
        <v>635</v>
      </c>
      <c r="E643" s="3"/>
    </row>
    <row r="644" spans="1:5" ht="24.75" customHeight="1">
      <c r="A644" s="2">
        <v>642</v>
      </c>
      <c r="B644" s="2" t="str">
        <f>"王杰"</f>
        <v>王杰</v>
      </c>
      <c r="C644" s="2" t="s">
        <v>591</v>
      </c>
      <c r="D644" s="2" t="s">
        <v>636</v>
      </c>
      <c r="E644" s="3"/>
    </row>
    <row r="645" spans="1:5" ht="24.75" customHeight="1">
      <c r="A645" s="2">
        <v>643</v>
      </c>
      <c r="B645" s="2" t="str">
        <f>"邓志威"</f>
        <v>邓志威</v>
      </c>
      <c r="C645" s="2" t="s">
        <v>591</v>
      </c>
      <c r="D645" s="2" t="s">
        <v>637</v>
      </c>
      <c r="E645" s="3"/>
    </row>
    <row r="646" spans="1:5" ht="24.75" customHeight="1">
      <c r="A646" s="2">
        <v>644</v>
      </c>
      <c r="B646" s="2" t="str">
        <f>"陈琼崖"</f>
        <v>陈琼崖</v>
      </c>
      <c r="C646" s="2" t="s">
        <v>591</v>
      </c>
      <c r="D646" s="2" t="s">
        <v>638</v>
      </c>
      <c r="E646" s="3"/>
    </row>
    <row r="647" spans="1:5" ht="24.75" customHeight="1">
      <c r="A647" s="2">
        <v>645</v>
      </c>
      <c r="B647" s="2" t="str">
        <f>"羊菊香"</f>
        <v>羊菊香</v>
      </c>
      <c r="C647" s="2" t="s">
        <v>591</v>
      </c>
      <c r="D647" s="2" t="s">
        <v>397</v>
      </c>
      <c r="E647" s="3"/>
    </row>
    <row r="648" spans="1:5" ht="24.75" customHeight="1">
      <c r="A648" s="2">
        <v>646</v>
      </c>
      <c r="B648" s="2" t="str">
        <f>"唐江濠"</f>
        <v>唐江濠</v>
      </c>
      <c r="C648" s="2" t="s">
        <v>591</v>
      </c>
      <c r="D648" s="2" t="s">
        <v>639</v>
      </c>
      <c r="E648" s="3"/>
    </row>
    <row r="649" spans="1:5" ht="24.75" customHeight="1">
      <c r="A649" s="2">
        <v>647</v>
      </c>
      <c r="B649" s="2" t="str">
        <f>"符志官"</f>
        <v>符志官</v>
      </c>
      <c r="C649" s="2" t="s">
        <v>591</v>
      </c>
      <c r="D649" s="2" t="s">
        <v>640</v>
      </c>
      <c r="E649" s="3"/>
    </row>
    <row r="650" spans="1:5" ht="24.75" customHeight="1">
      <c r="A650" s="2">
        <v>648</v>
      </c>
      <c r="B650" s="2" t="str">
        <f>"符清源"</f>
        <v>符清源</v>
      </c>
      <c r="C650" s="2" t="s">
        <v>591</v>
      </c>
      <c r="D650" s="2" t="s">
        <v>641</v>
      </c>
      <c r="E650" s="3"/>
    </row>
    <row r="651" spans="1:5" ht="24.75" customHeight="1">
      <c r="A651" s="2">
        <v>649</v>
      </c>
      <c r="B651" s="2" t="str">
        <f>"李江宜"</f>
        <v>李江宜</v>
      </c>
      <c r="C651" s="2" t="s">
        <v>591</v>
      </c>
      <c r="D651" s="2" t="s">
        <v>642</v>
      </c>
      <c r="E651" s="3"/>
    </row>
    <row r="652" spans="1:5" ht="24.75" customHeight="1">
      <c r="A652" s="2">
        <v>650</v>
      </c>
      <c r="B652" s="2" t="str">
        <f>"吴欣"</f>
        <v>吴欣</v>
      </c>
      <c r="C652" s="2" t="s">
        <v>591</v>
      </c>
      <c r="D652" s="2" t="s">
        <v>643</v>
      </c>
      <c r="E652" s="3"/>
    </row>
    <row r="653" spans="1:5" ht="24.75" customHeight="1">
      <c r="A653" s="2">
        <v>651</v>
      </c>
      <c r="B653" s="2" t="str">
        <f>"吕初坪"</f>
        <v>吕初坪</v>
      </c>
      <c r="C653" s="2" t="s">
        <v>591</v>
      </c>
      <c r="D653" s="2" t="s">
        <v>644</v>
      </c>
      <c r="E653" s="3"/>
    </row>
    <row r="654" spans="1:5" ht="24.75" customHeight="1">
      <c r="A654" s="2">
        <v>652</v>
      </c>
      <c r="B654" s="2" t="str">
        <f>"李莹影"</f>
        <v>李莹影</v>
      </c>
      <c r="C654" s="2" t="s">
        <v>591</v>
      </c>
      <c r="D654" s="2" t="s">
        <v>645</v>
      </c>
      <c r="E654" s="3"/>
    </row>
    <row r="655" spans="1:5" ht="24.75" customHeight="1">
      <c r="A655" s="2">
        <v>653</v>
      </c>
      <c r="B655" s="2" t="str">
        <f>"朱锦芸"</f>
        <v>朱锦芸</v>
      </c>
      <c r="C655" s="2" t="s">
        <v>591</v>
      </c>
      <c r="D655" s="2" t="s">
        <v>402</v>
      </c>
      <c r="E655" s="3"/>
    </row>
    <row r="656" spans="1:5" ht="24.75" customHeight="1">
      <c r="A656" s="2">
        <v>654</v>
      </c>
      <c r="B656" s="2" t="str">
        <f>"梁振伟"</f>
        <v>梁振伟</v>
      </c>
      <c r="C656" s="2" t="s">
        <v>591</v>
      </c>
      <c r="D656" s="2" t="s">
        <v>646</v>
      </c>
      <c r="E656" s="3"/>
    </row>
    <row r="657" spans="1:5" ht="24.75" customHeight="1">
      <c r="A657" s="2">
        <v>655</v>
      </c>
      <c r="B657" s="2" t="str">
        <f>"王海珍"</f>
        <v>王海珍</v>
      </c>
      <c r="C657" s="2" t="s">
        <v>591</v>
      </c>
      <c r="D657" s="2" t="s">
        <v>647</v>
      </c>
      <c r="E657" s="3"/>
    </row>
    <row r="658" spans="1:5" ht="24.75" customHeight="1">
      <c r="A658" s="2">
        <v>656</v>
      </c>
      <c r="B658" s="2" t="str">
        <f>"蒙柳君"</f>
        <v>蒙柳君</v>
      </c>
      <c r="C658" s="2" t="s">
        <v>591</v>
      </c>
      <c r="D658" s="2" t="s">
        <v>648</v>
      </c>
      <c r="E658" s="3"/>
    </row>
    <row r="659" spans="1:5" ht="24.75" customHeight="1">
      <c r="A659" s="2">
        <v>657</v>
      </c>
      <c r="B659" s="2" t="str">
        <f>"吴英武"</f>
        <v>吴英武</v>
      </c>
      <c r="C659" s="2" t="s">
        <v>591</v>
      </c>
      <c r="D659" s="2" t="s">
        <v>649</v>
      </c>
      <c r="E659" s="3"/>
    </row>
    <row r="660" spans="1:5" ht="24.75" customHeight="1">
      <c r="A660" s="2">
        <v>658</v>
      </c>
      <c r="B660" s="2" t="str">
        <f>"赵雯祺"</f>
        <v>赵雯祺</v>
      </c>
      <c r="C660" s="2" t="s">
        <v>591</v>
      </c>
      <c r="D660" s="2" t="s">
        <v>650</v>
      </c>
      <c r="E660" s="3"/>
    </row>
    <row r="661" spans="1:5" ht="24.75" customHeight="1">
      <c r="A661" s="2">
        <v>659</v>
      </c>
      <c r="B661" s="2" t="str">
        <f>"冼碧蓉"</f>
        <v>冼碧蓉</v>
      </c>
      <c r="C661" s="2" t="s">
        <v>591</v>
      </c>
      <c r="D661" s="2" t="s">
        <v>651</v>
      </c>
      <c r="E661" s="3"/>
    </row>
    <row r="662" spans="1:5" ht="24.75" customHeight="1">
      <c r="A662" s="2">
        <v>660</v>
      </c>
      <c r="B662" s="2" t="str">
        <f>"钟宁"</f>
        <v>钟宁</v>
      </c>
      <c r="C662" s="2" t="s">
        <v>591</v>
      </c>
      <c r="D662" s="2" t="s">
        <v>652</v>
      </c>
      <c r="E662" s="3"/>
    </row>
    <row r="663" spans="1:5" ht="24.75" customHeight="1">
      <c r="A663" s="2">
        <v>661</v>
      </c>
      <c r="B663" s="2" t="str">
        <f>"郑暄霖"</f>
        <v>郑暄霖</v>
      </c>
      <c r="C663" s="2" t="s">
        <v>591</v>
      </c>
      <c r="D663" s="2" t="s">
        <v>653</v>
      </c>
      <c r="E663" s="3"/>
    </row>
    <row r="664" spans="1:5" ht="24.75" customHeight="1">
      <c r="A664" s="2">
        <v>662</v>
      </c>
      <c r="B664" s="2" t="str">
        <f>"张华胜"</f>
        <v>张华胜</v>
      </c>
      <c r="C664" s="2" t="s">
        <v>591</v>
      </c>
      <c r="D664" s="2" t="s">
        <v>654</v>
      </c>
      <c r="E664" s="3"/>
    </row>
    <row r="665" spans="1:5" ht="24.75" customHeight="1">
      <c r="A665" s="2">
        <v>663</v>
      </c>
      <c r="B665" s="2" t="str">
        <f>"姚家琪"</f>
        <v>姚家琪</v>
      </c>
      <c r="C665" s="2" t="s">
        <v>591</v>
      </c>
      <c r="D665" s="2" t="s">
        <v>655</v>
      </c>
      <c r="E665" s="3"/>
    </row>
    <row r="666" spans="1:5" ht="24.75" customHeight="1">
      <c r="A666" s="2">
        <v>664</v>
      </c>
      <c r="B666" s="2" t="str">
        <f>"钟尊听"</f>
        <v>钟尊听</v>
      </c>
      <c r="C666" s="2" t="s">
        <v>591</v>
      </c>
      <c r="D666" s="2" t="s">
        <v>656</v>
      </c>
      <c r="E666" s="3"/>
    </row>
    <row r="667" spans="1:5" ht="24.75" customHeight="1">
      <c r="A667" s="2">
        <v>665</v>
      </c>
      <c r="B667" s="2" t="str">
        <f>"郑云熙"</f>
        <v>郑云熙</v>
      </c>
      <c r="C667" s="2" t="s">
        <v>591</v>
      </c>
      <c r="D667" s="2" t="s">
        <v>657</v>
      </c>
      <c r="E667" s="3"/>
    </row>
    <row r="668" spans="1:5" ht="24.75" customHeight="1">
      <c r="A668" s="2">
        <v>666</v>
      </c>
      <c r="B668" s="2" t="str">
        <f>"温昌奎"</f>
        <v>温昌奎</v>
      </c>
      <c r="C668" s="2" t="s">
        <v>591</v>
      </c>
      <c r="D668" s="2" t="s">
        <v>658</v>
      </c>
      <c r="E668" s="3"/>
    </row>
    <row r="669" spans="1:5" ht="24.75" customHeight="1">
      <c r="A669" s="2">
        <v>667</v>
      </c>
      <c r="B669" s="2" t="str">
        <f>"孙宁骏"</f>
        <v>孙宁骏</v>
      </c>
      <c r="C669" s="2" t="s">
        <v>591</v>
      </c>
      <c r="D669" s="2" t="s">
        <v>659</v>
      </c>
      <c r="E669" s="3"/>
    </row>
    <row r="670" spans="1:5" ht="24.75" customHeight="1">
      <c r="A670" s="2">
        <v>668</v>
      </c>
      <c r="B670" s="2" t="str">
        <f>"廖苓杏"</f>
        <v>廖苓杏</v>
      </c>
      <c r="C670" s="2" t="s">
        <v>591</v>
      </c>
      <c r="D670" s="2" t="s">
        <v>660</v>
      </c>
      <c r="E670" s="3"/>
    </row>
    <row r="671" spans="1:5" ht="24.75" customHeight="1">
      <c r="A671" s="2">
        <v>669</v>
      </c>
      <c r="B671" s="2" t="str">
        <f>"王思贻"</f>
        <v>王思贻</v>
      </c>
      <c r="C671" s="2" t="s">
        <v>591</v>
      </c>
      <c r="D671" s="2" t="s">
        <v>661</v>
      </c>
      <c r="E671" s="3"/>
    </row>
    <row r="672" spans="1:5" ht="24.75" customHeight="1">
      <c r="A672" s="2">
        <v>670</v>
      </c>
      <c r="B672" s="2" t="str">
        <f>"陈飞越"</f>
        <v>陈飞越</v>
      </c>
      <c r="C672" s="2" t="s">
        <v>591</v>
      </c>
      <c r="D672" s="2" t="s">
        <v>662</v>
      </c>
      <c r="E672" s="3"/>
    </row>
    <row r="673" spans="1:5" ht="24.75" customHeight="1">
      <c r="A673" s="2">
        <v>671</v>
      </c>
      <c r="B673" s="2" t="str">
        <f>"杨达功"</f>
        <v>杨达功</v>
      </c>
      <c r="C673" s="2" t="s">
        <v>591</v>
      </c>
      <c r="D673" s="2" t="s">
        <v>663</v>
      </c>
      <c r="E673" s="3"/>
    </row>
    <row r="674" spans="1:5" ht="24.75" customHeight="1">
      <c r="A674" s="2">
        <v>672</v>
      </c>
      <c r="B674" s="2" t="str">
        <f>"王康哲"</f>
        <v>王康哲</v>
      </c>
      <c r="C674" s="2" t="s">
        <v>591</v>
      </c>
      <c r="D674" s="2" t="s">
        <v>664</v>
      </c>
      <c r="E674" s="3"/>
    </row>
    <row r="675" spans="1:5" ht="24.75" customHeight="1">
      <c r="A675" s="2">
        <v>673</v>
      </c>
      <c r="B675" s="2" t="str">
        <f>"关人翀"</f>
        <v>关人翀</v>
      </c>
      <c r="C675" s="2" t="s">
        <v>591</v>
      </c>
      <c r="D675" s="2" t="s">
        <v>665</v>
      </c>
      <c r="E675" s="3"/>
    </row>
    <row r="676" spans="1:5" ht="24.75" customHeight="1">
      <c r="A676" s="2">
        <v>674</v>
      </c>
      <c r="B676" s="2" t="str">
        <f>"林强"</f>
        <v>林强</v>
      </c>
      <c r="C676" s="2" t="s">
        <v>591</v>
      </c>
      <c r="D676" s="2" t="s">
        <v>666</v>
      </c>
      <c r="E676" s="3"/>
    </row>
    <row r="677" spans="1:5" ht="24.75" customHeight="1">
      <c r="A677" s="2">
        <v>675</v>
      </c>
      <c r="B677" s="2" t="str">
        <f>"董兴顺"</f>
        <v>董兴顺</v>
      </c>
      <c r="C677" s="2" t="s">
        <v>591</v>
      </c>
      <c r="D677" s="2" t="s">
        <v>667</v>
      </c>
      <c r="E677" s="3"/>
    </row>
    <row r="678" spans="1:5" ht="24.75" customHeight="1">
      <c r="A678" s="2">
        <v>676</v>
      </c>
      <c r="B678" s="2" t="str">
        <f>"陈辉"</f>
        <v>陈辉</v>
      </c>
      <c r="C678" s="2" t="s">
        <v>591</v>
      </c>
      <c r="D678" s="2" t="s">
        <v>668</v>
      </c>
      <c r="E678" s="3"/>
    </row>
    <row r="679" spans="1:5" ht="24.75" customHeight="1">
      <c r="A679" s="2">
        <v>677</v>
      </c>
      <c r="B679" s="2" t="str">
        <f>"刘学嘉"</f>
        <v>刘学嘉</v>
      </c>
      <c r="C679" s="2" t="s">
        <v>591</v>
      </c>
      <c r="D679" s="2" t="s">
        <v>259</v>
      </c>
      <c r="E679" s="3"/>
    </row>
    <row r="680" spans="1:5" ht="24.75" customHeight="1">
      <c r="A680" s="2">
        <v>678</v>
      </c>
      <c r="B680" s="2" t="str">
        <f>"吴多举"</f>
        <v>吴多举</v>
      </c>
      <c r="C680" s="2" t="s">
        <v>591</v>
      </c>
      <c r="D680" s="2" t="s">
        <v>669</v>
      </c>
      <c r="E680" s="3"/>
    </row>
    <row r="681" spans="1:5" ht="24.75" customHeight="1">
      <c r="A681" s="2">
        <v>679</v>
      </c>
      <c r="B681" s="2" t="str">
        <f>"林诗铭"</f>
        <v>林诗铭</v>
      </c>
      <c r="C681" s="2" t="s">
        <v>591</v>
      </c>
      <c r="D681" s="2" t="s">
        <v>670</v>
      </c>
      <c r="E681" s="3"/>
    </row>
    <row r="682" spans="1:5" ht="24.75" customHeight="1">
      <c r="A682" s="2">
        <v>680</v>
      </c>
      <c r="B682" s="2" t="str">
        <f>"何丽丽"</f>
        <v>何丽丽</v>
      </c>
      <c r="C682" s="2" t="s">
        <v>591</v>
      </c>
      <c r="D682" s="2" t="s">
        <v>671</v>
      </c>
      <c r="E682" s="3"/>
    </row>
    <row r="683" spans="1:5" ht="24.75" customHeight="1">
      <c r="A683" s="2">
        <v>681</v>
      </c>
      <c r="B683" s="2" t="str">
        <f>"卢佑烹"</f>
        <v>卢佑烹</v>
      </c>
      <c r="C683" s="2" t="s">
        <v>591</v>
      </c>
      <c r="D683" s="2" t="s">
        <v>672</v>
      </c>
      <c r="E683" s="3"/>
    </row>
    <row r="684" spans="1:5" ht="24.75" customHeight="1">
      <c r="A684" s="2">
        <v>682</v>
      </c>
      <c r="B684" s="2" t="str">
        <f>"陈美君"</f>
        <v>陈美君</v>
      </c>
      <c r="C684" s="2" t="s">
        <v>591</v>
      </c>
      <c r="D684" s="2" t="s">
        <v>673</v>
      </c>
      <c r="E684" s="3"/>
    </row>
    <row r="685" spans="1:5" ht="24.75" customHeight="1">
      <c r="A685" s="2">
        <v>683</v>
      </c>
      <c r="B685" s="2" t="str">
        <f>"蒙柔妮"</f>
        <v>蒙柔妮</v>
      </c>
      <c r="C685" s="2" t="s">
        <v>591</v>
      </c>
      <c r="D685" s="2" t="s">
        <v>216</v>
      </c>
      <c r="E685" s="3"/>
    </row>
    <row r="686" spans="1:5" ht="24.75" customHeight="1">
      <c r="A686" s="2">
        <v>684</v>
      </c>
      <c r="B686" s="2" t="str">
        <f>"林茜茜"</f>
        <v>林茜茜</v>
      </c>
      <c r="C686" s="2" t="s">
        <v>591</v>
      </c>
      <c r="D686" s="2" t="s">
        <v>674</v>
      </c>
      <c r="E686" s="3"/>
    </row>
    <row r="687" spans="1:5" ht="24.75" customHeight="1">
      <c r="A687" s="2">
        <v>685</v>
      </c>
      <c r="B687" s="2" t="str">
        <f>"周少英"</f>
        <v>周少英</v>
      </c>
      <c r="C687" s="2" t="s">
        <v>591</v>
      </c>
      <c r="D687" s="2" t="s">
        <v>675</v>
      </c>
      <c r="E687" s="3"/>
    </row>
    <row r="688" spans="1:5" ht="24.75" customHeight="1">
      <c r="A688" s="2">
        <v>686</v>
      </c>
      <c r="B688" s="2" t="str">
        <f>"林树肃"</f>
        <v>林树肃</v>
      </c>
      <c r="C688" s="2" t="s">
        <v>591</v>
      </c>
      <c r="D688" s="2" t="s">
        <v>676</v>
      </c>
      <c r="E688" s="3"/>
    </row>
    <row r="689" spans="1:5" ht="24.75" customHeight="1">
      <c r="A689" s="2">
        <v>687</v>
      </c>
      <c r="B689" s="2" t="str">
        <f>"王彩颜"</f>
        <v>王彩颜</v>
      </c>
      <c r="C689" s="2" t="s">
        <v>591</v>
      </c>
      <c r="D689" s="2" t="s">
        <v>677</v>
      </c>
      <c r="E689" s="3"/>
    </row>
    <row r="690" spans="1:5" ht="24.75" customHeight="1">
      <c r="A690" s="2">
        <v>688</v>
      </c>
      <c r="B690" s="2" t="str">
        <f>"李松"</f>
        <v>李松</v>
      </c>
      <c r="C690" s="2" t="s">
        <v>591</v>
      </c>
      <c r="D690" s="2" t="s">
        <v>678</v>
      </c>
      <c r="E690" s="3"/>
    </row>
    <row r="691" spans="1:5" ht="24.75" customHeight="1">
      <c r="A691" s="2">
        <v>689</v>
      </c>
      <c r="B691" s="2" t="str">
        <f>"谢人为"</f>
        <v>谢人为</v>
      </c>
      <c r="C691" s="2" t="s">
        <v>591</v>
      </c>
      <c r="D691" s="2" t="s">
        <v>679</v>
      </c>
      <c r="E691" s="3"/>
    </row>
    <row r="692" spans="1:5" ht="24.75" customHeight="1">
      <c r="A692" s="2">
        <v>690</v>
      </c>
      <c r="B692" s="2" t="str">
        <f>"陈宥霖"</f>
        <v>陈宥霖</v>
      </c>
      <c r="C692" s="2" t="s">
        <v>591</v>
      </c>
      <c r="D692" s="2" t="s">
        <v>680</v>
      </c>
      <c r="E692" s="3"/>
    </row>
    <row r="693" spans="1:5" ht="24.75" customHeight="1">
      <c r="A693" s="2">
        <v>691</v>
      </c>
      <c r="B693" s="2" t="str">
        <f>"赵宗颂"</f>
        <v>赵宗颂</v>
      </c>
      <c r="C693" s="2" t="s">
        <v>591</v>
      </c>
      <c r="D693" s="2" t="s">
        <v>681</v>
      </c>
      <c r="E693" s="3"/>
    </row>
    <row r="694" spans="1:5" ht="24.75" customHeight="1">
      <c r="A694" s="2">
        <v>692</v>
      </c>
      <c r="B694" s="2" t="str">
        <f>"陈芳"</f>
        <v>陈芳</v>
      </c>
      <c r="C694" s="2" t="s">
        <v>591</v>
      </c>
      <c r="D694" s="2" t="s">
        <v>303</v>
      </c>
      <c r="E694" s="3"/>
    </row>
    <row r="695" spans="1:5" ht="24.75" customHeight="1">
      <c r="A695" s="2">
        <v>693</v>
      </c>
      <c r="B695" s="2" t="str">
        <f>"陈基诚"</f>
        <v>陈基诚</v>
      </c>
      <c r="C695" s="2" t="s">
        <v>591</v>
      </c>
      <c r="D695" s="2" t="s">
        <v>682</v>
      </c>
      <c r="E695" s="3"/>
    </row>
    <row r="696" spans="1:5" ht="24.75" customHeight="1">
      <c r="A696" s="2">
        <v>694</v>
      </c>
      <c r="B696" s="2" t="str">
        <f>"廖汝儒"</f>
        <v>廖汝儒</v>
      </c>
      <c r="C696" s="2" t="s">
        <v>591</v>
      </c>
      <c r="D696" s="2" t="s">
        <v>683</v>
      </c>
      <c r="E696" s="3"/>
    </row>
    <row r="697" spans="1:5" ht="24.75" customHeight="1">
      <c r="A697" s="2">
        <v>695</v>
      </c>
      <c r="B697" s="2" t="str">
        <f>"刘柏汶"</f>
        <v>刘柏汶</v>
      </c>
      <c r="C697" s="2" t="s">
        <v>591</v>
      </c>
      <c r="D697" s="2" t="s">
        <v>684</v>
      </c>
      <c r="E697" s="3"/>
    </row>
    <row r="698" spans="1:5" ht="24.75" customHeight="1">
      <c r="A698" s="2">
        <v>696</v>
      </c>
      <c r="B698" s="2" t="str">
        <f>"华红伶"</f>
        <v>华红伶</v>
      </c>
      <c r="C698" s="2" t="s">
        <v>591</v>
      </c>
      <c r="D698" s="2" t="s">
        <v>685</v>
      </c>
      <c r="E698" s="3"/>
    </row>
    <row r="699" spans="1:5" ht="24.75" customHeight="1">
      <c r="A699" s="2">
        <v>697</v>
      </c>
      <c r="B699" s="2" t="str">
        <f>"林禄森"</f>
        <v>林禄森</v>
      </c>
      <c r="C699" s="2" t="s">
        <v>591</v>
      </c>
      <c r="D699" s="2" t="s">
        <v>150</v>
      </c>
      <c r="E699" s="3"/>
    </row>
    <row r="700" spans="1:5" ht="24.75" customHeight="1">
      <c r="A700" s="2">
        <v>698</v>
      </c>
      <c r="B700" s="2" t="str">
        <f>"蒋应森"</f>
        <v>蒋应森</v>
      </c>
      <c r="C700" s="2" t="s">
        <v>591</v>
      </c>
      <c r="D700" s="2" t="s">
        <v>686</v>
      </c>
      <c r="E700" s="3"/>
    </row>
    <row r="701" spans="1:5" ht="24.75" customHeight="1">
      <c r="A701" s="2">
        <v>699</v>
      </c>
      <c r="B701" s="2" t="str">
        <f>"杨燕柳"</f>
        <v>杨燕柳</v>
      </c>
      <c r="C701" s="2" t="s">
        <v>591</v>
      </c>
      <c r="D701" s="2" t="s">
        <v>687</v>
      </c>
      <c r="E701" s="3"/>
    </row>
    <row r="702" spans="1:5" ht="24.75" customHeight="1">
      <c r="A702" s="2">
        <v>700</v>
      </c>
      <c r="B702" s="2" t="str">
        <f>"吴少敏"</f>
        <v>吴少敏</v>
      </c>
      <c r="C702" s="2" t="s">
        <v>591</v>
      </c>
      <c r="D702" s="2" t="s">
        <v>688</v>
      </c>
      <c r="E702" s="3"/>
    </row>
    <row r="703" spans="1:5" ht="24.75" customHeight="1">
      <c r="A703" s="2">
        <v>701</v>
      </c>
      <c r="B703" s="2" t="str">
        <f>"林祝秀"</f>
        <v>林祝秀</v>
      </c>
      <c r="C703" s="2" t="s">
        <v>591</v>
      </c>
      <c r="D703" s="2" t="s">
        <v>689</v>
      </c>
      <c r="E703" s="3"/>
    </row>
    <row r="704" spans="1:5" ht="24.75" customHeight="1">
      <c r="A704" s="2">
        <v>702</v>
      </c>
      <c r="B704" s="2" t="str">
        <f>"陈玉丽"</f>
        <v>陈玉丽</v>
      </c>
      <c r="C704" s="2" t="s">
        <v>591</v>
      </c>
      <c r="D704" s="2" t="s">
        <v>690</v>
      </c>
      <c r="E704" s="3"/>
    </row>
    <row r="705" spans="1:5" ht="24.75" customHeight="1">
      <c r="A705" s="2">
        <v>703</v>
      </c>
      <c r="B705" s="2" t="str">
        <f>"许英丽"</f>
        <v>许英丽</v>
      </c>
      <c r="C705" s="2" t="s">
        <v>591</v>
      </c>
      <c r="D705" s="2" t="s">
        <v>691</v>
      </c>
      <c r="E705" s="3"/>
    </row>
    <row r="706" spans="1:5" ht="24.75" customHeight="1">
      <c r="A706" s="2">
        <v>704</v>
      </c>
      <c r="B706" s="2" t="str">
        <f>"王皓羽"</f>
        <v>王皓羽</v>
      </c>
      <c r="C706" s="2" t="s">
        <v>591</v>
      </c>
      <c r="D706" s="2" t="s">
        <v>692</v>
      </c>
      <c r="E706" s="3"/>
    </row>
    <row r="707" spans="1:5" ht="24.75" customHeight="1">
      <c r="A707" s="2">
        <v>705</v>
      </c>
      <c r="B707" s="2" t="str">
        <f>"杨学昆"</f>
        <v>杨学昆</v>
      </c>
      <c r="C707" s="2" t="s">
        <v>591</v>
      </c>
      <c r="D707" s="2" t="s">
        <v>693</v>
      </c>
      <c r="E707" s="3"/>
    </row>
    <row r="708" spans="1:5" ht="24.75" customHeight="1">
      <c r="A708" s="2">
        <v>706</v>
      </c>
      <c r="B708" s="2" t="str">
        <f>"肖猷"</f>
        <v>肖猷</v>
      </c>
      <c r="C708" s="2" t="s">
        <v>591</v>
      </c>
      <c r="D708" s="2" t="s">
        <v>694</v>
      </c>
      <c r="E708" s="3"/>
    </row>
    <row r="709" spans="1:5" ht="24.75" customHeight="1">
      <c r="A709" s="2">
        <v>707</v>
      </c>
      <c r="B709" s="2" t="str">
        <f>"龚启官"</f>
        <v>龚启官</v>
      </c>
      <c r="C709" s="2" t="s">
        <v>591</v>
      </c>
      <c r="D709" s="2" t="s">
        <v>695</v>
      </c>
      <c r="E709" s="3"/>
    </row>
    <row r="710" spans="1:5" ht="24.75" customHeight="1">
      <c r="A710" s="2">
        <v>708</v>
      </c>
      <c r="B710" s="2" t="str">
        <f>"陈奕充"</f>
        <v>陈奕充</v>
      </c>
      <c r="C710" s="2" t="s">
        <v>591</v>
      </c>
      <c r="D710" s="2" t="s">
        <v>696</v>
      </c>
      <c r="E710" s="3"/>
    </row>
    <row r="711" spans="1:5" ht="24.75" customHeight="1">
      <c r="A711" s="2">
        <v>709</v>
      </c>
      <c r="B711" s="2" t="str">
        <f>"郭金珠"</f>
        <v>郭金珠</v>
      </c>
      <c r="C711" s="2" t="s">
        <v>591</v>
      </c>
      <c r="D711" s="2" t="s">
        <v>697</v>
      </c>
      <c r="E711" s="3"/>
    </row>
    <row r="712" spans="1:5" ht="24.75" customHeight="1">
      <c r="A712" s="2">
        <v>710</v>
      </c>
      <c r="B712" s="2" t="str">
        <f>"严立渊"</f>
        <v>严立渊</v>
      </c>
      <c r="C712" s="2" t="s">
        <v>591</v>
      </c>
      <c r="D712" s="2" t="s">
        <v>698</v>
      </c>
      <c r="E712" s="3"/>
    </row>
    <row r="713" spans="1:5" ht="24.75" customHeight="1">
      <c r="A713" s="2">
        <v>711</v>
      </c>
      <c r="B713" s="2" t="str">
        <f>"苏文煊"</f>
        <v>苏文煊</v>
      </c>
      <c r="C713" s="2" t="s">
        <v>591</v>
      </c>
      <c r="D713" s="2" t="s">
        <v>699</v>
      </c>
      <c r="E713" s="3"/>
    </row>
    <row r="714" spans="1:5" ht="24.75" customHeight="1">
      <c r="A714" s="2">
        <v>712</v>
      </c>
      <c r="B714" s="2" t="str">
        <f>"杜春娜"</f>
        <v>杜春娜</v>
      </c>
      <c r="C714" s="2" t="s">
        <v>591</v>
      </c>
      <c r="D714" s="2" t="s">
        <v>700</v>
      </c>
      <c r="E714" s="3"/>
    </row>
    <row r="715" spans="1:5" ht="24.75" customHeight="1">
      <c r="A715" s="2">
        <v>713</v>
      </c>
      <c r="B715" s="2" t="str">
        <f>"符燕萍"</f>
        <v>符燕萍</v>
      </c>
      <c r="C715" s="2" t="s">
        <v>591</v>
      </c>
      <c r="D715" s="2" t="s">
        <v>701</v>
      </c>
      <c r="E715" s="3"/>
    </row>
    <row r="716" spans="1:5" ht="24.75" customHeight="1">
      <c r="A716" s="2">
        <v>714</v>
      </c>
      <c r="B716" s="2" t="str">
        <f>"詹靖翊"</f>
        <v>詹靖翊</v>
      </c>
      <c r="C716" s="2" t="s">
        <v>591</v>
      </c>
      <c r="D716" s="2" t="s">
        <v>702</v>
      </c>
      <c r="E716" s="3"/>
    </row>
    <row r="717" spans="1:5" ht="24.75" customHeight="1">
      <c r="A717" s="2">
        <v>715</v>
      </c>
      <c r="B717" s="2" t="str">
        <f>"文魁"</f>
        <v>文魁</v>
      </c>
      <c r="C717" s="2" t="s">
        <v>591</v>
      </c>
      <c r="D717" s="2" t="s">
        <v>379</v>
      </c>
      <c r="E717" s="3"/>
    </row>
    <row r="718" spans="1:5" ht="24.75" customHeight="1">
      <c r="A718" s="2">
        <v>716</v>
      </c>
      <c r="B718" s="2" t="str">
        <f>"陈青松"</f>
        <v>陈青松</v>
      </c>
      <c r="C718" s="2" t="s">
        <v>591</v>
      </c>
      <c r="D718" s="2" t="s">
        <v>703</v>
      </c>
      <c r="E718" s="3"/>
    </row>
    <row r="719" spans="1:5" ht="24.75" customHeight="1">
      <c r="A719" s="2">
        <v>717</v>
      </c>
      <c r="B719" s="2" t="str">
        <f>"刘小莹"</f>
        <v>刘小莹</v>
      </c>
      <c r="C719" s="2" t="s">
        <v>591</v>
      </c>
      <c r="D719" s="2" t="s">
        <v>704</v>
      </c>
      <c r="E719" s="3"/>
    </row>
    <row r="720" spans="1:5" ht="24.75" customHeight="1">
      <c r="A720" s="2">
        <v>718</v>
      </c>
      <c r="B720" s="2" t="str">
        <f>"邹倩"</f>
        <v>邹倩</v>
      </c>
      <c r="C720" s="2" t="s">
        <v>591</v>
      </c>
      <c r="D720" s="2" t="s">
        <v>705</v>
      </c>
      <c r="E720" s="3"/>
    </row>
    <row r="721" spans="1:5" ht="24.75" customHeight="1">
      <c r="A721" s="2">
        <v>719</v>
      </c>
      <c r="B721" s="2" t="str">
        <f>"覃进"</f>
        <v>覃进</v>
      </c>
      <c r="C721" s="2" t="s">
        <v>591</v>
      </c>
      <c r="D721" s="2" t="s">
        <v>706</v>
      </c>
      <c r="E721" s="3"/>
    </row>
    <row r="722" spans="1:5" ht="24.75" customHeight="1">
      <c r="A722" s="2">
        <v>720</v>
      </c>
      <c r="B722" s="2" t="str">
        <f>"符式辉"</f>
        <v>符式辉</v>
      </c>
      <c r="C722" s="2" t="s">
        <v>591</v>
      </c>
      <c r="D722" s="2" t="s">
        <v>707</v>
      </c>
      <c r="E722" s="3"/>
    </row>
    <row r="723" spans="1:5" ht="24.75" customHeight="1">
      <c r="A723" s="2">
        <v>721</v>
      </c>
      <c r="B723" s="2" t="str">
        <f>"林少钊"</f>
        <v>林少钊</v>
      </c>
      <c r="C723" s="2" t="s">
        <v>591</v>
      </c>
      <c r="D723" s="2" t="s">
        <v>708</v>
      </c>
      <c r="E723" s="3"/>
    </row>
    <row r="724" spans="1:5" ht="24.75" customHeight="1">
      <c r="A724" s="2">
        <v>722</v>
      </c>
      <c r="B724" s="2" t="str">
        <f>"朱厚悦"</f>
        <v>朱厚悦</v>
      </c>
      <c r="C724" s="2" t="s">
        <v>591</v>
      </c>
      <c r="D724" s="2" t="s">
        <v>709</v>
      </c>
      <c r="E724" s="3"/>
    </row>
    <row r="725" spans="1:5" ht="24.75" customHeight="1">
      <c r="A725" s="2">
        <v>723</v>
      </c>
      <c r="B725" s="2" t="str">
        <f>"李志洵"</f>
        <v>李志洵</v>
      </c>
      <c r="C725" s="2" t="s">
        <v>591</v>
      </c>
      <c r="D725" s="2" t="s">
        <v>710</v>
      </c>
      <c r="E725" s="3"/>
    </row>
    <row r="726" spans="1:5" ht="24.75" customHeight="1">
      <c r="A726" s="2">
        <v>724</v>
      </c>
      <c r="B726" s="2" t="str">
        <f>"黄钦鹏"</f>
        <v>黄钦鹏</v>
      </c>
      <c r="C726" s="2" t="s">
        <v>591</v>
      </c>
      <c r="D726" s="2" t="s">
        <v>711</v>
      </c>
      <c r="E726" s="3"/>
    </row>
    <row r="727" spans="1:5" ht="24.75" customHeight="1">
      <c r="A727" s="2">
        <v>725</v>
      </c>
      <c r="B727" s="2" t="str">
        <f>"李小欣"</f>
        <v>李小欣</v>
      </c>
      <c r="C727" s="2" t="s">
        <v>591</v>
      </c>
      <c r="D727" s="2" t="s">
        <v>712</v>
      </c>
      <c r="E727" s="3"/>
    </row>
    <row r="728" spans="1:5" ht="24.75" customHeight="1">
      <c r="A728" s="2">
        <v>726</v>
      </c>
      <c r="B728" s="2" t="str">
        <f>"徐九龙"</f>
        <v>徐九龙</v>
      </c>
      <c r="C728" s="2" t="s">
        <v>591</v>
      </c>
      <c r="D728" s="2" t="s">
        <v>713</v>
      </c>
      <c r="E728" s="3"/>
    </row>
    <row r="729" spans="1:5" ht="24.75" customHeight="1">
      <c r="A729" s="2">
        <v>727</v>
      </c>
      <c r="B729" s="2" t="str">
        <f>"林春丽"</f>
        <v>林春丽</v>
      </c>
      <c r="C729" s="2" t="s">
        <v>591</v>
      </c>
      <c r="D729" s="2" t="s">
        <v>714</v>
      </c>
      <c r="E729" s="3"/>
    </row>
    <row r="730" spans="1:5" ht="24.75" customHeight="1">
      <c r="A730" s="2">
        <v>728</v>
      </c>
      <c r="B730" s="2" t="str">
        <f>"王惠莹"</f>
        <v>王惠莹</v>
      </c>
      <c r="C730" s="2" t="s">
        <v>591</v>
      </c>
      <c r="D730" s="2" t="s">
        <v>97</v>
      </c>
      <c r="E730" s="3"/>
    </row>
    <row r="731" spans="1:5" ht="24.75" customHeight="1">
      <c r="A731" s="2">
        <v>729</v>
      </c>
      <c r="B731" s="2" t="str">
        <f>"符腾"</f>
        <v>符腾</v>
      </c>
      <c r="C731" s="2" t="s">
        <v>591</v>
      </c>
      <c r="D731" s="2" t="s">
        <v>715</v>
      </c>
      <c r="E731" s="3"/>
    </row>
    <row r="732" spans="1:5" ht="24.75" customHeight="1">
      <c r="A732" s="2">
        <v>730</v>
      </c>
      <c r="B732" s="2" t="str">
        <f>"李志"</f>
        <v>李志</v>
      </c>
      <c r="C732" s="2" t="s">
        <v>591</v>
      </c>
      <c r="D732" s="2" t="s">
        <v>716</v>
      </c>
      <c r="E732" s="3"/>
    </row>
    <row r="733" spans="1:5" ht="24.75" customHeight="1">
      <c r="A733" s="2">
        <v>731</v>
      </c>
      <c r="B733" s="2" t="str">
        <f>"王俊哲"</f>
        <v>王俊哲</v>
      </c>
      <c r="C733" s="2" t="s">
        <v>591</v>
      </c>
      <c r="D733" s="2" t="s">
        <v>717</v>
      </c>
      <c r="E733" s="3"/>
    </row>
    <row r="734" spans="1:5" ht="24.75" customHeight="1">
      <c r="A734" s="2">
        <v>732</v>
      </c>
      <c r="B734" s="2" t="str">
        <f>"严金塘"</f>
        <v>严金塘</v>
      </c>
      <c r="C734" s="2" t="s">
        <v>591</v>
      </c>
      <c r="D734" s="2" t="s">
        <v>718</v>
      </c>
      <c r="E734" s="3"/>
    </row>
    <row r="735" spans="1:5" ht="24.75" customHeight="1">
      <c r="A735" s="2">
        <v>733</v>
      </c>
      <c r="B735" s="2" t="str">
        <f>"王与慧"</f>
        <v>王与慧</v>
      </c>
      <c r="C735" s="2" t="s">
        <v>591</v>
      </c>
      <c r="D735" s="2" t="s">
        <v>719</v>
      </c>
      <c r="E735" s="3"/>
    </row>
    <row r="736" spans="1:5" ht="24.75" customHeight="1">
      <c r="A736" s="2">
        <v>734</v>
      </c>
      <c r="B736" s="2" t="str">
        <f>"林晖"</f>
        <v>林晖</v>
      </c>
      <c r="C736" s="2" t="s">
        <v>591</v>
      </c>
      <c r="D736" s="2" t="s">
        <v>720</v>
      </c>
      <c r="E736" s="3"/>
    </row>
    <row r="737" spans="1:5" ht="24.75" customHeight="1">
      <c r="A737" s="2">
        <v>735</v>
      </c>
      <c r="B737" s="2" t="str">
        <f>"文璐璐"</f>
        <v>文璐璐</v>
      </c>
      <c r="C737" s="2" t="s">
        <v>591</v>
      </c>
      <c r="D737" s="2" t="s">
        <v>721</v>
      </c>
      <c r="E737" s="3"/>
    </row>
    <row r="738" spans="1:5" ht="24.75" customHeight="1">
      <c r="A738" s="2">
        <v>736</v>
      </c>
      <c r="B738" s="2" t="str">
        <f>"李慧妍"</f>
        <v>李慧妍</v>
      </c>
      <c r="C738" s="2" t="s">
        <v>591</v>
      </c>
      <c r="D738" s="2" t="s">
        <v>722</v>
      </c>
      <c r="E738" s="3"/>
    </row>
    <row r="739" spans="1:5" ht="24.75" customHeight="1">
      <c r="A739" s="2">
        <v>737</v>
      </c>
      <c r="B739" s="2" t="str">
        <f>"谢燕花"</f>
        <v>谢燕花</v>
      </c>
      <c r="C739" s="2" t="s">
        <v>591</v>
      </c>
      <c r="D739" s="2" t="s">
        <v>723</v>
      </c>
      <c r="E739" s="3"/>
    </row>
    <row r="740" spans="1:5" ht="24.75" customHeight="1">
      <c r="A740" s="2">
        <v>738</v>
      </c>
      <c r="B740" s="2" t="str">
        <f>"黄秋桂"</f>
        <v>黄秋桂</v>
      </c>
      <c r="C740" s="2" t="s">
        <v>591</v>
      </c>
      <c r="D740" s="2" t="s">
        <v>724</v>
      </c>
      <c r="E740" s="3"/>
    </row>
    <row r="741" spans="1:5" ht="24.75" customHeight="1">
      <c r="A741" s="2">
        <v>739</v>
      </c>
      <c r="B741" s="2" t="str">
        <f>"邢跃龙"</f>
        <v>邢跃龙</v>
      </c>
      <c r="C741" s="2" t="s">
        <v>591</v>
      </c>
      <c r="D741" s="2" t="s">
        <v>725</v>
      </c>
      <c r="E741" s="3"/>
    </row>
    <row r="742" spans="1:5" ht="24.75" customHeight="1">
      <c r="A742" s="2">
        <v>740</v>
      </c>
      <c r="B742" s="2" t="str">
        <f>"王海敏"</f>
        <v>王海敏</v>
      </c>
      <c r="C742" s="2" t="s">
        <v>591</v>
      </c>
      <c r="D742" s="2" t="s">
        <v>726</v>
      </c>
      <c r="E742" s="3"/>
    </row>
    <row r="743" spans="1:5" ht="24.75" customHeight="1">
      <c r="A743" s="2">
        <v>741</v>
      </c>
      <c r="B743" s="2" t="str">
        <f>"曾造邦"</f>
        <v>曾造邦</v>
      </c>
      <c r="C743" s="2" t="s">
        <v>591</v>
      </c>
      <c r="D743" s="2" t="s">
        <v>727</v>
      </c>
      <c r="E743" s="3"/>
    </row>
    <row r="744" spans="1:5" ht="24.75" customHeight="1">
      <c r="A744" s="2">
        <v>742</v>
      </c>
      <c r="B744" s="2" t="str">
        <f>"符展毓"</f>
        <v>符展毓</v>
      </c>
      <c r="C744" s="2" t="s">
        <v>591</v>
      </c>
      <c r="D744" s="2" t="s">
        <v>521</v>
      </c>
      <c r="E744" s="3"/>
    </row>
    <row r="745" spans="1:5" ht="24.75" customHeight="1">
      <c r="A745" s="2">
        <v>743</v>
      </c>
      <c r="B745" s="2" t="str">
        <f>"王育英"</f>
        <v>王育英</v>
      </c>
      <c r="C745" s="2" t="s">
        <v>591</v>
      </c>
      <c r="D745" s="2" t="s">
        <v>728</v>
      </c>
      <c r="E745" s="3"/>
    </row>
    <row r="746" spans="1:5" ht="24.75" customHeight="1">
      <c r="A746" s="2">
        <v>744</v>
      </c>
      <c r="B746" s="2" t="str">
        <f>"苏孙甲"</f>
        <v>苏孙甲</v>
      </c>
      <c r="C746" s="2" t="s">
        <v>591</v>
      </c>
      <c r="D746" s="2" t="s">
        <v>729</v>
      </c>
      <c r="E746" s="3"/>
    </row>
    <row r="747" spans="1:5" ht="24.75" customHeight="1">
      <c r="A747" s="2">
        <v>745</v>
      </c>
      <c r="B747" s="2" t="str">
        <f>"吕毓鑫"</f>
        <v>吕毓鑫</v>
      </c>
      <c r="C747" s="2" t="s">
        <v>591</v>
      </c>
      <c r="D747" s="2" t="s">
        <v>730</v>
      </c>
      <c r="E747" s="3"/>
    </row>
    <row r="748" spans="1:5" ht="24.75" customHeight="1">
      <c r="A748" s="2">
        <v>746</v>
      </c>
      <c r="B748" s="2" t="str">
        <f>"刘彩红"</f>
        <v>刘彩红</v>
      </c>
      <c r="C748" s="2" t="s">
        <v>591</v>
      </c>
      <c r="D748" s="2" t="s">
        <v>731</v>
      </c>
      <c r="E748" s="3"/>
    </row>
    <row r="749" spans="1:5" ht="24.75" customHeight="1">
      <c r="A749" s="2">
        <v>747</v>
      </c>
      <c r="B749" s="2" t="str">
        <f>"黄小岸"</f>
        <v>黄小岸</v>
      </c>
      <c r="C749" s="2" t="s">
        <v>591</v>
      </c>
      <c r="D749" s="2" t="s">
        <v>732</v>
      </c>
      <c r="E749" s="3"/>
    </row>
    <row r="750" spans="1:5" ht="24.75" customHeight="1">
      <c r="A750" s="2">
        <v>748</v>
      </c>
      <c r="B750" s="2" t="str">
        <f>"吴宏运"</f>
        <v>吴宏运</v>
      </c>
      <c r="C750" s="2" t="s">
        <v>591</v>
      </c>
      <c r="D750" s="2" t="s">
        <v>733</v>
      </c>
      <c r="E750" s="3"/>
    </row>
    <row r="751" spans="1:5" ht="24.75" customHeight="1">
      <c r="A751" s="2">
        <v>749</v>
      </c>
      <c r="B751" s="2" t="str">
        <f>"莫蕊"</f>
        <v>莫蕊</v>
      </c>
      <c r="C751" s="2" t="s">
        <v>591</v>
      </c>
      <c r="D751" s="2" t="s">
        <v>734</v>
      </c>
      <c r="E751" s="3"/>
    </row>
    <row r="752" spans="1:5" ht="24.75" customHeight="1">
      <c r="A752" s="2">
        <v>750</v>
      </c>
      <c r="B752" s="2" t="str">
        <f>"王宏议"</f>
        <v>王宏议</v>
      </c>
      <c r="C752" s="2" t="s">
        <v>591</v>
      </c>
      <c r="D752" s="2" t="s">
        <v>735</v>
      </c>
      <c r="E752" s="3"/>
    </row>
    <row r="753" spans="1:5" ht="24.75" customHeight="1">
      <c r="A753" s="2">
        <v>751</v>
      </c>
      <c r="B753" s="2" t="str">
        <f>"杨洋"</f>
        <v>杨洋</v>
      </c>
      <c r="C753" s="2" t="s">
        <v>591</v>
      </c>
      <c r="D753" s="2" t="s">
        <v>736</v>
      </c>
      <c r="E753" s="3"/>
    </row>
    <row r="754" spans="1:5" ht="24.75" customHeight="1">
      <c r="A754" s="2">
        <v>752</v>
      </c>
      <c r="B754" s="2" t="str">
        <f>"王端友"</f>
        <v>王端友</v>
      </c>
      <c r="C754" s="2" t="s">
        <v>591</v>
      </c>
      <c r="D754" s="2" t="s">
        <v>737</v>
      </c>
      <c r="E754" s="3"/>
    </row>
    <row r="755" spans="1:5" ht="24.75" customHeight="1">
      <c r="A755" s="2">
        <v>753</v>
      </c>
      <c r="B755" s="2" t="str">
        <f>"王秋云"</f>
        <v>王秋云</v>
      </c>
      <c r="C755" s="2" t="s">
        <v>591</v>
      </c>
      <c r="D755" s="2" t="s">
        <v>738</v>
      </c>
      <c r="E755" s="3"/>
    </row>
    <row r="756" spans="1:5" ht="24.75" customHeight="1">
      <c r="A756" s="2">
        <v>754</v>
      </c>
      <c r="B756" s="2" t="str">
        <f>"陈传友"</f>
        <v>陈传友</v>
      </c>
      <c r="C756" s="2" t="s">
        <v>591</v>
      </c>
      <c r="D756" s="2" t="s">
        <v>739</v>
      </c>
      <c r="E756" s="3"/>
    </row>
    <row r="757" spans="1:5" ht="24.75" customHeight="1">
      <c r="A757" s="2">
        <v>755</v>
      </c>
      <c r="B757" s="2" t="str">
        <f>"陈昱桦"</f>
        <v>陈昱桦</v>
      </c>
      <c r="C757" s="2" t="s">
        <v>591</v>
      </c>
      <c r="D757" s="2" t="s">
        <v>740</v>
      </c>
      <c r="E757" s="3"/>
    </row>
    <row r="758" spans="1:5" ht="24.75" customHeight="1">
      <c r="A758" s="2">
        <v>756</v>
      </c>
      <c r="B758" s="2" t="str">
        <f>"陈统彰"</f>
        <v>陈统彰</v>
      </c>
      <c r="C758" s="2" t="s">
        <v>591</v>
      </c>
      <c r="D758" s="2" t="s">
        <v>741</v>
      </c>
      <c r="E758" s="3"/>
    </row>
    <row r="759" spans="1:5" ht="24.75" customHeight="1">
      <c r="A759" s="2">
        <v>757</v>
      </c>
      <c r="B759" s="2" t="str">
        <f>"黄泽文"</f>
        <v>黄泽文</v>
      </c>
      <c r="C759" s="2" t="s">
        <v>591</v>
      </c>
      <c r="D759" s="2" t="s">
        <v>742</v>
      </c>
      <c r="E759" s="3"/>
    </row>
    <row r="760" spans="1:5" ht="24.75" customHeight="1">
      <c r="A760" s="2">
        <v>758</v>
      </c>
      <c r="B760" s="2" t="str">
        <f>"何长轩"</f>
        <v>何长轩</v>
      </c>
      <c r="C760" s="2" t="s">
        <v>591</v>
      </c>
      <c r="D760" s="2" t="s">
        <v>743</v>
      </c>
      <c r="E760" s="3"/>
    </row>
    <row r="761" spans="1:5" ht="24.75" customHeight="1">
      <c r="A761" s="2">
        <v>759</v>
      </c>
      <c r="B761" s="2" t="str">
        <f>"符维铨"</f>
        <v>符维铨</v>
      </c>
      <c r="C761" s="2" t="s">
        <v>591</v>
      </c>
      <c r="D761" s="2" t="s">
        <v>744</v>
      </c>
      <c r="E761" s="3"/>
    </row>
    <row r="762" spans="1:5" ht="24.75" customHeight="1">
      <c r="A762" s="2">
        <v>760</v>
      </c>
      <c r="B762" s="2" t="str">
        <f>"孙昌虎"</f>
        <v>孙昌虎</v>
      </c>
      <c r="C762" s="2" t="s">
        <v>591</v>
      </c>
      <c r="D762" s="2" t="s">
        <v>745</v>
      </c>
      <c r="E762" s="3"/>
    </row>
    <row r="763" spans="1:5" ht="24.75" customHeight="1">
      <c r="A763" s="2">
        <v>761</v>
      </c>
      <c r="B763" s="2" t="str">
        <f>"吴鸣"</f>
        <v>吴鸣</v>
      </c>
      <c r="C763" s="2" t="s">
        <v>591</v>
      </c>
      <c r="D763" s="2" t="s">
        <v>746</v>
      </c>
      <c r="E763" s="3"/>
    </row>
    <row r="764" spans="1:5" ht="24.75" customHeight="1">
      <c r="A764" s="2">
        <v>762</v>
      </c>
      <c r="B764" s="2" t="str">
        <f>"陈道奎"</f>
        <v>陈道奎</v>
      </c>
      <c r="C764" s="2" t="s">
        <v>591</v>
      </c>
      <c r="D764" s="2" t="s">
        <v>747</v>
      </c>
      <c r="E764" s="3"/>
    </row>
    <row r="765" spans="1:5" ht="24.75" customHeight="1">
      <c r="A765" s="2">
        <v>763</v>
      </c>
      <c r="B765" s="2" t="str">
        <f>"吕招振"</f>
        <v>吕招振</v>
      </c>
      <c r="C765" s="2" t="s">
        <v>591</v>
      </c>
      <c r="D765" s="2" t="s">
        <v>748</v>
      </c>
      <c r="E765" s="3"/>
    </row>
    <row r="766" spans="1:5" ht="24.75" customHeight="1">
      <c r="A766" s="2">
        <v>764</v>
      </c>
      <c r="B766" s="2" t="str">
        <f>"荣上荣"</f>
        <v>荣上荣</v>
      </c>
      <c r="C766" s="2" t="s">
        <v>591</v>
      </c>
      <c r="D766" s="2" t="s">
        <v>749</v>
      </c>
      <c r="E766" s="3"/>
    </row>
    <row r="767" spans="1:5" ht="24.75" customHeight="1">
      <c r="A767" s="2">
        <v>765</v>
      </c>
      <c r="B767" s="2" t="str">
        <f>"吴雅婷"</f>
        <v>吴雅婷</v>
      </c>
      <c r="C767" s="2" t="s">
        <v>591</v>
      </c>
      <c r="D767" s="2" t="s">
        <v>750</v>
      </c>
      <c r="E767" s="3"/>
    </row>
    <row r="768" spans="1:5" ht="24.75" customHeight="1">
      <c r="A768" s="2">
        <v>766</v>
      </c>
      <c r="B768" s="2" t="str">
        <f>"刘德民"</f>
        <v>刘德民</v>
      </c>
      <c r="C768" s="2" t="s">
        <v>591</v>
      </c>
      <c r="D768" s="2" t="s">
        <v>751</v>
      </c>
      <c r="E768" s="3"/>
    </row>
    <row r="769" spans="1:5" ht="24.75" customHeight="1">
      <c r="A769" s="2">
        <v>767</v>
      </c>
      <c r="B769" s="2" t="str">
        <f>"姜懿湘"</f>
        <v>姜懿湘</v>
      </c>
      <c r="C769" s="2" t="s">
        <v>591</v>
      </c>
      <c r="D769" s="2" t="s">
        <v>752</v>
      </c>
      <c r="E769" s="3"/>
    </row>
    <row r="770" spans="1:5" ht="24.75" customHeight="1">
      <c r="A770" s="2">
        <v>768</v>
      </c>
      <c r="B770" s="2" t="str">
        <f>"刘炳位"</f>
        <v>刘炳位</v>
      </c>
      <c r="C770" s="2" t="s">
        <v>591</v>
      </c>
      <c r="D770" s="2" t="s">
        <v>753</v>
      </c>
      <c r="E770" s="3"/>
    </row>
    <row r="771" spans="1:5" ht="24.75" customHeight="1">
      <c r="A771" s="2">
        <v>769</v>
      </c>
      <c r="B771" s="2" t="str">
        <f>"王宏"</f>
        <v>王宏</v>
      </c>
      <c r="C771" s="2" t="s">
        <v>591</v>
      </c>
      <c r="D771" s="2" t="s">
        <v>754</v>
      </c>
      <c r="E771" s="3"/>
    </row>
    <row r="772" spans="1:5" ht="24.75" customHeight="1">
      <c r="A772" s="2">
        <v>770</v>
      </c>
      <c r="B772" s="2" t="str">
        <f>"郑蔚伦"</f>
        <v>郑蔚伦</v>
      </c>
      <c r="C772" s="2" t="s">
        <v>591</v>
      </c>
      <c r="D772" s="2" t="s">
        <v>755</v>
      </c>
      <c r="E772" s="3"/>
    </row>
    <row r="773" spans="1:5" ht="24.75" customHeight="1">
      <c r="A773" s="2">
        <v>771</v>
      </c>
      <c r="B773" s="2" t="str">
        <f>"符凤君"</f>
        <v>符凤君</v>
      </c>
      <c r="C773" s="2" t="s">
        <v>756</v>
      </c>
      <c r="D773" s="2" t="s">
        <v>757</v>
      </c>
      <c r="E773" s="3"/>
    </row>
    <row r="774" spans="1:5" ht="24.75" customHeight="1">
      <c r="A774" s="2">
        <v>772</v>
      </c>
      <c r="B774" s="2" t="str">
        <f>"谭皓天"</f>
        <v>谭皓天</v>
      </c>
      <c r="C774" s="2" t="s">
        <v>756</v>
      </c>
      <c r="D774" s="2" t="s">
        <v>758</v>
      </c>
      <c r="E774" s="3"/>
    </row>
    <row r="775" spans="1:5" ht="24.75" customHeight="1">
      <c r="A775" s="2">
        <v>773</v>
      </c>
      <c r="B775" s="2" t="str">
        <f>"樊宇航"</f>
        <v>樊宇航</v>
      </c>
      <c r="C775" s="2" t="s">
        <v>756</v>
      </c>
      <c r="D775" s="2" t="s">
        <v>759</v>
      </c>
      <c r="E775" s="3"/>
    </row>
    <row r="776" spans="1:5" ht="24.75" customHeight="1">
      <c r="A776" s="2">
        <v>774</v>
      </c>
      <c r="B776" s="2" t="str">
        <f>"马佳丽"</f>
        <v>马佳丽</v>
      </c>
      <c r="C776" s="2" t="s">
        <v>756</v>
      </c>
      <c r="D776" s="2" t="s">
        <v>760</v>
      </c>
      <c r="E776" s="3"/>
    </row>
    <row r="777" spans="1:5" ht="24.75" customHeight="1">
      <c r="A777" s="2">
        <v>775</v>
      </c>
      <c r="B777" s="2" t="str">
        <f>"陈献霞"</f>
        <v>陈献霞</v>
      </c>
      <c r="C777" s="2" t="s">
        <v>756</v>
      </c>
      <c r="D777" s="2" t="s">
        <v>761</v>
      </c>
      <c r="E777" s="3"/>
    </row>
    <row r="778" spans="1:5" ht="24.75" customHeight="1">
      <c r="A778" s="2">
        <v>776</v>
      </c>
      <c r="B778" s="2" t="str">
        <f>"吴乾女"</f>
        <v>吴乾女</v>
      </c>
      <c r="C778" s="2" t="s">
        <v>756</v>
      </c>
      <c r="D778" s="2" t="s">
        <v>762</v>
      </c>
      <c r="E778" s="3"/>
    </row>
    <row r="779" spans="1:5" ht="24.75" customHeight="1">
      <c r="A779" s="2">
        <v>777</v>
      </c>
      <c r="B779" s="2" t="str">
        <f>"黄宇"</f>
        <v>黄宇</v>
      </c>
      <c r="C779" s="2" t="s">
        <v>756</v>
      </c>
      <c r="D779" s="2" t="s">
        <v>763</v>
      </c>
      <c r="E779" s="3"/>
    </row>
    <row r="780" spans="1:5" ht="24.75" customHeight="1">
      <c r="A780" s="2">
        <v>778</v>
      </c>
      <c r="B780" s="2" t="str">
        <f>"吴金霞"</f>
        <v>吴金霞</v>
      </c>
      <c r="C780" s="2" t="s">
        <v>756</v>
      </c>
      <c r="D780" s="2" t="s">
        <v>764</v>
      </c>
      <c r="E780" s="3"/>
    </row>
    <row r="781" spans="1:5" ht="24.75" customHeight="1">
      <c r="A781" s="2">
        <v>779</v>
      </c>
      <c r="B781" s="2" t="str">
        <f>"唐健"</f>
        <v>唐健</v>
      </c>
      <c r="C781" s="2" t="s">
        <v>756</v>
      </c>
      <c r="D781" s="2" t="s">
        <v>765</v>
      </c>
      <c r="E781" s="3"/>
    </row>
    <row r="782" spans="1:5" ht="24.75" customHeight="1">
      <c r="A782" s="2">
        <v>780</v>
      </c>
      <c r="B782" s="2" t="str">
        <f>"梁小奕"</f>
        <v>梁小奕</v>
      </c>
      <c r="C782" s="2" t="s">
        <v>756</v>
      </c>
      <c r="D782" s="2" t="s">
        <v>766</v>
      </c>
      <c r="E782" s="3"/>
    </row>
    <row r="783" spans="1:5" ht="24.75" customHeight="1">
      <c r="A783" s="2">
        <v>781</v>
      </c>
      <c r="B783" s="2" t="str">
        <f>"孙绮黛"</f>
        <v>孙绮黛</v>
      </c>
      <c r="C783" s="2" t="s">
        <v>756</v>
      </c>
      <c r="D783" s="2" t="s">
        <v>767</v>
      </c>
      <c r="E783" s="3"/>
    </row>
    <row r="784" spans="1:5" ht="24.75" customHeight="1">
      <c r="A784" s="2">
        <v>782</v>
      </c>
      <c r="B784" s="2" t="str">
        <f>"方翠"</f>
        <v>方翠</v>
      </c>
      <c r="C784" s="2" t="s">
        <v>756</v>
      </c>
      <c r="D784" s="2" t="s">
        <v>768</v>
      </c>
      <c r="E784" s="3"/>
    </row>
    <row r="785" spans="1:5" ht="24.75" customHeight="1">
      <c r="A785" s="2">
        <v>783</v>
      </c>
      <c r="B785" s="2" t="str">
        <f>"吴坤杰"</f>
        <v>吴坤杰</v>
      </c>
      <c r="C785" s="2" t="s">
        <v>756</v>
      </c>
      <c r="D785" s="2" t="s">
        <v>769</v>
      </c>
      <c r="E785" s="3"/>
    </row>
    <row r="786" spans="1:5" ht="24.75" customHeight="1">
      <c r="A786" s="2">
        <v>784</v>
      </c>
      <c r="B786" s="2" t="str">
        <f>"陈梅梅"</f>
        <v>陈梅梅</v>
      </c>
      <c r="C786" s="2" t="s">
        <v>756</v>
      </c>
      <c r="D786" s="2" t="s">
        <v>770</v>
      </c>
      <c r="E786" s="3"/>
    </row>
    <row r="787" spans="1:5" ht="24.75" customHeight="1">
      <c r="A787" s="2">
        <v>785</v>
      </c>
      <c r="B787" s="2" t="str">
        <f>"吴家宇"</f>
        <v>吴家宇</v>
      </c>
      <c r="C787" s="2" t="s">
        <v>756</v>
      </c>
      <c r="D787" s="2" t="s">
        <v>728</v>
      </c>
      <c r="E787" s="3"/>
    </row>
    <row r="788" spans="1:5" ht="24.75" customHeight="1">
      <c r="A788" s="2">
        <v>786</v>
      </c>
      <c r="B788" s="2" t="str">
        <f>"符文静"</f>
        <v>符文静</v>
      </c>
      <c r="C788" s="2" t="s">
        <v>756</v>
      </c>
      <c r="D788" s="2" t="s">
        <v>771</v>
      </c>
      <c r="E788" s="3"/>
    </row>
    <row r="789" spans="1:5" ht="24.75" customHeight="1">
      <c r="A789" s="2">
        <v>787</v>
      </c>
      <c r="B789" s="2" t="str">
        <f>"吴晶莹"</f>
        <v>吴晶莹</v>
      </c>
      <c r="C789" s="2" t="s">
        <v>756</v>
      </c>
      <c r="D789" s="2" t="s">
        <v>772</v>
      </c>
      <c r="E789" s="3"/>
    </row>
    <row r="790" spans="1:5" ht="24.75" customHeight="1">
      <c r="A790" s="2">
        <v>788</v>
      </c>
      <c r="B790" s="2" t="str">
        <f>"王萍"</f>
        <v>王萍</v>
      </c>
      <c r="C790" s="2" t="s">
        <v>756</v>
      </c>
      <c r="D790" s="2" t="s">
        <v>773</v>
      </c>
      <c r="E790" s="3"/>
    </row>
    <row r="791" spans="1:5" ht="24.75" customHeight="1">
      <c r="A791" s="2">
        <v>789</v>
      </c>
      <c r="B791" s="2" t="str">
        <f>"林岸"</f>
        <v>林岸</v>
      </c>
      <c r="C791" s="2" t="s">
        <v>756</v>
      </c>
      <c r="D791" s="2" t="s">
        <v>774</v>
      </c>
      <c r="E791" s="3"/>
    </row>
    <row r="792" spans="1:5" ht="24.75" customHeight="1">
      <c r="A792" s="2">
        <v>790</v>
      </c>
      <c r="B792" s="2" t="str">
        <f>"吴堂堂"</f>
        <v>吴堂堂</v>
      </c>
      <c r="C792" s="2" t="s">
        <v>756</v>
      </c>
      <c r="D792" s="2" t="s">
        <v>775</v>
      </c>
      <c r="E792" s="3"/>
    </row>
    <row r="793" spans="1:5" ht="24.75" customHeight="1">
      <c r="A793" s="2">
        <v>791</v>
      </c>
      <c r="B793" s="2" t="str">
        <f>"黄彩凤"</f>
        <v>黄彩凤</v>
      </c>
      <c r="C793" s="2" t="s">
        <v>756</v>
      </c>
      <c r="D793" s="2" t="s">
        <v>776</v>
      </c>
      <c r="E793" s="3"/>
    </row>
    <row r="794" spans="1:5" ht="24.75" customHeight="1">
      <c r="A794" s="2">
        <v>792</v>
      </c>
      <c r="B794" s="2" t="str">
        <f>"陈柳贝"</f>
        <v>陈柳贝</v>
      </c>
      <c r="C794" s="2" t="s">
        <v>756</v>
      </c>
      <c r="D794" s="2" t="s">
        <v>777</v>
      </c>
      <c r="E794" s="3"/>
    </row>
    <row r="795" spans="1:5" ht="24.75" customHeight="1">
      <c r="A795" s="2">
        <v>793</v>
      </c>
      <c r="B795" s="2" t="str">
        <f>"林然霞"</f>
        <v>林然霞</v>
      </c>
      <c r="C795" s="2" t="s">
        <v>756</v>
      </c>
      <c r="D795" s="2" t="s">
        <v>778</v>
      </c>
      <c r="E795" s="3"/>
    </row>
    <row r="796" spans="1:5" ht="24.75" customHeight="1">
      <c r="A796" s="2">
        <v>794</v>
      </c>
      <c r="B796" s="2" t="str">
        <f>"冯惠琨"</f>
        <v>冯惠琨</v>
      </c>
      <c r="C796" s="2" t="s">
        <v>756</v>
      </c>
      <c r="D796" s="2" t="s">
        <v>779</v>
      </c>
      <c r="E796" s="3"/>
    </row>
    <row r="797" spans="1:5" ht="24.75" customHeight="1">
      <c r="A797" s="2">
        <v>795</v>
      </c>
      <c r="B797" s="2" t="str">
        <f>"王泽诗"</f>
        <v>王泽诗</v>
      </c>
      <c r="C797" s="2" t="s">
        <v>756</v>
      </c>
      <c r="D797" s="2" t="s">
        <v>780</v>
      </c>
      <c r="E797" s="3"/>
    </row>
    <row r="798" spans="1:5" ht="24.75" customHeight="1">
      <c r="A798" s="2">
        <v>796</v>
      </c>
      <c r="B798" s="2" t="str">
        <f>"甘勇"</f>
        <v>甘勇</v>
      </c>
      <c r="C798" s="2" t="s">
        <v>756</v>
      </c>
      <c r="D798" s="2" t="s">
        <v>781</v>
      </c>
      <c r="E798" s="3"/>
    </row>
    <row r="799" spans="1:5" ht="24.75" customHeight="1">
      <c r="A799" s="2">
        <v>797</v>
      </c>
      <c r="B799" s="2" t="str">
        <f>"李得恺"</f>
        <v>李得恺</v>
      </c>
      <c r="C799" s="2" t="s">
        <v>756</v>
      </c>
      <c r="D799" s="2" t="s">
        <v>782</v>
      </c>
      <c r="E799" s="3"/>
    </row>
    <row r="800" spans="1:5" ht="24.75" customHeight="1">
      <c r="A800" s="2">
        <v>798</v>
      </c>
      <c r="B800" s="2" t="str">
        <f>"何君钰"</f>
        <v>何君钰</v>
      </c>
      <c r="C800" s="2" t="s">
        <v>756</v>
      </c>
      <c r="D800" s="2" t="s">
        <v>783</v>
      </c>
      <c r="E800" s="3"/>
    </row>
    <row r="801" spans="1:5" ht="24.75" customHeight="1">
      <c r="A801" s="2">
        <v>799</v>
      </c>
      <c r="B801" s="2" t="str">
        <f>"徐佩莹"</f>
        <v>徐佩莹</v>
      </c>
      <c r="C801" s="2" t="s">
        <v>756</v>
      </c>
      <c r="D801" s="2" t="s">
        <v>784</v>
      </c>
      <c r="E801" s="3"/>
    </row>
    <row r="802" spans="1:5" ht="24.75" customHeight="1">
      <c r="A802" s="2">
        <v>800</v>
      </c>
      <c r="B802" s="2" t="str">
        <f>"陈静宜"</f>
        <v>陈静宜</v>
      </c>
      <c r="C802" s="2" t="s">
        <v>756</v>
      </c>
      <c r="D802" s="2" t="s">
        <v>785</v>
      </c>
      <c r="E802" s="3"/>
    </row>
    <row r="803" spans="1:5" ht="24.75" customHeight="1">
      <c r="A803" s="2">
        <v>801</v>
      </c>
      <c r="B803" s="2" t="str">
        <f>"陈伊倩"</f>
        <v>陈伊倩</v>
      </c>
      <c r="C803" s="2" t="s">
        <v>756</v>
      </c>
      <c r="D803" s="2" t="s">
        <v>786</v>
      </c>
      <c r="E803" s="3"/>
    </row>
    <row r="804" spans="1:5" ht="24.75" customHeight="1">
      <c r="A804" s="2">
        <v>802</v>
      </c>
      <c r="B804" s="2" t="str">
        <f>"郑以震"</f>
        <v>郑以震</v>
      </c>
      <c r="C804" s="2" t="s">
        <v>756</v>
      </c>
      <c r="D804" s="2" t="s">
        <v>787</v>
      </c>
      <c r="E804" s="3"/>
    </row>
    <row r="805" spans="1:5" ht="24.75" customHeight="1">
      <c r="A805" s="2">
        <v>803</v>
      </c>
      <c r="B805" s="2" t="str">
        <f>"郑扬扬"</f>
        <v>郑扬扬</v>
      </c>
      <c r="C805" s="2" t="s">
        <v>756</v>
      </c>
      <c r="D805" s="2" t="s">
        <v>788</v>
      </c>
      <c r="E805" s="3"/>
    </row>
    <row r="806" spans="1:5" ht="24.75" customHeight="1">
      <c r="A806" s="2">
        <v>804</v>
      </c>
      <c r="B806" s="2" t="str">
        <f>"高源见"</f>
        <v>高源见</v>
      </c>
      <c r="C806" s="2" t="s">
        <v>756</v>
      </c>
      <c r="D806" s="2" t="s">
        <v>789</v>
      </c>
      <c r="E806" s="3"/>
    </row>
    <row r="807" spans="1:5" ht="24.75" customHeight="1">
      <c r="A807" s="2">
        <v>805</v>
      </c>
      <c r="B807" s="2" t="str">
        <f>"喻杰"</f>
        <v>喻杰</v>
      </c>
      <c r="C807" s="2" t="s">
        <v>756</v>
      </c>
      <c r="D807" s="2" t="s">
        <v>790</v>
      </c>
      <c r="E807" s="3"/>
    </row>
    <row r="808" spans="1:5" ht="24.75" customHeight="1">
      <c r="A808" s="2">
        <v>806</v>
      </c>
      <c r="B808" s="2" t="str">
        <f>"曾其娴"</f>
        <v>曾其娴</v>
      </c>
      <c r="C808" s="2" t="s">
        <v>756</v>
      </c>
      <c r="D808" s="2" t="s">
        <v>791</v>
      </c>
      <c r="E808" s="3"/>
    </row>
    <row r="809" spans="1:5" ht="24.75" customHeight="1">
      <c r="A809" s="2">
        <v>807</v>
      </c>
      <c r="B809" s="2" t="str">
        <f>"黄昌锐"</f>
        <v>黄昌锐</v>
      </c>
      <c r="C809" s="2" t="s">
        <v>756</v>
      </c>
      <c r="D809" s="2" t="s">
        <v>792</v>
      </c>
      <c r="E809" s="3"/>
    </row>
    <row r="810" spans="1:5" ht="24.75" customHeight="1">
      <c r="A810" s="2">
        <v>808</v>
      </c>
      <c r="B810" s="2" t="str">
        <f>"陈夏雨"</f>
        <v>陈夏雨</v>
      </c>
      <c r="C810" s="2" t="s">
        <v>756</v>
      </c>
      <c r="D810" s="2" t="s">
        <v>793</v>
      </c>
      <c r="E810" s="3"/>
    </row>
    <row r="811" spans="1:5" ht="24.75" customHeight="1">
      <c r="A811" s="2">
        <v>809</v>
      </c>
      <c r="B811" s="2" t="str">
        <f>"陈淑金"</f>
        <v>陈淑金</v>
      </c>
      <c r="C811" s="2" t="s">
        <v>756</v>
      </c>
      <c r="D811" s="2" t="s">
        <v>794</v>
      </c>
      <c r="E811" s="3"/>
    </row>
    <row r="812" spans="1:5" ht="24.75" customHeight="1">
      <c r="A812" s="2">
        <v>810</v>
      </c>
      <c r="B812" s="2" t="str">
        <f>"刘晓雪"</f>
        <v>刘晓雪</v>
      </c>
      <c r="C812" s="2" t="s">
        <v>756</v>
      </c>
      <c r="D812" s="2" t="s">
        <v>795</v>
      </c>
      <c r="E812" s="3"/>
    </row>
    <row r="813" spans="1:5" ht="24.75" customHeight="1">
      <c r="A813" s="2">
        <v>811</v>
      </c>
      <c r="B813" s="2" t="str">
        <f>"梁阿惠"</f>
        <v>梁阿惠</v>
      </c>
      <c r="C813" s="2" t="s">
        <v>756</v>
      </c>
      <c r="D813" s="2" t="s">
        <v>796</v>
      </c>
      <c r="E813" s="3"/>
    </row>
    <row r="814" spans="1:5" ht="24.75" customHeight="1">
      <c r="A814" s="2">
        <v>812</v>
      </c>
      <c r="B814" s="2" t="str">
        <f>"胡琪婧"</f>
        <v>胡琪婧</v>
      </c>
      <c r="C814" s="2" t="s">
        <v>756</v>
      </c>
      <c r="D814" s="2" t="s">
        <v>797</v>
      </c>
      <c r="E814" s="3"/>
    </row>
    <row r="815" spans="1:5" ht="24.75" customHeight="1">
      <c r="A815" s="2">
        <v>813</v>
      </c>
      <c r="B815" s="2" t="str">
        <f>"王婷"</f>
        <v>王婷</v>
      </c>
      <c r="C815" s="2" t="s">
        <v>756</v>
      </c>
      <c r="D815" s="2" t="s">
        <v>798</v>
      </c>
      <c r="E815" s="3"/>
    </row>
    <row r="816" spans="1:5" ht="24.75" customHeight="1">
      <c r="A816" s="2">
        <v>814</v>
      </c>
      <c r="B816" s="2" t="str">
        <f>"黄晶晶"</f>
        <v>黄晶晶</v>
      </c>
      <c r="C816" s="2" t="s">
        <v>756</v>
      </c>
      <c r="D816" s="2" t="s">
        <v>799</v>
      </c>
      <c r="E816" s="3"/>
    </row>
    <row r="817" spans="1:5" ht="24.75" customHeight="1">
      <c r="A817" s="2">
        <v>815</v>
      </c>
      <c r="B817" s="2" t="str">
        <f>"刘旧"</f>
        <v>刘旧</v>
      </c>
      <c r="C817" s="2" t="s">
        <v>756</v>
      </c>
      <c r="D817" s="2" t="s">
        <v>199</v>
      </c>
      <c r="E817" s="3"/>
    </row>
    <row r="818" spans="1:5" ht="24.75" customHeight="1">
      <c r="A818" s="2">
        <v>816</v>
      </c>
      <c r="B818" s="2" t="str">
        <f>"黄习"</f>
        <v>黄习</v>
      </c>
      <c r="C818" s="2" t="s">
        <v>756</v>
      </c>
      <c r="D818" s="2" t="s">
        <v>800</v>
      </c>
      <c r="E818" s="3"/>
    </row>
    <row r="819" spans="1:5" ht="24.75" customHeight="1">
      <c r="A819" s="2">
        <v>817</v>
      </c>
      <c r="B819" s="2" t="str">
        <f>"吴惠尾"</f>
        <v>吴惠尾</v>
      </c>
      <c r="C819" s="2" t="s">
        <v>756</v>
      </c>
      <c r="D819" s="2" t="s">
        <v>801</v>
      </c>
      <c r="E819" s="3"/>
    </row>
    <row r="820" spans="1:5" ht="24.75" customHeight="1">
      <c r="A820" s="2">
        <v>818</v>
      </c>
      <c r="B820" s="2" t="str">
        <f>"胡迪"</f>
        <v>胡迪</v>
      </c>
      <c r="C820" s="2" t="s">
        <v>756</v>
      </c>
      <c r="D820" s="2" t="s">
        <v>802</v>
      </c>
      <c r="E820" s="3"/>
    </row>
    <row r="821" spans="1:5" ht="24.75" customHeight="1">
      <c r="A821" s="2">
        <v>819</v>
      </c>
      <c r="B821" s="2" t="str">
        <f>"孙文莹"</f>
        <v>孙文莹</v>
      </c>
      <c r="C821" s="2" t="s">
        <v>756</v>
      </c>
      <c r="D821" s="2" t="s">
        <v>803</v>
      </c>
      <c r="E821" s="3"/>
    </row>
    <row r="822" spans="1:5" ht="24.75" customHeight="1">
      <c r="A822" s="2">
        <v>820</v>
      </c>
      <c r="B822" s="2" t="str">
        <f>"王沐歆"</f>
        <v>王沐歆</v>
      </c>
      <c r="C822" s="2" t="s">
        <v>756</v>
      </c>
      <c r="D822" s="2" t="s">
        <v>804</v>
      </c>
      <c r="E822" s="3"/>
    </row>
    <row r="823" spans="1:5" ht="24.75" customHeight="1">
      <c r="A823" s="2">
        <v>821</v>
      </c>
      <c r="B823" s="2" t="str">
        <f>"王首霖"</f>
        <v>王首霖</v>
      </c>
      <c r="C823" s="2" t="s">
        <v>756</v>
      </c>
      <c r="D823" s="2" t="s">
        <v>805</v>
      </c>
      <c r="E823" s="3"/>
    </row>
    <row r="824" spans="1:5" ht="24.75" customHeight="1">
      <c r="A824" s="2">
        <v>822</v>
      </c>
      <c r="B824" s="2" t="str">
        <f>"万里颖"</f>
        <v>万里颖</v>
      </c>
      <c r="C824" s="2" t="s">
        <v>756</v>
      </c>
      <c r="D824" s="2" t="s">
        <v>806</v>
      </c>
      <c r="E824" s="3"/>
    </row>
    <row r="825" spans="1:5" ht="24.75" customHeight="1">
      <c r="A825" s="2">
        <v>823</v>
      </c>
      <c r="B825" s="2" t="str">
        <f>"彭奎龙"</f>
        <v>彭奎龙</v>
      </c>
      <c r="C825" s="2" t="s">
        <v>756</v>
      </c>
      <c r="D825" s="2" t="s">
        <v>807</v>
      </c>
      <c r="E825" s="3"/>
    </row>
    <row r="826" spans="1:5" ht="24.75" customHeight="1">
      <c r="A826" s="2">
        <v>824</v>
      </c>
      <c r="B826" s="2" t="str">
        <f>"吴俊宇"</f>
        <v>吴俊宇</v>
      </c>
      <c r="C826" s="2" t="s">
        <v>756</v>
      </c>
      <c r="D826" s="2" t="s">
        <v>808</v>
      </c>
      <c r="E826" s="3"/>
    </row>
    <row r="827" spans="1:5" ht="24.75" customHeight="1">
      <c r="A827" s="2">
        <v>825</v>
      </c>
      <c r="B827" s="2" t="str">
        <f>"李静"</f>
        <v>李静</v>
      </c>
      <c r="C827" s="2" t="s">
        <v>756</v>
      </c>
      <c r="D827" s="2" t="s">
        <v>809</v>
      </c>
      <c r="E827" s="3"/>
    </row>
    <row r="828" spans="1:5" ht="24.75" customHeight="1">
      <c r="A828" s="2">
        <v>826</v>
      </c>
      <c r="B828" s="2" t="str">
        <f>"陈赞博"</f>
        <v>陈赞博</v>
      </c>
      <c r="C828" s="2" t="s">
        <v>756</v>
      </c>
      <c r="D828" s="2" t="s">
        <v>810</v>
      </c>
      <c r="E828" s="3"/>
    </row>
    <row r="829" spans="1:5" ht="24.75" customHeight="1">
      <c r="A829" s="2">
        <v>827</v>
      </c>
      <c r="B829" s="2" t="str">
        <f>"王瑾"</f>
        <v>王瑾</v>
      </c>
      <c r="C829" s="2" t="s">
        <v>756</v>
      </c>
      <c r="D829" s="2" t="s">
        <v>811</v>
      </c>
      <c r="E829" s="3"/>
    </row>
    <row r="830" spans="1:5" ht="24.75" customHeight="1">
      <c r="A830" s="2">
        <v>828</v>
      </c>
      <c r="B830" s="2" t="str">
        <f>"林净宜"</f>
        <v>林净宜</v>
      </c>
      <c r="C830" s="2" t="s">
        <v>756</v>
      </c>
      <c r="D830" s="2" t="s">
        <v>812</v>
      </c>
      <c r="E830" s="3"/>
    </row>
    <row r="831" spans="1:5" ht="24.75" customHeight="1">
      <c r="A831" s="2">
        <v>829</v>
      </c>
      <c r="B831" s="2" t="str">
        <f>"赵三"</f>
        <v>赵三</v>
      </c>
      <c r="C831" s="2" t="s">
        <v>756</v>
      </c>
      <c r="D831" s="2" t="s">
        <v>813</v>
      </c>
      <c r="E831" s="3"/>
    </row>
    <row r="832" spans="1:5" ht="24.75" customHeight="1">
      <c r="A832" s="2">
        <v>830</v>
      </c>
      <c r="B832" s="2" t="str">
        <f>"李兰欢"</f>
        <v>李兰欢</v>
      </c>
      <c r="C832" s="2" t="s">
        <v>756</v>
      </c>
      <c r="D832" s="2" t="s">
        <v>814</v>
      </c>
      <c r="E832" s="3"/>
    </row>
    <row r="833" spans="1:5" ht="24.75" customHeight="1">
      <c r="A833" s="2">
        <v>831</v>
      </c>
      <c r="B833" s="2" t="str">
        <f>"郭羽琦"</f>
        <v>郭羽琦</v>
      </c>
      <c r="C833" s="2" t="s">
        <v>756</v>
      </c>
      <c r="D833" s="2" t="s">
        <v>815</v>
      </c>
      <c r="E833" s="3"/>
    </row>
    <row r="834" spans="1:5" ht="24.75" customHeight="1">
      <c r="A834" s="2">
        <v>832</v>
      </c>
      <c r="B834" s="2" t="str">
        <f>"吴倩仪"</f>
        <v>吴倩仪</v>
      </c>
      <c r="C834" s="2" t="s">
        <v>756</v>
      </c>
      <c r="D834" s="2" t="s">
        <v>816</v>
      </c>
      <c r="E834" s="3"/>
    </row>
    <row r="835" spans="1:5" ht="24.75" customHeight="1">
      <c r="A835" s="2">
        <v>833</v>
      </c>
      <c r="B835" s="2" t="str">
        <f>"王婧"</f>
        <v>王婧</v>
      </c>
      <c r="C835" s="2" t="s">
        <v>756</v>
      </c>
      <c r="D835" s="2" t="s">
        <v>817</v>
      </c>
      <c r="E835" s="3"/>
    </row>
    <row r="836" spans="1:5" ht="24.75" customHeight="1">
      <c r="A836" s="2">
        <v>834</v>
      </c>
      <c r="B836" s="2" t="str">
        <f>"钟倩"</f>
        <v>钟倩</v>
      </c>
      <c r="C836" s="2" t="s">
        <v>756</v>
      </c>
      <c r="D836" s="2" t="s">
        <v>818</v>
      </c>
      <c r="E836" s="3"/>
    </row>
    <row r="837" spans="1:5" ht="24.75" customHeight="1">
      <c r="A837" s="2">
        <v>835</v>
      </c>
      <c r="B837" s="2" t="str">
        <f>"黄永舒"</f>
        <v>黄永舒</v>
      </c>
      <c r="C837" s="2" t="s">
        <v>756</v>
      </c>
      <c r="D837" s="2" t="s">
        <v>819</v>
      </c>
      <c r="E837" s="3"/>
    </row>
    <row r="838" spans="1:5" ht="24.75" customHeight="1">
      <c r="A838" s="2">
        <v>836</v>
      </c>
      <c r="B838" s="2" t="str">
        <f>"王芳敏"</f>
        <v>王芳敏</v>
      </c>
      <c r="C838" s="2" t="s">
        <v>756</v>
      </c>
      <c r="D838" s="2" t="s">
        <v>820</v>
      </c>
      <c r="E838" s="3"/>
    </row>
    <row r="839" spans="1:5" ht="24.75" customHeight="1">
      <c r="A839" s="2">
        <v>837</v>
      </c>
      <c r="B839" s="2" t="str">
        <f>"田尧"</f>
        <v>田尧</v>
      </c>
      <c r="C839" s="2" t="s">
        <v>756</v>
      </c>
      <c r="D839" s="2" t="s">
        <v>821</v>
      </c>
      <c r="E839" s="3"/>
    </row>
    <row r="840" spans="1:5" ht="24.75" customHeight="1">
      <c r="A840" s="2">
        <v>838</v>
      </c>
      <c r="B840" s="2" t="str">
        <f>"陈玉彩"</f>
        <v>陈玉彩</v>
      </c>
      <c r="C840" s="2" t="s">
        <v>756</v>
      </c>
      <c r="D840" s="2" t="s">
        <v>822</v>
      </c>
      <c r="E840" s="3"/>
    </row>
    <row r="841" spans="1:5" ht="24.75" customHeight="1">
      <c r="A841" s="2">
        <v>839</v>
      </c>
      <c r="B841" s="2" t="str">
        <f>"陈思桦"</f>
        <v>陈思桦</v>
      </c>
      <c r="C841" s="2" t="s">
        <v>756</v>
      </c>
      <c r="D841" s="2" t="s">
        <v>823</v>
      </c>
      <c r="E841" s="3"/>
    </row>
    <row r="842" spans="1:5" ht="24.75" customHeight="1">
      <c r="A842" s="2">
        <v>840</v>
      </c>
      <c r="B842" s="2" t="str">
        <f>"陈奕美"</f>
        <v>陈奕美</v>
      </c>
      <c r="C842" s="2" t="s">
        <v>756</v>
      </c>
      <c r="D842" s="2" t="s">
        <v>824</v>
      </c>
      <c r="E842" s="3"/>
    </row>
    <row r="843" spans="1:5" ht="24.75" customHeight="1">
      <c r="A843" s="2">
        <v>841</v>
      </c>
      <c r="B843" s="2" t="str">
        <f>"徐慧"</f>
        <v>徐慧</v>
      </c>
      <c r="C843" s="2" t="s">
        <v>756</v>
      </c>
      <c r="D843" s="2" t="s">
        <v>825</v>
      </c>
      <c r="E843" s="3"/>
    </row>
    <row r="844" spans="1:5" ht="24.75" customHeight="1">
      <c r="A844" s="2">
        <v>842</v>
      </c>
      <c r="B844" s="2" t="str">
        <f>"许振辉"</f>
        <v>许振辉</v>
      </c>
      <c r="C844" s="2" t="s">
        <v>756</v>
      </c>
      <c r="D844" s="2" t="s">
        <v>826</v>
      </c>
      <c r="E844" s="3"/>
    </row>
    <row r="845" spans="1:5" ht="24.75" customHeight="1">
      <c r="A845" s="2">
        <v>843</v>
      </c>
      <c r="B845" s="2" t="str">
        <f>"罗宗巧"</f>
        <v>罗宗巧</v>
      </c>
      <c r="C845" s="2" t="s">
        <v>756</v>
      </c>
      <c r="D845" s="2" t="s">
        <v>827</v>
      </c>
      <c r="E845" s="3"/>
    </row>
    <row r="846" spans="1:5" ht="24.75" customHeight="1">
      <c r="A846" s="2">
        <v>844</v>
      </c>
      <c r="B846" s="2" t="str">
        <f>"冯雷蕾"</f>
        <v>冯雷蕾</v>
      </c>
      <c r="C846" s="2" t="s">
        <v>756</v>
      </c>
      <c r="D846" s="2" t="s">
        <v>828</v>
      </c>
      <c r="E846" s="3"/>
    </row>
    <row r="847" spans="1:5" ht="24.75" customHeight="1">
      <c r="A847" s="2">
        <v>845</v>
      </c>
      <c r="B847" s="2" t="str">
        <f>"许云金"</f>
        <v>许云金</v>
      </c>
      <c r="C847" s="2" t="s">
        <v>756</v>
      </c>
      <c r="D847" s="2" t="s">
        <v>829</v>
      </c>
      <c r="E847" s="3"/>
    </row>
    <row r="848" spans="1:5" ht="24.75" customHeight="1">
      <c r="A848" s="2">
        <v>846</v>
      </c>
      <c r="B848" s="2" t="str">
        <f>"徐梦妮"</f>
        <v>徐梦妮</v>
      </c>
      <c r="C848" s="2" t="s">
        <v>756</v>
      </c>
      <c r="D848" s="2" t="s">
        <v>830</v>
      </c>
      <c r="E848" s="3"/>
    </row>
    <row r="849" spans="1:5" ht="24.75" customHeight="1">
      <c r="A849" s="2">
        <v>847</v>
      </c>
      <c r="B849" s="2" t="str">
        <f>"袁娟"</f>
        <v>袁娟</v>
      </c>
      <c r="C849" s="2" t="s">
        <v>756</v>
      </c>
      <c r="D849" s="2" t="s">
        <v>831</v>
      </c>
      <c r="E849" s="3"/>
    </row>
    <row r="850" spans="1:5" ht="24.75" customHeight="1">
      <c r="A850" s="2">
        <v>848</v>
      </c>
      <c r="B850" s="2" t="str">
        <f>"王梦园"</f>
        <v>王梦园</v>
      </c>
      <c r="C850" s="2" t="s">
        <v>756</v>
      </c>
      <c r="D850" s="2" t="s">
        <v>832</v>
      </c>
      <c r="E850" s="3"/>
    </row>
    <row r="851" spans="1:5" ht="24.75" customHeight="1">
      <c r="A851" s="2">
        <v>849</v>
      </c>
      <c r="B851" s="2" t="str">
        <f>"周冬慧"</f>
        <v>周冬慧</v>
      </c>
      <c r="C851" s="2" t="s">
        <v>756</v>
      </c>
      <c r="D851" s="2" t="s">
        <v>833</v>
      </c>
      <c r="E851" s="3"/>
    </row>
    <row r="852" spans="1:5" ht="24.75" customHeight="1">
      <c r="A852" s="2">
        <v>850</v>
      </c>
      <c r="B852" s="2" t="str">
        <f>"李立轩"</f>
        <v>李立轩</v>
      </c>
      <c r="C852" s="2" t="s">
        <v>756</v>
      </c>
      <c r="D852" s="2" t="s">
        <v>834</v>
      </c>
      <c r="E852" s="3"/>
    </row>
    <row r="853" spans="1:5" ht="24.75" customHeight="1">
      <c r="A853" s="2">
        <v>851</v>
      </c>
      <c r="B853" s="2" t="str">
        <f>"王莎莎"</f>
        <v>王莎莎</v>
      </c>
      <c r="C853" s="2" t="s">
        <v>756</v>
      </c>
      <c r="D853" s="2" t="s">
        <v>835</v>
      </c>
      <c r="E853" s="3"/>
    </row>
    <row r="854" spans="1:5" ht="24.75" customHeight="1">
      <c r="A854" s="2">
        <v>852</v>
      </c>
      <c r="B854" s="2" t="str">
        <f>"陈娜"</f>
        <v>陈娜</v>
      </c>
      <c r="C854" s="2" t="s">
        <v>756</v>
      </c>
      <c r="D854" s="2" t="s">
        <v>836</v>
      </c>
      <c r="E854" s="3"/>
    </row>
    <row r="855" spans="1:5" ht="24.75" customHeight="1">
      <c r="A855" s="2">
        <v>853</v>
      </c>
      <c r="B855" s="2" t="str">
        <f>"李文婷"</f>
        <v>李文婷</v>
      </c>
      <c r="C855" s="2" t="s">
        <v>756</v>
      </c>
      <c r="D855" s="2" t="s">
        <v>837</v>
      </c>
      <c r="E855" s="3"/>
    </row>
    <row r="856" spans="1:5" ht="24.75" customHeight="1">
      <c r="A856" s="2">
        <v>854</v>
      </c>
      <c r="B856" s="2" t="str">
        <f>"强恺晟"</f>
        <v>强恺晟</v>
      </c>
      <c r="C856" s="2" t="s">
        <v>756</v>
      </c>
      <c r="D856" s="2" t="s">
        <v>838</v>
      </c>
      <c r="E856" s="3"/>
    </row>
    <row r="857" spans="1:5" ht="24.75" customHeight="1">
      <c r="A857" s="2">
        <v>855</v>
      </c>
      <c r="B857" s="2" t="str">
        <f>"曾小颖"</f>
        <v>曾小颖</v>
      </c>
      <c r="C857" s="2" t="s">
        <v>756</v>
      </c>
      <c r="D857" s="2" t="s">
        <v>839</v>
      </c>
      <c r="E857" s="3"/>
    </row>
    <row r="858" spans="1:5" ht="24.75" customHeight="1">
      <c r="A858" s="2">
        <v>856</v>
      </c>
      <c r="B858" s="2" t="str">
        <f>"云子诚"</f>
        <v>云子诚</v>
      </c>
      <c r="C858" s="2" t="s">
        <v>756</v>
      </c>
      <c r="D858" s="2" t="s">
        <v>840</v>
      </c>
      <c r="E858" s="3"/>
    </row>
    <row r="859" spans="1:5" ht="24.75" customHeight="1">
      <c r="A859" s="2">
        <v>857</v>
      </c>
      <c r="B859" s="2" t="str">
        <f>"王遥"</f>
        <v>王遥</v>
      </c>
      <c r="C859" s="2" t="s">
        <v>756</v>
      </c>
      <c r="D859" s="2" t="s">
        <v>841</v>
      </c>
      <c r="E859" s="3"/>
    </row>
    <row r="860" spans="1:5" ht="24.75" customHeight="1">
      <c r="A860" s="2">
        <v>858</v>
      </c>
      <c r="B860" s="2" t="str">
        <f>"黄琪"</f>
        <v>黄琪</v>
      </c>
      <c r="C860" s="2" t="s">
        <v>756</v>
      </c>
      <c r="D860" s="2" t="s">
        <v>842</v>
      </c>
      <c r="E860" s="3"/>
    </row>
    <row r="861" spans="1:5" ht="24.75" customHeight="1">
      <c r="A861" s="2">
        <v>859</v>
      </c>
      <c r="B861" s="2" t="str">
        <f>"胡文洁"</f>
        <v>胡文洁</v>
      </c>
      <c r="C861" s="2" t="s">
        <v>756</v>
      </c>
      <c r="D861" s="2" t="s">
        <v>843</v>
      </c>
      <c r="E861" s="3"/>
    </row>
    <row r="862" spans="1:5" ht="24.75" customHeight="1">
      <c r="A862" s="2">
        <v>860</v>
      </c>
      <c r="B862" s="2" t="str">
        <f>"刘芳穗"</f>
        <v>刘芳穗</v>
      </c>
      <c r="C862" s="2" t="s">
        <v>756</v>
      </c>
      <c r="D862" s="2" t="s">
        <v>844</v>
      </c>
      <c r="E862" s="3"/>
    </row>
    <row r="863" spans="1:5" ht="24.75" customHeight="1">
      <c r="A863" s="2">
        <v>861</v>
      </c>
      <c r="B863" s="2" t="str">
        <f>"林世祯"</f>
        <v>林世祯</v>
      </c>
      <c r="C863" s="2" t="s">
        <v>756</v>
      </c>
      <c r="D863" s="2" t="s">
        <v>845</v>
      </c>
      <c r="E863" s="3"/>
    </row>
    <row r="864" spans="1:5" ht="24.75" customHeight="1">
      <c r="A864" s="2">
        <v>862</v>
      </c>
      <c r="B864" s="2" t="str">
        <f>"柯苏倩"</f>
        <v>柯苏倩</v>
      </c>
      <c r="C864" s="2" t="s">
        <v>756</v>
      </c>
      <c r="D864" s="2" t="s">
        <v>846</v>
      </c>
      <c r="E864" s="3"/>
    </row>
    <row r="865" spans="1:5" ht="24.75" customHeight="1">
      <c r="A865" s="2">
        <v>863</v>
      </c>
      <c r="B865" s="2" t="str">
        <f>"曾广顺"</f>
        <v>曾广顺</v>
      </c>
      <c r="C865" s="2" t="s">
        <v>756</v>
      </c>
      <c r="D865" s="2" t="s">
        <v>847</v>
      </c>
      <c r="E865" s="3"/>
    </row>
    <row r="866" spans="1:5" ht="24.75" customHeight="1">
      <c r="A866" s="2">
        <v>864</v>
      </c>
      <c r="B866" s="2" t="str">
        <f>"陈奕丹"</f>
        <v>陈奕丹</v>
      </c>
      <c r="C866" s="2" t="s">
        <v>756</v>
      </c>
      <c r="D866" s="2" t="s">
        <v>848</v>
      </c>
      <c r="E866" s="3"/>
    </row>
    <row r="867" spans="1:5" ht="24.75" customHeight="1">
      <c r="A867" s="2">
        <v>865</v>
      </c>
      <c r="B867" s="2" t="str">
        <f>"李敏娴"</f>
        <v>李敏娴</v>
      </c>
      <c r="C867" s="2" t="s">
        <v>756</v>
      </c>
      <c r="D867" s="2" t="s">
        <v>849</v>
      </c>
      <c r="E867" s="3"/>
    </row>
    <row r="868" spans="1:5" ht="24.75" customHeight="1">
      <c r="A868" s="2">
        <v>866</v>
      </c>
      <c r="B868" s="2" t="str">
        <f>"符彩燕"</f>
        <v>符彩燕</v>
      </c>
      <c r="C868" s="2" t="s">
        <v>756</v>
      </c>
      <c r="D868" s="2" t="s">
        <v>850</v>
      </c>
      <c r="E868" s="3"/>
    </row>
    <row r="869" spans="1:5" ht="24.75" customHeight="1">
      <c r="A869" s="2">
        <v>867</v>
      </c>
      <c r="B869" s="2" t="str">
        <f>"李航"</f>
        <v>李航</v>
      </c>
      <c r="C869" s="2" t="s">
        <v>756</v>
      </c>
      <c r="D869" s="2" t="s">
        <v>851</v>
      </c>
      <c r="E869" s="3"/>
    </row>
    <row r="870" spans="1:5" ht="24.75" customHeight="1">
      <c r="A870" s="2">
        <v>868</v>
      </c>
      <c r="B870" s="2" t="str">
        <f>"陈红"</f>
        <v>陈红</v>
      </c>
      <c r="C870" s="2" t="s">
        <v>756</v>
      </c>
      <c r="D870" s="2" t="s">
        <v>852</v>
      </c>
      <c r="E870" s="3"/>
    </row>
    <row r="871" spans="1:5" ht="24.75" customHeight="1">
      <c r="A871" s="2">
        <v>869</v>
      </c>
      <c r="B871" s="2" t="str">
        <f>"李璐璐"</f>
        <v>李璐璐</v>
      </c>
      <c r="C871" s="2" t="s">
        <v>756</v>
      </c>
      <c r="D871" s="2" t="s">
        <v>853</v>
      </c>
      <c r="E871" s="3"/>
    </row>
    <row r="872" spans="1:5" ht="24.75" customHeight="1">
      <c r="A872" s="2">
        <v>870</v>
      </c>
      <c r="B872" s="2" t="str">
        <f>"王葵霖"</f>
        <v>王葵霖</v>
      </c>
      <c r="C872" s="2" t="s">
        <v>756</v>
      </c>
      <c r="D872" s="2" t="s">
        <v>854</v>
      </c>
      <c r="E872" s="3"/>
    </row>
    <row r="873" spans="1:5" ht="24.75" customHeight="1">
      <c r="A873" s="2">
        <v>871</v>
      </c>
      <c r="B873" s="2" t="str">
        <f>"郑童少"</f>
        <v>郑童少</v>
      </c>
      <c r="C873" s="2" t="s">
        <v>756</v>
      </c>
      <c r="D873" s="2" t="s">
        <v>855</v>
      </c>
      <c r="E873" s="3"/>
    </row>
    <row r="874" spans="1:5" ht="24.75" customHeight="1">
      <c r="A874" s="2">
        <v>872</v>
      </c>
      <c r="B874" s="2" t="str">
        <f>"王康静"</f>
        <v>王康静</v>
      </c>
      <c r="C874" s="2" t="s">
        <v>756</v>
      </c>
      <c r="D874" s="2" t="s">
        <v>856</v>
      </c>
      <c r="E874" s="3"/>
    </row>
    <row r="875" spans="1:5" ht="24.75" customHeight="1">
      <c r="A875" s="2">
        <v>873</v>
      </c>
      <c r="B875" s="2" t="str">
        <f>"陈美玲"</f>
        <v>陈美玲</v>
      </c>
      <c r="C875" s="2" t="s">
        <v>756</v>
      </c>
      <c r="D875" s="2" t="s">
        <v>857</v>
      </c>
      <c r="E875" s="3"/>
    </row>
    <row r="876" spans="1:5" ht="24.75" customHeight="1">
      <c r="A876" s="2">
        <v>874</v>
      </c>
      <c r="B876" s="2" t="str">
        <f>"王蕗涵"</f>
        <v>王蕗涵</v>
      </c>
      <c r="C876" s="2" t="s">
        <v>756</v>
      </c>
      <c r="D876" s="2" t="s">
        <v>858</v>
      </c>
      <c r="E876" s="3"/>
    </row>
    <row r="877" spans="1:5" ht="24.75" customHeight="1">
      <c r="A877" s="2">
        <v>875</v>
      </c>
      <c r="B877" s="2" t="str">
        <f>"温立雄"</f>
        <v>温立雄</v>
      </c>
      <c r="C877" s="2" t="s">
        <v>756</v>
      </c>
      <c r="D877" s="2" t="s">
        <v>859</v>
      </c>
      <c r="E877" s="3"/>
    </row>
    <row r="878" spans="1:5" ht="24.75" customHeight="1">
      <c r="A878" s="2">
        <v>876</v>
      </c>
      <c r="B878" s="2" t="str">
        <f>"符慧琪"</f>
        <v>符慧琪</v>
      </c>
      <c r="C878" s="2" t="s">
        <v>756</v>
      </c>
      <c r="D878" s="2" t="s">
        <v>860</v>
      </c>
      <c r="E878" s="3"/>
    </row>
    <row r="879" spans="1:5" ht="24.75" customHeight="1">
      <c r="A879" s="2">
        <v>877</v>
      </c>
      <c r="B879" s="2" t="str">
        <f>"梁潇元"</f>
        <v>梁潇元</v>
      </c>
      <c r="C879" s="2" t="s">
        <v>756</v>
      </c>
      <c r="D879" s="2" t="s">
        <v>861</v>
      </c>
      <c r="E879" s="3"/>
    </row>
    <row r="880" spans="1:5" ht="24.75" customHeight="1">
      <c r="A880" s="2">
        <v>878</v>
      </c>
      <c r="B880" s="2" t="str">
        <f>"陆海英"</f>
        <v>陆海英</v>
      </c>
      <c r="C880" s="2" t="s">
        <v>756</v>
      </c>
      <c r="D880" s="2" t="s">
        <v>862</v>
      </c>
      <c r="E880" s="3"/>
    </row>
    <row r="881" spans="1:5" ht="24.75" customHeight="1">
      <c r="A881" s="2">
        <v>879</v>
      </c>
      <c r="B881" s="2" t="str">
        <f>"朱琳"</f>
        <v>朱琳</v>
      </c>
      <c r="C881" s="2" t="s">
        <v>756</v>
      </c>
      <c r="D881" s="2" t="s">
        <v>863</v>
      </c>
      <c r="E881" s="3"/>
    </row>
    <row r="882" spans="1:5" ht="24.75" customHeight="1">
      <c r="A882" s="2">
        <v>880</v>
      </c>
      <c r="B882" s="2" t="str">
        <f>"冯志冲"</f>
        <v>冯志冲</v>
      </c>
      <c r="C882" s="2" t="s">
        <v>756</v>
      </c>
      <c r="D882" s="2" t="s">
        <v>864</v>
      </c>
      <c r="E882" s="3"/>
    </row>
    <row r="883" spans="1:5" ht="24.75" customHeight="1">
      <c r="A883" s="2">
        <v>881</v>
      </c>
      <c r="B883" s="2" t="str">
        <f>"李美珊"</f>
        <v>李美珊</v>
      </c>
      <c r="C883" s="2" t="s">
        <v>756</v>
      </c>
      <c r="D883" s="2" t="s">
        <v>865</v>
      </c>
      <c r="E883" s="3"/>
    </row>
    <row r="884" spans="1:5" ht="24.75" customHeight="1">
      <c r="A884" s="2">
        <v>882</v>
      </c>
      <c r="B884" s="2" t="str">
        <f>"李强"</f>
        <v>李强</v>
      </c>
      <c r="C884" s="2" t="s">
        <v>756</v>
      </c>
      <c r="D884" s="2" t="s">
        <v>866</v>
      </c>
      <c r="E884" s="3"/>
    </row>
    <row r="885" spans="1:5" ht="24.75" customHeight="1">
      <c r="A885" s="2">
        <v>883</v>
      </c>
      <c r="B885" s="2" t="str">
        <f>"王茹云"</f>
        <v>王茹云</v>
      </c>
      <c r="C885" s="2" t="s">
        <v>756</v>
      </c>
      <c r="D885" s="2" t="s">
        <v>459</v>
      </c>
      <c r="E885" s="3"/>
    </row>
    <row r="886" spans="1:5" ht="24.75" customHeight="1">
      <c r="A886" s="2">
        <v>884</v>
      </c>
      <c r="B886" s="2" t="str">
        <f>"陈晶晶"</f>
        <v>陈晶晶</v>
      </c>
      <c r="C886" s="2" t="s">
        <v>756</v>
      </c>
      <c r="D886" s="2" t="s">
        <v>867</v>
      </c>
      <c r="E886" s="3"/>
    </row>
    <row r="887" spans="1:5" ht="24.75" customHeight="1">
      <c r="A887" s="2">
        <v>885</v>
      </c>
      <c r="B887" s="2" t="str">
        <f>"孙影"</f>
        <v>孙影</v>
      </c>
      <c r="C887" s="2" t="s">
        <v>756</v>
      </c>
      <c r="D887" s="2" t="s">
        <v>868</v>
      </c>
      <c r="E887" s="3"/>
    </row>
    <row r="888" spans="1:5" ht="24.75" customHeight="1">
      <c r="A888" s="2">
        <v>886</v>
      </c>
      <c r="B888" s="2" t="str">
        <f>"王玉婷"</f>
        <v>王玉婷</v>
      </c>
      <c r="C888" s="2" t="s">
        <v>756</v>
      </c>
      <c r="D888" s="2" t="s">
        <v>869</v>
      </c>
      <c r="E888" s="3"/>
    </row>
    <row r="889" spans="1:5" ht="24.75" customHeight="1">
      <c r="A889" s="2">
        <v>887</v>
      </c>
      <c r="B889" s="2" t="str">
        <f>"陈双盈"</f>
        <v>陈双盈</v>
      </c>
      <c r="C889" s="2" t="s">
        <v>756</v>
      </c>
      <c r="D889" s="2" t="s">
        <v>107</v>
      </c>
      <c r="E889" s="3"/>
    </row>
    <row r="890" spans="1:5" ht="24.75" customHeight="1">
      <c r="A890" s="2">
        <v>888</v>
      </c>
      <c r="B890" s="2" t="str">
        <f>"杨冰"</f>
        <v>杨冰</v>
      </c>
      <c r="C890" s="2" t="s">
        <v>756</v>
      </c>
      <c r="D890" s="2" t="s">
        <v>870</v>
      </c>
      <c r="E890" s="3"/>
    </row>
    <row r="891" spans="1:5" ht="24.75" customHeight="1">
      <c r="A891" s="2">
        <v>889</v>
      </c>
      <c r="B891" s="2" t="str">
        <f>"胡雨蓉"</f>
        <v>胡雨蓉</v>
      </c>
      <c r="C891" s="2" t="s">
        <v>756</v>
      </c>
      <c r="D891" s="2" t="s">
        <v>871</v>
      </c>
      <c r="E891" s="3"/>
    </row>
    <row r="892" spans="1:5" ht="24.75" customHeight="1">
      <c r="A892" s="2">
        <v>890</v>
      </c>
      <c r="B892" s="2" t="str">
        <f>"陈秀博"</f>
        <v>陈秀博</v>
      </c>
      <c r="C892" s="2" t="s">
        <v>756</v>
      </c>
      <c r="D892" s="2" t="s">
        <v>872</v>
      </c>
      <c r="E892" s="3"/>
    </row>
    <row r="893" spans="1:5" ht="24.75" customHeight="1">
      <c r="A893" s="2">
        <v>891</v>
      </c>
      <c r="B893" s="2" t="str">
        <f>"潘贝莎"</f>
        <v>潘贝莎</v>
      </c>
      <c r="C893" s="2" t="s">
        <v>756</v>
      </c>
      <c r="D893" s="2" t="s">
        <v>873</v>
      </c>
      <c r="E893" s="3"/>
    </row>
    <row r="894" spans="1:5" ht="24.75" customHeight="1">
      <c r="A894" s="2">
        <v>892</v>
      </c>
      <c r="B894" s="2" t="str">
        <f>"王芮"</f>
        <v>王芮</v>
      </c>
      <c r="C894" s="2" t="s">
        <v>756</v>
      </c>
      <c r="D894" s="2" t="s">
        <v>874</v>
      </c>
      <c r="E894" s="3"/>
    </row>
    <row r="895" spans="1:5" ht="24.75" customHeight="1">
      <c r="A895" s="2">
        <v>893</v>
      </c>
      <c r="B895" s="2" t="str">
        <f>"林丽君"</f>
        <v>林丽君</v>
      </c>
      <c r="C895" s="2" t="s">
        <v>756</v>
      </c>
      <c r="D895" s="2" t="s">
        <v>875</v>
      </c>
      <c r="E895" s="3"/>
    </row>
    <row r="896" spans="1:5" ht="24.75" customHeight="1">
      <c r="A896" s="2">
        <v>894</v>
      </c>
      <c r="B896" s="2" t="str">
        <f>"卓千莹"</f>
        <v>卓千莹</v>
      </c>
      <c r="C896" s="2" t="s">
        <v>756</v>
      </c>
      <c r="D896" s="2" t="s">
        <v>876</v>
      </c>
      <c r="E896" s="3"/>
    </row>
    <row r="897" spans="1:5" ht="24.75" customHeight="1">
      <c r="A897" s="2">
        <v>895</v>
      </c>
      <c r="B897" s="2" t="str">
        <f>"王春蕾"</f>
        <v>王春蕾</v>
      </c>
      <c r="C897" s="2" t="s">
        <v>756</v>
      </c>
      <c r="D897" s="2" t="s">
        <v>877</v>
      </c>
      <c r="E897" s="3"/>
    </row>
    <row r="898" spans="1:5" ht="24.75" customHeight="1">
      <c r="A898" s="2">
        <v>896</v>
      </c>
      <c r="B898" s="2" t="str">
        <f>"陈泓冰"</f>
        <v>陈泓冰</v>
      </c>
      <c r="C898" s="2" t="s">
        <v>756</v>
      </c>
      <c r="D898" s="2" t="s">
        <v>878</v>
      </c>
      <c r="E898" s="3"/>
    </row>
    <row r="899" spans="1:5" ht="24.75" customHeight="1">
      <c r="A899" s="2">
        <v>897</v>
      </c>
      <c r="B899" s="2" t="str">
        <f>"罗清华"</f>
        <v>罗清华</v>
      </c>
      <c r="C899" s="2" t="s">
        <v>756</v>
      </c>
      <c r="D899" s="2" t="s">
        <v>879</v>
      </c>
      <c r="E899" s="3"/>
    </row>
    <row r="900" spans="1:5" ht="24.75" customHeight="1">
      <c r="A900" s="2">
        <v>898</v>
      </c>
      <c r="B900" s="2" t="str">
        <f>"苏立珊"</f>
        <v>苏立珊</v>
      </c>
      <c r="C900" s="2" t="s">
        <v>756</v>
      </c>
      <c r="D900" s="2" t="s">
        <v>880</v>
      </c>
      <c r="E900" s="3"/>
    </row>
    <row r="901" spans="1:5" ht="24.75" customHeight="1">
      <c r="A901" s="2">
        <v>899</v>
      </c>
      <c r="B901" s="2" t="str">
        <f>"吴素瑶"</f>
        <v>吴素瑶</v>
      </c>
      <c r="C901" s="2" t="s">
        <v>756</v>
      </c>
      <c r="D901" s="2" t="s">
        <v>881</v>
      </c>
      <c r="E901" s="3"/>
    </row>
    <row r="902" spans="1:5" ht="24.75" customHeight="1">
      <c r="A902" s="2">
        <v>900</v>
      </c>
      <c r="B902" s="2" t="str">
        <f>"李竹"</f>
        <v>李竹</v>
      </c>
      <c r="C902" s="2" t="s">
        <v>756</v>
      </c>
      <c r="D902" s="2" t="s">
        <v>882</v>
      </c>
      <c r="E902" s="3"/>
    </row>
    <row r="903" spans="1:5" ht="24.75" customHeight="1">
      <c r="A903" s="2">
        <v>901</v>
      </c>
      <c r="B903" s="2" t="str">
        <f>"秦晓玲"</f>
        <v>秦晓玲</v>
      </c>
      <c r="C903" s="2" t="s">
        <v>756</v>
      </c>
      <c r="D903" s="2" t="s">
        <v>883</v>
      </c>
      <c r="E903" s="3"/>
    </row>
    <row r="904" spans="1:5" ht="24.75" customHeight="1">
      <c r="A904" s="2">
        <v>902</v>
      </c>
      <c r="B904" s="2" t="str">
        <f>"黄雨帆"</f>
        <v>黄雨帆</v>
      </c>
      <c r="C904" s="2" t="s">
        <v>756</v>
      </c>
      <c r="D904" s="2" t="s">
        <v>309</v>
      </c>
      <c r="E904" s="3"/>
    </row>
    <row r="905" spans="1:5" ht="24.75" customHeight="1">
      <c r="A905" s="2">
        <v>903</v>
      </c>
      <c r="B905" s="2" t="str">
        <f>"林敏"</f>
        <v>林敏</v>
      </c>
      <c r="C905" s="2" t="s">
        <v>756</v>
      </c>
      <c r="D905" s="2" t="s">
        <v>884</v>
      </c>
      <c r="E905" s="3"/>
    </row>
    <row r="906" spans="1:5" ht="24.75" customHeight="1">
      <c r="A906" s="2">
        <v>904</v>
      </c>
      <c r="B906" s="2" t="str">
        <f>"张丽芬"</f>
        <v>张丽芬</v>
      </c>
      <c r="C906" s="2" t="s">
        <v>756</v>
      </c>
      <c r="D906" s="2" t="s">
        <v>885</v>
      </c>
      <c r="E906" s="3"/>
    </row>
    <row r="907" spans="1:5" ht="24.75" customHeight="1">
      <c r="A907" s="2">
        <v>905</v>
      </c>
      <c r="B907" s="2" t="str">
        <f>"冯丽珠"</f>
        <v>冯丽珠</v>
      </c>
      <c r="C907" s="2" t="s">
        <v>756</v>
      </c>
      <c r="D907" s="2" t="s">
        <v>886</v>
      </c>
      <c r="E907" s="3"/>
    </row>
    <row r="908" spans="1:5" ht="24.75" customHeight="1">
      <c r="A908" s="2">
        <v>906</v>
      </c>
      <c r="B908" s="2" t="str">
        <f>"吴玉姑"</f>
        <v>吴玉姑</v>
      </c>
      <c r="C908" s="2" t="s">
        <v>756</v>
      </c>
      <c r="D908" s="2" t="s">
        <v>887</v>
      </c>
      <c r="E908" s="3"/>
    </row>
    <row r="909" spans="1:5" ht="24.75" customHeight="1">
      <c r="A909" s="2">
        <v>907</v>
      </c>
      <c r="B909" s="2" t="str">
        <f>"马艺玮"</f>
        <v>马艺玮</v>
      </c>
      <c r="C909" s="2" t="s">
        <v>756</v>
      </c>
      <c r="D909" s="2" t="s">
        <v>888</v>
      </c>
      <c r="E909" s="3"/>
    </row>
    <row r="910" spans="1:5" ht="24.75" customHeight="1">
      <c r="A910" s="2">
        <v>908</v>
      </c>
      <c r="B910" s="2" t="str">
        <f>"吴忠珏"</f>
        <v>吴忠珏</v>
      </c>
      <c r="C910" s="2" t="s">
        <v>756</v>
      </c>
      <c r="D910" s="2" t="s">
        <v>889</v>
      </c>
      <c r="E910" s="3"/>
    </row>
    <row r="911" spans="1:5" ht="24.75" customHeight="1">
      <c r="A911" s="2">
        <v>909</v>
      </c>
      <c r="B911" s="2" t="str">
        <f>"高永曰"</f>
        <v>高永曰</v>
      </c>
      <c r="C911" s="2" t="s">
        <v>756</v>
      </c>
      <c r="D911" s="2" t="s">
        <v>890</v>
      </c>
      <c r="E911" s="3"/>
    </row>
    <row r="912" spans="1:5" ht="24.75" customHeight="1">
      <c r="A912" s="2">
        <v>910</v>
      </c>
      <c r="B912" s="2" t="str">
        <f>"吴林洋"</f>
        <v>吴林洋</v>
      </c>
      <c r="C912" s="2" t="s">
        <v>756</v>
      </c>
      <c r="D912" s="2" t="s">
        <v>891</v>
      </c>
      <c r="E912" s="3"/>
    </row>
    <row r="913" spans="1:5" ht="24.75" customHeight="1">
      <c r="A913" s="2">
        <v>911</v>
      </c>
      <c r="B913" s="2" t="str">
        <f>"成鑫瑶"</f>
        <v>成鑫瑶</v>
      </c>
      <c r="C913" s="2" t="s">
        <v>756</v>
      </c>
      <c r="D913" s="2" t="s">
        <v>873</v>
      </c>
      <c r="E913" s="3"/>
    </row>
    <row r="914" spans="1:5" ht="24.75" customHeight="1">
      <c r="A914" s="2">
        <v>912</v>
      </c>
      <c r="B914" s="2" t="str">
        <f>"谭娜"</f>
        <v>谭娜</v>
      </c>
      <c r="C914" s="2" t="s">
        <v>756</v>
      </c>
      <c r="D914" s="2" t="s">
        <v>892</v>
      </c>
      <c r="E914" s="3"/>
    </row>
    <row r="915" spans="1:5" ht="24.75" customHeight="1">
      <c r="A915" s="2">
        <v>913</v>
      </c>
      <c r="B915" s="2" t="str">
        <f>"高诗捷"</f>
        <v>高诗捷</v>
      </c>
      <c r="C915" s="2" t="s">
        <v>756</v>
      </c>
      <c r="D915" s="2" t="s">
        <v>893</v>
      </c>
      <c r="E915" s="3"/>
    </row>
    <row r="916" spans="1:5" ht="24.75" customHeight="1">
      <c r="A916" s="2">
        <v>914</v>
      </c>
      <c r="B916" s="2" t="str">
        <f>"梁辰"</f>
        <v>梁辰</v>
      </c>
      <c r="C916" s="2" t="s">
        <v>756</v>
      </c>
      <c r="D916" s="2" t="s">
        <v>894</v>
      </c>
      <c r="E916" s="3"/>
    </row>
    <row r="917" spans="1:5" ht="24.75" customHeight="1">
      <c r="A917" s="2">
        <v>915</v>
      </c>
      <c r="B917" s="2" t="str">
        <f>"韩依彤"</f>
        <v>韩依彤</v>
      </c>
      <c r="C917" s="2" t="s">
        <v>756</v>
      </c>
      <c r="D917" s="2" t="s">
        <v>895</v>
      </c>
      <c r="E917" s="3"/>
    </row>
    <row r="918" spans="1:5" ht="24.75" customHeight="1">
      <c r="A918" s="2">
        <v>916</v>
      </c>
      <c r="B918" s="2" t="str">
        <f>"封宇瑄"</f>
        <v>封宇瑄</v>
      </c>
      <c r="C918" s="2" t="s">
        <v>756</v>
      </c>
      <c r="D918" s="2" t="s">
        <v>896</v>
      </c>
      <c r="E918" s="3"/>
    </row>
    <row r="919" spans="1:5" ht="24.75" customHeight="1">
      <c r="A919" s="2">
        <v>917</v>
      </c>
      <c r="B919" s="2" t="str">
        <f>"陈裕"</f>
        <v>陈裕</v>
      </c>
      <c r="C919" s="2" t="s">
        <v>756</v>
      </c>
      <c r="D919" s="2" t="s">
        <v>897</v>
      </c>
      <c r="E919" s="3"/>
    </row>
    <row r="920" spans="1:5" ht="24.75" customHeight="1">
      <c r="A920" s="2">
        <v>918</v>
      </c>
      <c r="B920" s="2" t="str">
        <f>"王田田"</f>
        <v>王田田</v>
      </c>
      <c r="C920" s="2" t="s">
        <v>756</v>
      </c>
      <c r="D920" s="2" t="s">
        <v>898</v>
      </c>
      <c r="E920" s="3"/>
    </row>
    <row r="921" spans="1:5" ht="24.75" customHeight="1">
      <c r="A921" s="2">
        <v>919</v>
      </c>
      <c r="B921" s="2" t="str">
        <f>"张北辰"</f>
        <v>张北辰</v>
      </c>
      <c r="C921" s="2" t="s">
        <v>756</v>
      </c>
      <c r="D921" s="2" t="s">
        <v>899</v>
      </c>
      <c r="E921" s="3"/>
    </row>
    <row r="922" spans="1:5" ht="24.75" customHeight="1">
      <c r="A922" s="2">
        <v>920</v>
      </c>
      <c r="B922" s="2" t="str">
        <f>"陈家华"</f>
        <v>陈家华</v>
      </c>
      <c r="C922" s="2" t="s">
        <v>756</v>
      </c>
      <c r="D922" s="2" t="s">
        <v>900</v>
      </c>
      <c r="E922" s="3"/>
    </row>
    <row r="923" spans="1:5" ht="24.75" customHeight="1">
      <c r="A923" s="2">
        <v>921</v>
      </c>
      <c r="B923" s="2" t="str">
        <f>"唐佩"</f>
        <v>唐佩</v>
      </c>
      <c r="C923" s="2" t="s">
        <v>756</v>
      </c>
      <c r="D923" s="2" t="s">
        <v>901</v>
      </c>
      <c r="E923" s="3"/>
    </row>
    <row r="924" spans="1:5" ht="24.75" customHeight="1">
      <c r="A924" s="2">
        <v>922</v>
      </c>
      <c r="B924" s="2" t="str">
        <f>"何俊儒"</f>
        <v>何俊儒</v>
      </c>
      <c r="C924" s="2" t="s">
        <v>756</v>
      </c>
      <c r="D924" s="2" t="s">
        <v>902</v>
      </c>
      <c r="E924" s="3"/>
    </row>
    <row r="925" spans="1:5" ht="24.75" customHeight="1">
      <c r="A925" s="2">
        <v>923</v>
      </c>
      <c r="B925" s="2" t="str">
        <f>"何静"</f>
        <v>何静</v>
      </c>
      <c r="C925" s="2" t="s">
        <v>756</v>
      </c>
      <c r="D925" s="2" t="s">
        <v>903</v>
      </c>
      <c r="E925" s="3"/>
    </row>
    <row r="926" spans="1:5" ht="24.75" customHeight="1">
      <c r="A926" s="2">
        <v>924</v>
      </c>
      <c r="B926" s="2" t="str">
        <f>"高凌云"</f>
        <v>高凌云</v>
      </c>
      <c r="C926" s="2" t="s">
        <v>756</v>
      </c>
      <c r="D926" s="2" t="s">
        <v>904</v>
      </c>
      <c r="E926" s="3"/>
    </row>
    <row r="927" spans="1:5" ht="24.75" customHeight="1">
      <c r="A927" s="2">
        <v>925</v>
      </c>
      <c r="B927" s="2" t="str">
        <f>"吴茂李"</f>
        <v>吴茂李</v>
      </c>
      <c r="C927" s="2" t="s">
        <v>756</v>
      </c>
      <c r="D927" s="2" t="s">
        <v>905</v>
      </c>
      <c r="E927" s="3"/>
    </row>
    <row r="928" spans="1:5" ht="24.75" customHeight="1">
      <c r="A928" s="2">
        <v>926</v>
      </c>
      <c r="B928" s="2" t="str">
        <f>"严佳迅"</f>
        <v>严佳迅</v>
      </c>
      <c r="C928" s="2" t="s">
        <v>756</v>
      </c>
      <c r="D928" s="2" t="s">
        <v>906</v>
      </c>
      <c r="E928" s="3"/>
    </row>
    <row r="929" spans="1:5" ht="24.75" customHeight="1">
      <c r="A929" s="2">
        <v>927</v>
      </c>
      <c r="B929" s="2" t="str">
        <f>"陈海佳"</f>
        <v>陈海佳</v>
      </c>
      <c r="C929" s="2" t="s">
        <v>756</v>
      </c>
      <c r="D929" s="2" t="s">
        <v>907</v>
      </c>
      <c r="E929" s="3"/>
    </row>
    <row r="930" spans="1:5" ht="24.75" customHeight="1">
      <c r="A930" s="2">
        <v>928</v>
      </c>
      <c r="B930" s="2" t="str">
        <f>"谭芸萃"</f>
        <v>谭芸萃</v>
      </c>
      <c r="C930" s="2" t="s">
        <v>756</v>
      </c>
      <c r="D930" s="2" t="s">
        <v>908</v>
      </c>
      <c r="E930" s="3"/>
    </row>
    <row r="931" spans="1:5" ht="24.75" customHeight="1">
      <c r="A931" s="2">
        <v>929</v>
      </c>
      <c r="B931" s="2" t="str">
        <f>"文昱卉"</f>
        <v>文昱卉</v>
      </c>
      <c r="C931" s="2" t="s">
        <v>756</v>
      </c>
      <c r="D931" s="2" t="s">
        <v>909</v>
      </c>
      <c r="E931" s="3"/>
    </row>
    <row r="932" spans="1:5" ht="24.75" customHeight="1">
      <c r="A932" s="2">
        <v>930</v>
      </c>
      <c r="B932" s="2" t="str">
        <f>"许茗茸"</f>
        <v>许茗茸</v>
      </c>
      <c r="C932" s="2" t="s">
        <v>756</v>
      </c>
      <c r="D932" s="2" t="s">
        <v>910</v>
      </c>
      <c r="E932" s="3"/>
    </row>
    <row r="933" spans="1:5" ht="24.75" customHeight="1">
      <c r="A933" s="2">
        <v>931</v>
      </c>
      <c r="B933" s="2" t="str">
        <f>"陈悦"</f>
        <v>陈悦</v>
      </c>
      <c r="C933" s="2" t="s">
        <v>756</v>
      </c>
      <c r="D933" s="2" t="s">
        <v>911</v>
      </c>
      <c r="E933" s="3"/>
    </row>
    <row r="934" spans="1:5" ht="24.75" customHeight="1">
      <c r="A934" s="2">
        <v>932</v>
      </c>
      <c r="B934" s="2" t="str">
        <f>"王雅文"</f>
        <v>王雅文</v>
      </c>
      <c r="C934" s="2" t="s">
        <v>756</v>
      </c>
      <c r="D934" s="2" t="s">
        <v>912</v>
      </c>
      <c r="E934" s="3"/>
    </row>
    <row r="935" spans="1:5" ht="24.75" customHeight="1">
      <c r="A935" s="2">
        <v>933</v>
      </c>
      <c r="B935" s="2" t="str">
        <f>"陈雪晶"</f>
        <v>陈雪晶</v>
      </c>
      <c r="C935" s="2" t="s">
        <v>756</v>
      </c>
      <c r="D935" s="2" t="s">
        <v>913</v>
      </c>
      <c r="E935" s="3"/>
    </row>
    <row r="936" spans="1:5" ht="24.75" customHeight="1">
      <c r="A936" s="2">
        <v>934</v>
      </c>
      <c r="B936" s="2" t="str">
        <f>"周琪"</f>
        <v>周琪</v>
      </c>
      <c r="C936" s="2" t="s">
        <v>756</v>
      </c>
      <c r="D936" s="2" t="s">
        <v>914</v>
      </c>
      <c r="E936" s="3"/>
    </row>
    <row r="937" spans="1:5" ht="24.75" customHeight="1">
      <c r="A937" s="2">
        <v>935</v>
      </c>
      <c r="B937" s="2" t="str">
        <f>"孙玲芝"</f>
        <v>孙玲芝</v>
      </c>
      <c r="C937" s="2" t="s">
        <v>756</v>
      </c>
      <c r="D937" s="2" t="s">
        <v>915</v>
      </c>
      <c r="E937" s="3"/>
    </row>
    <row r="938" spans="1:5" ht="24.75" customHeight="1">
      <c r="A938" s="2">
        <v>936</v>
      </c>
      <c r="B938" s="2" t="str">
        <f>"卿晨"</f>
        <v>卿晨</v>
      </c>
      <c r="C938" s="2" t="s">
        <v>756</v>
      </c>
      <c r="D938" s="2" t="s">
        <v>916</v>
      </c>
      <c r="E938" s="3"/>
    </row>
    <row r="939" spans="1:5" ht="24.75" customHeight="1">
      <c r="A939" s="2">
        <v>937</v>
      </c>
      <c r="B939" s="2" t="str">
        <f>"李精华"</f>
        <v>李精华</v>
      </c>
      <c r="C939" s="2" t="s">
        <v>756</v>
      </c>
      <c r="D939" s="2" t="s">
        <v>917</v>
      </c>
      <c r="E939" s="3"/>
    </row>
    <row r="940" spans="1:5" ht="24.75" customHeight="1">
      <c r="A940" s="2">
        <v>938</v>
      </c>
      <c r="B940" s="2" t="str">
        <f>"邢兰若"</f>
        <v>邢兰若</v>
      </c>
      <c r="C940" s="2" t="s">
        <v>756</v>
      </c>
      <c r="D940" s="2" t="s">
        <v>816</v>
      </c>
      <c r="E940" s="3"/>
    </row>
    <row r="941" spans="1:5" ht="24.75" customHeight="1">
      <c r="A941" s="2">
        <v>939</v>
      </c>
      <c r="B941" s="2" t="str">
        <f>"林馨悦"</f>
        <v>林馨悦</v>
      </c>
      <c r="C941" s="2" t="s">
        <v>756</v>
      </c>
      <c r="D941" s="2" t="s">
        <v>918</v>
      </c>
      <c r="E941" s="3"/>
    </row>
    <row r="942" spans="1:5" ht="24.75" customHeight="1">
      <c r="A942" s="2">
        <v>940</v>
      </c>
      <c r="B942" s="2" t="str">
        <f>"吴玉翠"</f>
        <v>吴玉翠</v>
      </c>
      <c r="C942" s="2" t="s">
        <v>756</v>
      </c>
      <c r="D942" s="2" t="s">
        <v>919</v>
      </c>
      <c r="E942" s="3"/>
    </row>
    <row r="943" spans="1:5" ht="24.75" customHeight="1">
      <c r="A943" s="2">
        <v>941</v>
      </c>
      <c r="B943" s="2" t="str">
        <f>"周春柳"</f>
        <v>周春柳</v>
      </c>
      <c r="C943" s="2" t="s">
        <v>756</v>
      </c>
      <c r="D943" s="2" t="s">
        <v>846</v>
      </c>
      <c r="E943" s="3"/>
    </row>
    <row r="944" spans="1:5" ht="24.75" customHeight="1">
      <c r="A944" s="2">
        <v>942</v>
      </c>
      <c r="B944" s="2" t="str">
        <f>"罗家庆"</f>
        <v>罗家庆</v>
      </c>
      <c r="C944" s="2" t="s">
        <v>756</v>
      </c>
      <c r="D944" s="2" t="s">
        <v>920</v>
      </c>
      <c r="E944" s="3"/>
    </row>
    <row r="945" spans="1:5" ht="24.75" customHeight="1">
      <c r="A945" s="2">
        <v>943</v>
      </c>
      <c r="B945" s="2" t="str">
        <f>"邢丽珠"</f>
        <v>邢丽珠</v>
      </c>
      <c r="C945" s="2" t="s">
        <v>756</v>
      </c>
      <c r="D945" s="2" t="s">
        <v>921</v>
      </c>
      <c r="E945" s="3"/>
    </row>
    <row r="946" spans="1:5" ht="24.75" customHeight="1">
      <c r="A946" s="2">
        <v>944</v>
      </c>
      <c r="B946" s="2" t="str">
        <f>"吴育婷"</f>
        <v>吴育婷</v>
      </c>
      <c r="C946" s="2" t="s">
        <v>756</v>
      </c>
      <c r="D946" s="2" t="s">
        <v>922</v>
      </c>
      <c r="E946" s="3"/>
    </row>
    <row r="947" spans="1:5" ht="24.75" customHeight="1">
      <c r="A947" s="2">
        <v>945</v>
      </c>
      <c r="B947" s="2" t="str">
        <f>"陈清文"</f>
        <v>陈清文</v>
      </c>
      <c r="C947" s="2" t="s">
        <v>756</v>
      </c>
      <c r="D947" s="2" t="s">
        <v>923</v>
      </c>
      <c r="E947" s="3"/>
    </row>
    <row r="948" spans="1:5" ht="24.75" customHeight="1">
      <c r="A948" s="2">
        <v>946</v>
      </c>
      <c r="B948" s="2" t="str">
        <f>"谢瑞莲"</f>
        <v>谢瑞莲</v>
      </c>
      <c r="C948" s="2" t="s">
        <v>756</v>
      </c>
      <c r="D948" s="2" t="s">
        <v>924</v>
      </c>
      <c r="E948" s="3"/>
    </row>
    <row r="949" spans="1:5" ht="24.75" customHeight="1">
      <c r="A949" s="2">
        <v>947</v>
      </c>
      <c r="B949" s="2" t="str">
        <f>"陈玫洁"</f>
        <v>陈玫洁</v>
      </c>
      <c r="C949" s="2" t="s">
        <v>756</v>
      </c>
      <c r="D949" s="2" t="s">
        <v>925</v>
      </c>
      <c r="E949" s="3"/>
    </row>
    <row r="950" spans="1:5" ht="24.75" customHeight="1">
      <c r="A950" s="2">
        <v>948</v>
      </c>
      <c r="B950" s="2" t="str">
        <f>"官庭羽"</f>
        <v>官庭羽</v>
      </c>
      <c r="C950" s="2" t="s">
        <v>756</v>
      </c>
      <c r="D950" s="2" t="s">
        <v>926</v>
      </c>
      <c r="E950" s="3"/>
    </row>
    <row r="951" spans="1:5" ht="24.75" customHeight="1">
      <c r="A951" s="2">
        <v>949</v>
      </c>
      <c r="B951" s="2" t="str">
        <f>"马家磊"</f>
        <v>马家磊</v>
      </c>
      <c r="C951" s="2" t="s">
        <v>756</v>
      </c>
      <c r="D951" s="2" t="s">
        <v>927</v>
      </c>
      <c r="E951" s="3"/>
    </row>
    <row r="952" spans="1:5" ht="24.75" customHeight="1">
      <c r="A952" s="2">
        <v>950</v>
      </c>
      <c r="B952" s="2" t="str">
        <f>"林美燕"</f>
        <v>林美燕</v>
      </c>
      <c r="C952" s="2" t="s">
        <v>756</v>
      </c>
      <c r="D952" s="2" t="s">
        <v>928</v>
      </c>
      <c r="E952" s="3"/>
    </row>
    <row r="953" spans="1:5" ht="24.75" customHeight="1">
      <c r="A953" s="2">
        <v>951</v>
      </c>
      <c r="B953" s="2" t="str">
        <f>"邵蕾潼"</f>
        <v>邵蕾潼</v>
      </c>
      <c r="C953" s="2" t="s">
        <v>756</v>
      </c>
      <c r="D953" s="2" t="s">
        <v>929</v>
      </c>
      <c r="E953" s="3"/>
    </row>
    <row r="954" spans="1:5" ht="24.75" customHeight="1">
      <c r="A954" s="2">
        <v>952</v>
      </c>
      <c r="B954" s="2" t="str">
        <f>"洪艳"</f>
        <v>洪艳</v>
      </c>
      <c r="C954" s="2" t="s">
        <v>756</v>
      </c>
      <c r="D954" s="2" t="s">
        <v>930</v>
      </c>
      <c r="E954" s="3"/>
    </row>
    <row r="955" spans="1:5" ht="24.75" customHeight="1">
      <c r="A955" s="2">
        <v>953</v>
      </c>
      <c r="B955" s="2" t="str">
        <f>"陈贻滢"</f>
        <v>陈贻滢</v>
      </c>
      <c r="C955" s="2" t="s">
        <v>756</v>
      </c>
      <c r="D955" s="2" t="s">
        <v>931</v>
      </c>
      <c r="E955" s="3"/>
    </row>
    <row r="956" spans="1:5" ht="24.75" customHeight="1">
      <c r="A956" s="2">
        <v>954</v>
      </c>
      <c r="B956" s="2" t="str">
        <f>"吴乾旭"</f>
        <v>吴乾旭</v>
      </c>
      <c r="C956" s="2" t="s">
        <v>756</v>
      </c>
      <c r="D956" s="2" t="s">
        <v>932</v>
      </c>
      <c r="E956" s="3"/>
    </row>
    <row r="957" spans="1:5" ht="24.75" customHeight="1">
      <c r="A957" s="2">
        <v>955</v>
      </c>
      <c r="B957" s="2" t="str">
        <f>"曾佩影"</f>
        <v>曾佩影</v>
      </c>
      <c r="C957" s="2" t="s">
        <v>756</v>
      </c>
      <c r="D957" s="2" t="s">
        <v>933</v>
      </c>
      <c r="E957" s="3"/>
    </row>
    <row r="958" spans="1:5" ht="24.75" customHeight="1">
      <c r="A958" s="2">
        <v>956</v>
      </c>
      <c r="B958" s="2" t="str">
        <f>"王小青"</f>
        <v>王小青</v>
      </c>
      <c r="C958" s="2" t="s">
        <v>756</v>
      </c>
      <c r="D958" s="2" t="s">
        <v>934</v>
      </c>
      <c r="E958" s="3"/>
    </row>
    <row r="959" spans="1:5" ht="24.75" customHeight="1">
      <c r="A959" s="2">
        <v>957</v>
      </c>
      <c r="B959" s="2" t="str">
        <f>"符玲娥"</f>
        <v>符玲娥</v>
      </c>
      <c r="C959" s="2" t="s">
        <v>756</v>
      </c>
      <c r="D959" s="2" t="s">
        <v>935</v>
      </c>
      <c r="E959" s="3"/>
    </row>
    <row r="960" spans="1:5" ht="24.75" customHeight="1">
      <c r="A960" s="2">
        <v>958</v>
      </c>
      <c r="B960" s="2" t="str">
        <f>"蔡子佳"</f>
        <v>蔡子佳</v>
      </c>
      <c r="C960" s="2" t="s">
        <v>756</v>
      </c>
      <c r="D960" s="2" t="s">
        <v>936</v>
      </c>
      <c r="E960" s="3"/>
    </row>
    <row r="961" spans="1:5" ht="24.75" customHeight="1">
      <c r="A961" s="2">
        <v>959</v>
      </c>
      <c r="B961" s="2" t="str">
        <f>"廖钰"</f>
        <v>廖钰</v>
      </c>
      <c r="C961" s="2" t="s">
        <v>756</v>
      </c>
      <c r="D961" s="2" t="s">
        <v>937</v>
      </c>
      <c r="E961" s="3"/>
    </row>
    <row r="962" spans="1:5" ht="24.75" customHeight="1">
      <c r="A962" s="2">
        <v>960</v>
      </c>
      <c r="B962" s="2" t="str">
        <f>"王梓暄"</f>
        <v>王梓暄</v>
      </c>
      <c r="C962" s="2" t="s">
        <v>756</v>
      </c>
      <c r="D962" s="2" t="s">
        <v>938</v>
      </c>
      <c r="E962" s="3"/>
    </row>
    <row r="963" spans="1:5" ht="24.75" customHeight="1">
      <c r="A963" s="2">
        <v>961</v>
      </c>
      <c r="B963" s="2" t="str">
        <f>"符儒群"</f>
        <v>符儒群</v>
      </c>
      <c r="C963" s="2" t="s">
        <v>756</v>
      </c>
      <c r="D963" s="2" t="s">
        <v>939</v>
      </c>
      <c r="E963" s="3"/>
    </row>
    <row r="964" spans="1:5" ht="24.75" customHeight="1">
      <c r="A964" s="2">
        <v>962</v>
      </c>
      <c r="B964" s="2" t="str">
        <f>"符萱萱"</f>
        <v>符萱萱</v>
      </c>
      <c r="C964" s="2" t="s">
        <v>756</v>
      </c>
      <c r="D964" s="2" t="s">
        <v>940</v>
      </c>
      <c r="E964" s="3"/>
    </row>
    <row r="965" spans="1:5" ht="24.75" customHeight="1">
      <c r="A965" s="2">
        <v>963</v>
      </c>
      <c r="B965" s="2" t="str">
        <f>"王爱琼"</f>
        <v>王爱琼</v>
      </c>
      <c r="C965" s="2" t="s">
        <v>756</v>
      </c>
      <c r="D965" s="2" t="s">
        <v>941</v>
      </c>
      <c r="E965" s="3"/>
    </row>
    <row r="966" spans="1:5" ht="24.75" customHeight="1">
      <c r="A966" s="2">
        <v>964</v>
      </c>
      <c r="B966" s="2" t="str">
        <f>"安津仪"</f>
        <v>安津仪</v>
      </c>
      <c r="C966" s="2" t="s">
        <v>756</v>
      </c>
      <c r="D966" s="2" t="s">
        <v>942</v>
      </c>
      <c r="E966" s="3"/>
    </row>
    <row r="967" spans="1:5" ht="24.75" customHeight="1">
      <c r="A967" s="2">
        <v>965</v>
      </c>
      <c r="B967" s="2" t="str">
        <f>"刘振梅"</f>
        <v>刘振梅</v>
      </c>
      <c r="C967" s="2" t="s">
        <v>756</v>
      </c>
      <c r="D967" s="2" t="s">
        <v>943</v>
      </c>
      <c r="E967" s="3"/>
    </row>
    <row r="968" spans="1:5" ht="24.75" customHeight="1">
      <c r="A968" s="2">
        <v>966</v>
      </c>
      <c r="B968" s="2" t="str">
        <f>"林小文"</f>
        <v>林小文</v>
      </c>
      <c r="C968" s="2" t="s">
        <v>756</v>
      </c>
      <c r="D968" s="2" t="s">
        <v>944</v>
      </c>
      <c r="E968" s="3"/>
    </row>
    <row r="969" spans="1:5" ht="24.75" customHeight="1">
      <c r="A969" s="2">
        <v>967</v>
      </c>
      <c r="B969" s="2" t="str">
        <f>"唐千千"</f>
        <v>唐千千</v>
      </c>
      <c r="C969" s="2" t="s">
        <v>756</v>
      </c>
      <c r="D969" s="2" t="s">
        <v>945</v>
      </c>
      <c r="E969" s="3"/>
    </row>
    <row r="970" spans="1:5" ht="24.75" customHeight="1">
      <c r="A970" s="2">
        <v>968</v>
      </c>
      <c r="B970" s="2" t="str">
        <f>"邵莉红"</f>
        <v>邵莉红</v>
      </c>
      <c r="C970" s="2" t="s">
        <v>756</v>
      </c>
      <c r="D970" s="2" t="s">
        <v>946</v>
      </c>
      <c r="E970" s="3"/>
    </row>
    <row r="971" spans="1:5" ht="24.75" customHeight="1">
      <c r="A971" s="2">
        <v>969</v>
      </c>
      <c r="B971" s="2" t="str">
        <f>"张方谜"</f>
        <v>张方谜</v>
      </c>
      <c r="C971" s="2" t="s">
        <v>756</v>
      </c>
      <c r="D971" s="2" t="s">
        <v>947</v>
      </c>
      <c r="E971" s="3"/>
    </row>
    <row r="972" spans="1:5" ht="24.75" customHeight="1">
      <c r="A972" s="2">
        <v>970</v>
      </c>
      <c r="B972" s="2" t="str">
        <f>"陈会清"</f>
        <v>陈会清</v>
      </c>
      <c r="C972" s="2" t="s">
        <v>756</v>
      </c>
      <c r="D972" s="2" t="s">
        <v>948</v>
      </c>
      <c r="E972" s="3"/>
    </row>
    <row r="973" spans="1:5" ht="24.75" customHeight="1">
      <c r="A973" s="2">
        <v>971</v>
      </c>
      <c r="B973" s="2" t="str">
        <f>"杨婕"</f>
        <v>杨婕</v>
      </c>
      <c r="C973" s="2" t="s">
        <v>756</v>
      </c>
      <c r="D973" s="2" t="s">
        <v>949</v>
      </c>
      <c r="E973" s="3"/>
    </row>
    <row r="974" spans="1:5" ht="24.75" customHeight="1">
      <c r="A974" s="2">
        <v>972</v>
      </c>
      <c r="B974" s="2" t="str">
        <f>"吴诚林"</f>
        <v>吴诚林</v>
      </c>
      <c r="C974" s="2" t="s">
        <v>756</v>
      </c>
      <c r="D974" s="2" t="s">
        <v>950</v>
      </c>
      <c r="E974" s="3"/>
    </row>
    <row r="975" spans="1:5" ht="24.75" customHeight="1">
      <c r="A975" s="2">
        <v>973</v>
      </c>
      <c r="B975" s="2" t="str">
        <f>"李启源"</f>
        <v>李启源</v>
      </c>
      <c r="C975" s="2" t="s">
        <v>756</v>
      </c>
      <c r="D975" s="2" t="s">
        <v>951</v>
      </c>
      <c r="E975" s="3"/>
    </row>
    <row r="976" spans="1:5" ht="24.75" customHeight="1">
      <c r="A976" s="2">
        <v>974</v>
      </c>
      <c r="B976" s="2" t="str">
        <f>"付聪慧"</f>
        <v>付聪慧</v>
      </c>
      <c r="C976" s="2" t="s">
        <v>756</v>
      </c>
      <c r="D976" s="2" t="s">
        <v>952</v>
      </c>
      <c r="E976" s="3"/>
    </row>
    <row r="977" spans="1:5" ht="24.75" customHeight="1">
      <c r="A977" s="2">
        <v>975</v>
      </c>
      <c r="B977" s="2" t="str">
        <f>"王国静"</f>
        <v>王国静</v>
      </c>
      <c r="C977" s="2" t="s">
        <v>756</v>
      </c>
      <c r="D977" s="2" t="s">
        <v>953</v>
      </c>
      <c r="E977" s="3"/>
    </row>
    <row r="978" spans="1:5" ht="24.75" customHeight="1">
      <c r="A978" s="2">
        <v>976</v>
      </c>
      <c r="B978" s="2" t="str">
        <f>"梁媛媛"</f>
        <v>梁媛媛</v>
      </c>
      <c r="C978" s="2" t="s">
        <v>756</v>
      </c>
      <c r="D978" s="2" t="s">
        <v>954</v>
      </c>
      <c r="E978" s="3"/>
    </row>
    <row r="979" spans="1:5" ht="24.75" customHeight="1">
      <c r="A979" s="2">
        <v>977</v>
      </c>
      <c r="B979" s="2" t="str">
        <f>"王莹"</f>
        <v>王莹</v>
      </c>
      <c r="C979" s="2" t="s">
        <v>756</v>
      </c>
      <c r="D979" s="2" t="s">
        <v>955</v>
      </c>
      <c r="E979" s="3"/>
    </row>
    <row r="980" spans="1:5" ht="24.75" customHeight="1">
      <c r="A980" s="2">
        <v>978</v>
      </c>
      <c r="B980" s="2" t="str">
        <f>"谭玥"</f>
        <v>谭玥</v>
      </c>
      <c r="C980" s="2" t="s">
        <v>756</v>
      </c>
      <c r="D980" s="2" t="s">
        <v>757</v>
      </c>
      <c r="E980" s="3"/>
    </row>
    <row r="981" spans="1:5" ht="24.75" customHeight="1">
      <c r="A981" s="2">
        <v>979</v>
      </c>
      <c r="B981" s="2" t="str">
        <f>"罗树觉"</f>
        <v>罗树觉</v>
      </c>
      <c r="C981" s="2" t="s">
        <v>756</v>
      </c>
      <c r="D981" s="2" t="s">
        <v>956</v>
      </c>
      <c r="E981" s="3"/>
    </row>
    <row r="982" spans="1:5" ht="24.75" customHeight="1">
      <c r="A982" s="2">
        <v>980</v>
      </c>
      <c r="B982" s="2" t="str">
        <f>"张幼麒"</f>
        <v>张幼麒</v>
      </c>
      <c r="C982" s="2" t="s">
        <v>756</v>
      </c>
      <c r="D982" s="2" t="s">
        <v>957</v>
      </c>
      <c r="E982" s="3"/>
    </row>
    <row r="983" spans="1:5" ht="24.75" customHeight="1">
      <c r="A983" s="2">
        <v>981</v>
      </c>
      <c r="B983" s="2" t="str">
        <f>"宋澜"</f>
        <v>宋澜</v>
      </c>
      <c r="C983" s="2" t="s">
        <v>756</v>
      </c>
      <c r="D983" s="2" t="s">
        <v>958</v>
      </c>
      <c r="E983" s="3"/>
    </row>
    <row r="984" spans="1:5" ht="24.75" customHeight="1">
      <c r="A984" s="2">
        <v>982</v>
      </c>
      <c r="B984" s="2" t="str">
        <f>"陈明慧"</f>
        <v>陈明慧</v>
      </c>
      <c r="C984" s="2" t="s">
        <v>756</v>
      </c>
      <c r="D984" s="2" t="s">
        <v>959</v>
      </c>
      <c r="E984" s="3"/>
    </row>
    <row r="985" spans="1:5" ht="24.75" customHeight="1">
      <c r="A985" s="2">
        <v>983</v>
      </c>
      <c r="B985" s="2" t="str">
        <f>"张茹梦"</f>
        <v>张茹梦</v>
      </c>
      <c r="C985" s="2" t="s">
        <v>756</v>
      </c>
      <c r="D985" s="2" t="s">
        <v>960</v>
      </c>
      <c r="E985" s="3"/>
    </row>
    <row r="986" spans="1:5" ht="24.75" customHeight="1">
      <c r="A986" s="2">
        <v>984</v>
      </c>
      <c r="B986" s="2" t="str">
        <f>"梁筱"</f>
        <v>梁筱</v>
      </c>
      <c r="C986" s="2" t="s">
        <v>756</v>
      </c>
      <c r="D986" s="2" t="s">
        <v>961</v>
      </c>
      <c r="E986" s="3"/>
    </row>
    <row r="987" spans="1:5" ht="24.75" customHeight="1">
      <c r="A987" s="2">
        <v>985</v>
      </c>
      <c r="B987" s="2" t="str">
        <f>"黄红丽"</f>
        <v>黄红丽</v>
      </c>
      <c r="C987" s="2" t="s">
        <v>756</v>
      </c>
      <c r="D987" s="2" t="s">
        <v>962</v>
      </c>
      <c r="E987" s="3"/>
    </row>
    <row r="988" spans="1:5" ht="24.75" customHeight="1">
      <c r="A988" s="2">
        <v>986</v>
      </c>
      <c r="B988" s="2" t="str">
        <f>"王小敏"</f>
        <v>王小敏</v>
      </c>
      <c r="C988" s="2" t="s">
        <v>756</v>
      </c>
      <c r="D988" s="2" t="s">
        <v>963</v>
      </c>
      <c r="E988" s="3"/>
    </row>
    <row r="989" spans="1:5" ht="24.75" customHeight="1">
      <c r="A989" s="2">
        <v>987</v>
      </c>
      <c r="B989" s="2" t="str">
        <f>"徐玉婷"</f>
        <v>徐玉婷</v>
      </c>
      <c r="C989" s="2" t="s">
        <v>756</v>
      </c>
      <c r="D989" s="2" t="s">
        <v>964</v>
      </c>
      <c r="E989" s="3"/>
    </row>
    <row r="990" spans="1:5" ht="24.75" customHeight="1">
      <c r="A990" s="2">
        <v>988</v>
      </c>
      <c r="B990" s="2" t="str">
        <f>"林春宛"</f>
        <v>林春宛</v>
      </c>
      <c r="C990" s="2" t="s">
        <v>756</v>
      </c>
      <c r="D990" s="2" t="s">
        <v>965</v>
      </c>
      <c r="E990" s="3"/>
    </row>
    <row r="991" spans="1:5" ht="24.75" customHeight="1">
      <c r="A991" s="2">
        <v>989</v>
      </c>
      <c r="B991" s="2" t="str">
        <f>"陈苑"</f>
        <v>陈苑</v>
      </c>
      <c r="C991" s="2" t="s">
        <v>756</v>
      </c>
      <c r="D991" s="2" t="s">
        <v>966</v>
      </c>
      <c r="E991" s="3"/>
    </row>
    <row r="992" spans="1:5" ht="24.75" customHeight="1">
      <c r="A992" s="2">
        <v>990</v>
      </c>
      <c r="B992" s="2" t="str">
        <f>"许馨月"</f>
        <v>许馨月</v>
      </c>
      <c r="C992" s="2" t="s">
        <v>756</v>
      </c>
      <c r="D992" s="2" t="s">
        <v>967</v>
      </c>
      <c r="E992" s="3"/>
    </row>
    <row r="993" spans="1:5" ht="24.75" customHeight="1">
      <c r="A993" s="2">
        <v>991</v>
      </c>
      <c r="B993" s="2" t="str">
        <f>"辛芳"</f>
        <v>辛芳</v>
      </c>
      <c r="C993" s="2" t="s">
        <v>756</v>
      </c>
      <c r="D993" s="2" t="s">
        <v>968</v>
      </c>
      <c r="E993" s="3"/>
    </row>
    <row r="994" spans="1:5" ht="24.75" customHeight="1">
      <c r="A994" s="2">
        <v>992</v>
      </c>
      <c r="B994" s="2" t="str">
        <f>"王鑫"</f>
        <v>王鑫</v>
      </c>
      <c r="C994" s="2" t="s">
        <v>756</v>
      </c>
      <c r="D994" s="2" t="s">
        <v>969</v>
      </c>
      <c r="E994" s="3"/>
    </row>
    <row r="995" spans="1:5" ht="24.75" customHeight="1">
      <c r="A995" s="2">
        <v>993</v>
      </c>
      <c r="B995" s="2" t="str">
        <f>"左环"</f>
        <v>左环</v>
      </c>
      <c r="C995" s="2" t="s">
        <v>756</v>
      </c>
      <c r="D995" s="2" t="s">
        <v>970</v>
      </c>
      <c r="E995" s="3"/>
    </row>
    <row r="996" spans="1:5" ht="24.75" customHeight="1">
      <c r="A996" s="2">
        <v>994</v>
      </c>
      <c r="B996" s="2" t="str">
        <f>"陈晓萱"</f>
        <v>陈晓萱</v>
      </c>
      <c r="C996" s="2" t="s">
        <v>756</v>
      </c>
      <c r="D996" s="2" t="s">
        <v>971</v>
      </c>
      <c r="E996" s="3"/>
    </row>
    <row r="997" spans="1:5" ht="24.75" customHeight="1">
      <c r="A997" s="2">
        <v>995</v>
      </c>
      <c r="B997" s="2" t="str">
        <f>"符玉麟"</f>
        <v>符玉麟</v>
      </c>
      <c r="C997" s="2" t="s">
        <v>756</v>
      </c>
      <c r="D997" s="2" t="s">
        <v>812</v>
      </c>
      <c r="E997" s="3"/>
    </row>
    <row r="998" spans="1:5" ht="24.75" customHeight="1">
      <c r="A998" s="2">
        <v>996</v>
      </c>
      <c r="B998" s="2" t="str">
        <f>"梁贝莉"</f>
        <v>梁贝莉</v>
      </c>
      <c r="C998" s="2" t="s">
        <v>756</v>
      </c>
      <c r="D998" s="2" t="s">
        <v>972</v>
      </c>
      <c r="E998" s="3"/>
    </row>
    <row r="999" spans="1:5" ht="24.75" customHeight="1">
      <c r="A999" s="2">
        <v>997</v>
      </c>
      <c r="B999" s="2" t="str">
        <f>"陈珊珊"</f>
        <v>陈珊珊</v>
      </c>
      <c r="C999" s="2" t="s">
        <v>756</v>
      </c>
      <c r="D999" s="2" t="s">
        <v>973</v>
      </c>
      <c r="E999" s="3"/>
    </row>
    <row r="1000" spans="1:5" ht="24.75" customHeight="1">
      <c r="A1000" s="2">
        <v>998</v>
      </c>
      <c r="B1000" s="2" t="str">
        <f>"张静"</f>
        <v>张静</v>
      </c>
      <c r="C1000" s="2" t="s">
        <v>756</v>
      </c>
      <c r="D1000" s="2" t="s">
        <v>974</v>
      </c>
      <c r="E1000" s="3"/>
    </row>
    <row r="1001" spans="1:5" ht="24.75" customHeight="1">
      <c r="A1001" s="2">
        <v>999</v>
      </c>
      <c r="B1001" s="2" t="str">
        <f>"陈淑玲"</f>
        <v>陈淑玲</v>
      </c>
      <c r="C1001" s="2" t="s">
        <v>975</v>
      </c>
      <c r="D1001" s="2" t="s">
        <v>976</v>
      </c>
      <c r="E1001" s="3"/>
    </row>
    <row r="1002" spans="1:5" ht="24.75" customHeight="1">
      <c r="A1002" s="2">
        <v>1000</v>
      </c>
      <c r="B1002" s="2" t="str">
        <f>"刘梦雅"</f>
        <v>刘梦雅</v>
      </c>
      <c r="C1002" s="2" t="s">
        <v>975</v>
      </c>
      <c r="D1002" s="2" t="s">
        <v>977</v>
      </c>
      <c r="E1002" s="3"/>
    </row>
    <row r="1003" spans="1:5" ht="24.75" customHeight="1">
      <c r="A1003" s="2">
        <v>1001</v>
      </c>
      <c r="B1003" s="2" t="str">
        <f>"吴其莊"</f>
        <v>吴其莊</v>
      </c>
      <c r="C1003" s="2" t="s">
        <v>975</v>
      </c>
      <c r="D1003" s="2" t="s">
        <v>978</v>
      </c>
      <c r="E1003" s="3"/>
    </row>
    <row r="1004" spans="1:5" ht="24.75" customHeight="1">
      <c r="A1004" s="2">
        <v>1002</v>
      </c>
      <c r="B1004" s="2" t="str">
        <f>"赵艺颖"</f>
        <v>赵艺颖</v>
      </c>
      <c r="C1004" s="2" t="s">
        <v>975</v>
      </c>
      <c r="D1004" s="2" t="s">
        <v>979</v>
      </c>
      <c r="E1004" s="3"/>
    </row>
    <row r="1005" spans="1:5" ht="24.75" customHeight="1">
      <c r="A1005" s="2">
        <v>1003</v>
      </c>
      <c r="B1005" s="2" t="str">
        <f>"羊贵花"</f>
        <v>羊贵花</v>
      </c>
      <c r="C1005" s="2" t="s">
        <v>975</v>
      </c>
      <c r="D1005" s="2" t="s">
        <v>980</v>
      </c>
      <c r="E1005" s="3"/>
    </row>
    <row r="1006" spans="1:5" ht="24.75" customHeight="1">
      <c r="A1006" s="2">
        <v>1004</v>
      </c>
      <c r="B1006" s="2" t="str">
        <f>"黎颖"</f>
        <v>黎颖</v>
      </c>
      <c r="C1006" s="2" t="s">
        <v>975</v>
      </c>
      <c r="D1006" s="2" t="s">
        <v>981</v>
      </c>
      <c r="E1006" s="3"/>
    </row>
    <row r="1007" spans="1:5" ht="24.75" customHeight="1">
      <c r="A1007" s="2">
        <v>1005</v>
      </c>
      <c r="B1007" s="2" t="str">
        <f>"陈焕翔"</f>
        <v>陈焕翔</v>
      </c>
      <c r="C1007" s="2" t="s">
        <v>975</v>
      </c>
      <c r="D1007" s="2" t="s">
        <v>982</v>
      </c>
      <c r="E1007" s="3"/>
    </row>
    <row r="1008" spans="1:5" ht="24.75" customHeight="1">
      <c r="A1008" s="2">
        <v>1006</v>
      </c>
      <c r="B1008" s="2" t="str">
        <f>"傅人祥"</f>
        <v>傅人祥</v>
      </c>
      <c r="C1008" s="2" t="s">
        <v>975</v>
      </c>
      <c r="D1008" s="2" t="s">
        <v>983</v>
      </c>
      <c r="E1008" s="3"/>
    </row>
    <row r="1009" spans="1:5" ht="24.75" customHeight="1">
      <c r="A1009" s="2">
        <v>1007</v>
      </c>
      <c r="B1009" s="2" t="str">
        <f>"符永栋"</f>
        <v>符永栋</v>
      </c>
      <c r="C1009" s="2" t="s">
        <v>975</v>
      </c>
      <c r="D1009" s="2" t="s">
        <v>984</v>
      </c>
      <c r="E1009" s="3"/>
    </row>
    <row r="1010" spans="1:5" ht="24.75" customHeight="1">
      <c r="A1010" s="2">
        <v>1008</v>
      </c>
      <c r="B1010" s="2" t="str">
        <f>"郭江秋"</f>
        <v>郭江秋</v>
      </c>
      <c r="C1010" s="2" t="s">
        <v>975</v>
      </c>
      <c r="D1010" s="2" t="s">
        <v>985</v>
      </c>
      <c r="E1010" s="3"/>
    </row>
    <row r="1011" spans="1:5" ht="24.75" customHeight="1">
      <c r="A1011" s="2">
        <v>1009</v>
      </c>
      <c r="B1011" s="2" t="str">
        <f>"羊丹"</f>
        <v>羊丹</v>
      </c>
      <c r="C1011" s="2" t="s">
        <v>975</v>
      </c>
      <c r="D1011" s="2" t="s">
        <v>986</v>
      </c>
      <c r="E1011" s="3"/>
    </row>
    <row r="1012" spans="1:5" ht="24.75" customHeight="1">
      <c r="A1012" s="2">
        <v>1010</v>
      </c>
      <c r="B1012" s="2" t="str">
        <f>"林诗雅"</f>
        <v>林诗雅</v>
      </c>
      <c r="C1012" s="2" t="s">
        <v>975</v>
      </c>
      <c r="D1012" s="2" t="s">
        <v>987</v>
      </c>
      <c r="E1012" s="3"/>
    </row>
    <row r="1013" spans="1:5" ht="24.75" customHeight="1">
      <c r="A1013" s="2">
        <v>1011</v>
      </c>
      <c r="B1013" s="2" t="str">
        <f>"何坤纬"</f>
        <v>何坤纬</v>
      </c>
      <c r="C1013" s="2" t="s">
        <v>975</v>
      </c>
      <c r="D1013" s="2" t="s">
        <v>988</v>
      </c>
      <c r="E1013" s="3"/>
    </row>
    <row r="1014" spans="1:5" ht="24.75" customHeight="1">
      <c r="A1014" s="2">
        <v>1012</v>
      </c>
      <c r="B1014" s="2" t="str">
        <f>"曾祥玮"</f>
        <v>曾祥玮</v>
      </c>
      <c r="C1014" s="2" t="s">
        <v>975</v>
      </c>
      <c r="D1014" s="2" t="s">
        <v>989</v>
      </c>
      <c r="E1014" s="3"/>
    </row>
    <row r="1015" spans="1:5" ht="24.75" customHeight="1">
      <c r="A1015" s="2">
        <v>1013</v>
      </c>
      <c r="B1015" s="2" t="str">
        <f>"郑慧"</f>
        <v>郑慧</v>
      </c>
      <c r="C1015" s="2" t="s">
        <v>975</v>
      </c>
      <c r="D1015" s="2" t="s">
        <v>990</v>
      </c>
      <c r="E1015" s="3"/>
    </row>
    <row r="1016" spans="1:5" ht="24.75" customHeight="1">
      <c r="A1016" s="2">
        <v>1014</v>
      </c>
      <c r="B1016" s="2" t="str">
        <f>"张秋婷"</f>
        <v>张秋婷</v>
      </c>
      <c r="C1016" s="2" t="s">
        <v>975</v>
      </c>
      <c r="D1016" s="2" t="s">
        <v>991</v>
      </c>
      <c r="E1016" s="3"/>
    </row>
    <row r="1017" spans="1:5" ht="24.75" customHeight="1">
      <c r="A1017" s="2">
        <v>1015</v>
      </c>
      <c r="B1017" s="2" t="str">
        <f>"宋华龙"</f>
        <v>宋华龙</v>
      </c>
      <c r="C1017" s="2" t="s">
        <v>975</v>
      </c>
      <c r="D1017" s="2" t="s">
        <v>992</v>
      </c>
      <c r="E1017" s="3"/>
    </row>
    <row r="1018" spans="1:5" ht="24.75" customHeight="1">
      <c r="A1018" s="2">
        <v>1016</v>
      </c>
      <c r="B1018" s="2" t="str">
        <f>"劳小妍"</f>
        <v>劳小妍</v>
      </c>
      <c r="C1018" s="2" t="s">
        <v>975</v>
      </c>
      <c r="D1018" s="2" t="s">
        <v>993</v>
      </c>
      <c r="E1018" s="3"/>
    </row>
    <row r="1019" spans="1:5" ht="24.75" customHeight="1">
      <c r="A1019" s="2">
        <v>1017</v>
      </c>
      <c r="B1019" s="2" t="str">
        <f>"吴多坚"</f>
        <v>吴多坚</v>
      </c>
      <c r="C1019" s="2" t="s">
        <v>975</v>
      </c>
      <c r="D1019" s="2" t="s">
        <v>994</v>
      </c>
      <c r="E1019" s="3"/>
    </row>
    <row r="1020" spans="1:5" ht="24.75" customHeight="1">
      <c r="A1020" s="2">
        <v>1018</v>
      </c>
      <c r="B1020" s="2" t="str">
        <f>"李海月"</f>
        <v>李海月</v>
      </c>
      <c r="C1020" s="2" t="s">
        <v>975</v>
      </c>
      <c r="D1020" s="2" t="s">
        <v>995</v>
      </c>
      <c r="E1020" s="3"/>
    </row>
    <row r="1021" spans="1:5" ht="24.75" customHeight="1">
      <c r="A1021" s="2">
        <v>1019</v>
      </c>
      <c r="B1021" s="2" t="str">
        <f>"高子茹"</f>
        <v>高子茹</v>
      </c>
      <c r="C1021" s="2" t="s">
        <v>975</v>
      </c>
      <c r="D1021" s="2" t="s">
        <v>996</v>
      </c>
      <c r="E1021" s="3"/>
    </row>
    <row r="1022" spans="1:5" ht="24.75" customHeight="1">
      <c r="A1022" s="2">
        <v>1020</v>
      </c>
      <c r="B1022" s="2" t="str">
        <f>"吴娇娜"</f>
        <v>吴娇娜</v>
      </c>
      <c r="C1022" s="2" t="s">
        <v>975</v>
      </c>
      <c r="D1022" s="2" t="s">
        <v>997</v>
      </c>
      <c r="E1022" s="3"/>
    </row>
    <row r="1023" spans="1:5" ht="24.75" customHeight="1">
      <c r="A1023" s="2">
        <v>1021</v>
      </c>
      <c r="B1023" s="2" t="str">
        <f>"陈雨晴"</f>
        <v>陈雨晴</v>
      </c>
      <c r="C1023" s="2" t="s">
        <v>975</v>
      </c>
      <c r="D1023" s="2" t="s">
        <v>998</v>
      </c>
      <c r="E1023" s="3"/>
    </row>
    <row r="1024" spans="1:5" ht="24.75" customHeight="1">
      <c r="A1024" s="2">
        <v>1022</v>
      </c>
      <c r="B1024" s="2" t="str">
        <f>"邓焱"</f>
        <v>邓焱</v>
      </c>
      <c r="C1024" s="2" t="s">
        <v>975</v>
      </c>
      <c r="D1024" s="2" t="s">
        <v>999</v>
      </c>
      <c r="E1024" s="3"/>
    </row>
    <row r="1025" spans="1:5" ht="24.75" customHeight="1">
      <c r="A1025" s="2">
        <v>1023</v>
      </c>
      <c r="B1025" s="2" t="str">
        <f>"谭慧鑫"</f>
        <v>谭慧鑫</v>
      </c>
      <c r="C1025" s="2" t="s">
        <v>975</v>
      </c>
      <c r="D1025" s="2" t="s">
        <v>1000</v>
      </c>
      <c r="E1025" s="3"/>
    </row>
    <row r="1026" spans="1:5" ht="24.75" customHeight="1">
      <c r="A1026" s="2">
        <v>1024</v>
      </c>
      <c r="B1026" s="2" t="str">
        <f>"张壮妹"</f>
        <v>张壮妹</v>
      </c>
      <c r="C1026" s="2" t="s">
        <v>975</v>
      </c>
      <c r="D1026" s="2" t="s">
        <v>1001</v>
      </c>
      <c r="E1026" s="3"/>
    </row>
    <row r="1027" spans="1:5" ht="24.75" customHeight="1">
      <c r="A1027" s="2">
        <v>1025</v>
      </c>
      <c r="B1027" s="2" t="str">
        <f>"林书玥"</f>
        <v>林书玥</v>
      </c>
      <c r="C1027" s="2" t="s">
        <v>975</v>
      </c>
      <c r="D1027" s="2" t="s">
        <v>1002</v>
      </c>
      <c r="E1027" s="3"/>
    </row>
    <row r="1028" spans="1:5" ht="24.75" customHeight="1">
      <c r="A1028" s="2">
        <v>1026</v>
      </c>
      <c r="B1028" s="2" t="str">
        <f>"张园铃"</f>
        <v>张园铃</v>
      </c>
      <c r="C1028" s="2" t="s">
        <v>975</v>
      </c>
      <c r="D1028" s="2" t="s">
        <v>1003</v>
      </c>
      <c r="E1028" s="3"/>
    </row>
    <row r="1029" spans="1:5" ht="24.75" customHeight="1">
      <c r="A1029" s="2">
        <v>1027</v>
      </c>
      <c r="B1029" s="2" t="str">
        <f>"袁先平"</f>
        <v>袁先平</v>
      </c>
      <c r="C1029" s="2" t="s">
        <v>975</v>
      </c>
      <c r="D1029" s="2" t="s">
        <v>1004</v>
      </c>
      <c r="E1029" s="3"/>
    </row>
    <row r="1030" spans="1:5" ht="24.75" customHeight="1">
      <c r="A1030" s="2">
        <v>1028</v>
      </c>
      <c r="B1030" s="2" t="str">
        <f>"郭雯娟"</f>
        <v>郭雯娟</v>
      </c>
      <c r="C1030" s="2" t="s">
        <v>975</v>
      </c>
      <c r="D1030" s="2" t="s">
        <v>1005</v>
      </c>
      <c r="E1030" s="3"/>
    </row>
    <row r="1031" spans="1:5" ht="24.75" customHeight="1">
      <c r="A1031" s="2">
        <v>1029</v>
      </c>
      <c r="B1031" s="2" t="str">
        <f>"胡凡芃"</f>
        <v>胡凡芃</v>
      </c>
      <c r="C1031" s="2" t="s">
        <v>975</v>
      </c>
      <c r="D1031" s="2" t="s">
        <v>347</v>
      </c>
      <c r="E1031" s="3"/>
    </row>
    <row r="1032" spans="1:5" ht="24.75" customHeight="1">
      <c r="A1032" s="2">
        <v>1030</v>
      </c>
      <c r="B1032" s="2" t="str">
        <f>"王仪"</f>
        <v>王仪</v>
      </c>
      <c r="C1032" s="2" t="s">
        <v>975</v>
      </c>
      <c r="D1032" s="2" t="s">
        <v>1006</v>
      </c>
      <c r="E1032" s="3"/>
    </row>
    <row r="1033" spans="1:5" ht="24.75" customHeight="1">
      <c r="A1033" s="2">
        <v>1031</v>
      </c>
      <c r="B1033" s="2" t="str">
        <f>"李宇欣"</f>
        <v>李宇欣</v>
      </c>
      <c r="C1033" s="2" t="s">
        <v>975</v>
      </c>
      <c r="D1033" s="2" t="s">
        <v>1007</v>
      </c>
      <c r="E1033" s="3"/>
    </row>
    <row r="1034" spans="1:5" ht="24.75" customHeight="1">
      <c r="A1034" s="2">
        <v>1032</v>
      </c>
      <c r="B1034" s="2" t="str">
        <f>"黄莉"</f>
        <v>黄莉</v>
      </c>
      <c r="C1034" s="2" t="s">
        <v>975</v>
      </c>
      <c r="D1034" s="2" t="s">
        <v>1008</v>
      </c>
      <c r="E1034" s="3"/>
    </row>
    <row r="1035" spans="1:5" ht="24.75" customHeight="1">
      <c r="A1035" s="2">
        <v>1033</v>
      </c>
      <c r="B1035" s="2" t="str">
        <f>"符玲娜"</f>
        <v>符玲娜</v>
      </c>
      <c r="C1035" s="2" t="s">
        <v>975</v>
      </c>
      <c r="D1035" s="2" t="s">
        <v>1009</v>
      </c>
      <c r="E1035" s="3"/>
    </row>
    <row r="1036" spans="1:5" ht="24.75" customHeight="1">
      <c r="A1036" s="2">
        <v>1034</v>
      </c>
      <c r="B1036" s="2" t="str">
        <f>"邓婉婷"</f>
        <v>邓婉婷</v>
      </c>
      <c r="C1036" s="2" t="s">
        <v>975</v>
      </c>
      <c r="D1036" s="2" t="s">
        <v>1010</v>
      </c>
      <c r="E1036" s="3"/>
    </row>
    <row r="1037" spans="1:5" ht="24.75" customHeight="1">
      <c r="A1037" s="2">
        <v>1035</v>
      </c>
      <c r="B1037" s="2" t="str">
        <f>"叶珊珊"</f>
        <v>叶珊珊</v>
      </c>
      <c r="C1037" s="2" t="s">
        <v>975</v>
      </c>
      <c r="D1037" s="2" t="s">
        <v>1011</v>
      </c>
      <c r="E1037" s="3"/>
    </row>
    <row r="1038" spans="1:5" ht="24.75" customHeight="1">
      <c r="A1038" s="2">
        <v>1036</v>
      </c>
      <c r="B1038" s="2" t="str">
        <f>"林道利"</f>
        <v>林道利</v>
      </c>
      <c r="C1038" s="2" t="s">
        <v>975</v>
      </c>
      <c r="D1038" s="2" t="s">
        <v>1012</v>
      </c>
      <c r="E1038" s="3"/>
    </row>
    <row r="1039" spans="1:5" ht="24.75" customHeight="1">
      <c r="A1039" s="2">
        <v>1037</v>
      </c>
      <c r="B1039" s="2" t="str">
        <f>"陈琦"</f>
        <v>陈琦</v>
      </c>
      <c r="C1039" s="2" t="s">
        <v>975</v>
      </c>
      <c r="D1039" s="2" t="s">
        <v>1013</v>
      </c>
      <c r="E1039" s="3"/>
    </row>
    <row r="1040" spans="1:5" ht="24.75" customHeight="1">
      <c r="A1040" s="2">
        <v>1038</v>
      </c>
      <c r="B1040" s="2" t="str">
        <f>"王燕"</f>
        <v>王燕</v>
      </c>
      <c r="C1040" s="2" t="s">
        <v>975</v>
      </c>
      <c r="D1040" s="2" t="s">
        <v>1014</v>
      </c>
      <c r="E1040" s="3"/>
    </row>
    <row r="1041" spans="1:5" ht="24.75" customHeight="1">
      <c r="A1041" s="2">
        <v>1039</v>
      </c>
      <c r="B1041" s="2" t="str">
        <f>"罗姿"</f>
        <v>罗姿</v>
      </c>
      <c r="C1041" s="2" t="s">
        <v>975</v>
      </c>
      <c r="D1041" s="2" t="s">
        <v>1015</v>
      </c>
      <c r="E1041" s="3"/>
    </row>
    <row r="1042" spans="1:5" ht="24.75" customHeight="1">
      <c r="A1042" s="2">
        <v>1040</v>
      </c>
      <c r="B1042" s="2" t="str">
        <f>"王海勋"</f>
        <v>王海勋</v>
      </c>
      <c r="C1042" s="2" t="s">
        <v>975</v>
      </c>
      <c r="D1042" s="2" t="s">
        <v>1016</v>
      </c>
      <c r="E1042" s="3"/>
    </row>
    <row r="1043" spans="1:5" ht="24.75" customHeight="1">
      <c r="A1043" s="2">
        <v>1041</v>
      </c>
      <c r="B1043" s="2" t="str">
        <f>"王钰惠"</f>
        <v>王钰惠</v>
      </c>
      <c r="C1043" s="2" t="s">
        <v>975</v>
      </c>
      <c r="D1043" s="2" t="s">
        <v>951</v>
      </c>
      <c r="E1043" s="3"/>
    </row>
    <row r="1044" spans="1:5" ht="24.75" customHeight="1">
      <c r="A1044" s="2">
        <v>1042</v>
      </c>
      <c r="B1044" s="2" t="str">
        <f>"周鹏"</f>
        <v>周鹏</v>
      </c>
      <c r="C1044" s="2" t="s">
        <v>975</v>
      </c>
      <c r="D1044" s="2" t="s">
        <v>1017</v>
      </c>
      <c r="E1044" s="3"/>
    </row>
    <row r="1045" spans="1:5" ht="24.75" customHeight="1">
      <c r="A1045" s="2">
        <v>1043</v>
      </c>
      <c r="B1045" s="2" t="str">
        <f>"卓广惠"</f>
        <v>卓广惠</v>
      </c>
      <c r="C1045" s="2" t="s">
        <v>975</v>
      </c>
      <c r="D1045" s="2" t="s">
        <v>1018</v>
      </c>
      <c r="E1045" s="3"/>
    </row>
    <row r="1046" spans="1:5" ht="24.75" customHeight="1">
      <c r="A1046" s="2">
        <v>1044</v>
      </c>
      <c r="B1046" s="2" t="str">
        <f>"蒙韫怡"</f>
        <v>蒙韫怡</v>
      </c>
      <c r="C1046" s="2" t="s">
        <v>975</v>
      </c>
      <c r="D1046" s="2" t="s">
        <v>1019</v>
      </c>
      <c r="E1046" s="3"/>
    </row>
    <row r="1047" spans="1:5" ht="24.75" customHeight="1">
      <c r="A1047" s="2">
        <v>1045</v>
      </c>
      <c r="B1047" s="2" t="str">
        <f>"吴汉珍"</f>
        <v>吴汉珍</v>
      </c>
      <c r="C1047" s="2" t="s">
        <v>975</v>
      </c>
      <c r="D1047" s="2" t="s">
        <v>1020</v>
      </c>
      <c r="E1047" s="3"/>
    </row>
    <row r="1048" spans="1:5" ht="24.75" customHeight="1">
      <c r="A1048" s="2">
        <v>1046</v>
      </c>
      <c r="B1048" s="2" t="str">
        <f>"蒙常凤"</f>
        <v>蒙常凤</v>
      </c>
      <c r="C1048" s="2" t="s">
        <v>975</v>
      </c>
      <c r="D1048" s="2" t="s">
        <v>828</v>
      </c>
      <c r="E1048" s="3"/>
    </row>
    <row r="1049" spans="1:5" ht="24.75" customHeight="1">
      <c r="A1049" s="2">
        <v>1047</v>
      </c>
      <c r="B1049" s="2" t="str">
        <f>"翁良乙"</f>
        <v>翁良乙</v>
      </c>
      <c r="C1049" s="2" t="s">
        <v>975</v>
      </c>
      <c r="D1049" s="2" t="s">
        <v>1021</v>
      </c>
      <c r="E1049" s="3"/>
    </row>
    <row r="1050" spans="1:5" ht="24.75" customHeight="1">
      <c r="A1050" s="2">
        <v>1048</v>
      </c>
      <c r="B1050" s="2" t="str">
        <f>"张山霖"</f>
        <v>张山霖</v>
      </c>
      <c r="C1050" s="2" t="s">
        <v>975</v>
      </c>
      <c r="D1050" s="2" t="s">
        <v>1022</v>
      </c>
      <c r="E1050" s="3"/>
    </row>
    <row r="1051" spans="1:5" ht="24.75" customHeight="1">
      <c r="A1051" s="2">
        <v>1049</v>
      </c>
      <c r="B1051" s="2" t="str">
        <f>"田文霄"</f>
        <v>田文霄</v>
      </c>
      <c r="C1051" s="2" t="s">
        <v>975</v>
      </c>
      <c r="D1051" s="2" t="s">
        <v>1023</v>
      </c>
      <c r="E1051" s="3"/>
    </row>
    <row r="1052" spans="1:5" ht="24.75" customHeight="1">
      <c r="A1052" s="2">
        <v>1050</v>
      </c>
      <c r="B1052" s="2" t="str">
        <f>"钟钰"</f>
        <v>钟钰</v>
      </c>
      <c r="C1052" s="2" t="s">
        <v>975</v>
      </c>
      <c r="D1052" s="2" t="s">
        <v>1024</v>
      </c>
      <c r="E1052" s="3"/>
    </row>
    <row r="1053" spans="1:5" ht="24.75" customHeight="1">
      <c r="A1053" s="2">
        <v>1051</v>
      </c>
      <c r="B1053" s="2" t="str">
        <f>"冯薇"</f>
        <v>冯薇</v>
      </c>
      <c r="C1053" s="2" t="s">
        <v>975</v>
      </c>
      <c r="D1053" s="2" t="s">
        <v>1025</v>
      </c>
      <c r="E1053" s="3"/>
    </row>
    <row r="1054" spans="1:5" ht="24.75" customHeight="1">
      <c r="A1054" s="2">
        <v>1052</v>
      </c>
      <c r="B1054" s="2" t="str">
        <f>"高宇芳"</f>
        <v>高宇芳</v>
      </c>
      <c r="C1054" s="2" t="s">
        <v>975</v>
      </c>
      <c r="D1054" s="2" t="s">
        <v>1026</v>
      </c>
      <c r="E1054" s="3"/>
    </row>
    <row r="1055" spans="1:5" ht="24.75" customHeight="1">
      <c r="A1055" s="2">
        <v>1053</v>
      </c>
      <c r="B1055" s="2" t="str">
        <f>"陈瑜"</f>
        <v>陈瑜</v>
      </c>
      <c r="C1055" s="2" t="s">
        <v>975</v>
      </c>
      <c r="D1055" s="2" t="s">
        <v>1027</v>
      </c>
      <c r="E1055" s="3"/>
    </row>
    <row r="1056" spans="1:5" ht="24.75" customHeight="1">
      <c r="A1056" s="2">
        <v>1054</v>
      </c>
      <c r="B1056" s="2" t="str">
        <f>"白莹雪"</f>
        <v>白莹雪</v>
      </c>
      <c r="C1056" s="2" t="s">
        <v>975</v>
      </c>
      <c r="D1056" s="2" t="s">
        <v>1028</v>
      </c>
      <c r="E1056" s="3"/>
    </row>
    <row r="1057" spans="1:5" ht="24.75" customHeight="1">
      <c r="A1057" s="2">
        <v>1055</v>
      </c>
      <c r="B1057" s="2" t="str">
        <f>"李彦霏"</f>
        <v>李彦霏</v>
      </c>
      <c r="C1057" s="2" t="s">
        <v>975</v>
      </c>
      <c r="D1057" s="2" t="s">
        <v>368</v>
      </c>
      <c r="E1057" s="3"/>
    </row>
    <row r="1058" spans="1:5" ht="24.75" customHeight="1">
      <c r="A1058" s="2">
        <v>1056</v>
      </c>
      <c r="B1058" s="2" t="str">
        <f>"刘佳琪"</f>
        <v>刘佳琪</v>
      </c>
      <c r="C1058" s="2" t="s">
        <v>975</v>
      </c>
      <c r="D1058" s="2" t="s">
        <v>1029</v>
      </c>
      <c r="E1058" s="3"/>
    </row>
    <row r="1059" spans="1:5" ht="24.75" customHeight="1">
      <c r="A1059" s="2">
        <v>1057</v>
      </c>
      <c r="B1059" s="2" t="str">
        <f>"陈强"</f>
        <v>陈强</v>
      </c>
      <c r="C1059" s="2" t="s">
        <v>975</v>
      </c>
      <c r="D1059" s="2" t="s">
        <v>1030</v>
      </c>
      <c r="E1059" s="3"/>
    </row>
    <row r="1060" spans="1:5" ht="24.75" customHeight="1">
      <c r="A1060" s="2">
        <v>1058</v>
      </c>
      <c r="B1060" s="2" t="str">
        <f>"邱铄岚"</f>
        <v>邱铄岚</v>
      </c>
      <c r="C1060" s="2" t="s">
        <v>975</v>
      </c>
      <c r="D1060" s="2" t="s">
        <v>1031</v>
      </c>
      <c r="E1060" s="3"/>
    </row>
    <row r="1061" spans="1:5" ht="24.75" customHeight="1">
      <c r="A1061" s="2">
        <v>1059</v>
      </c>
      <c r="B1061" s="2" t="str">
        <f>"陈俊宇"</f>
        <v>陈俊宇</v>
      </c>
      <c r="C1061" s="2" t="s">
        <v>975</v>
      </c>
      <c r="D1061" s="2" t="s">
        <v>1032</v>
      </c>
      <c r="E1061" s="3"/>
    </row>
    <row r="1062" spans="1:5" ht="24.75" customHeight="1">
      <c r="A1062" s="2">
        <v>1060</v>
      </c>
      <c r="B1062" s="2" t="str">
        <f>"叶雨晴"</f>
        <v>叶雨晴</v>
      </c>
      <c r="C1062" s="2" t="s">
        <v>975</v>
      </c>
      <c r="D1062" s="2" t="s">
        <v>1033</v>
      </c>
      <c r="E1062" s="3"/>
    </row>
    <row r="1063" spans="1:5" ht="24.75" customHeight="1">
      <c r="A1063" s="2">
        <v>1061</v>
      </c>
      <c r="B1063" s="2" t="str">
        <f>"周莹"</f>
        <v>周莹</v>
      </c>
      <c r="C1063" s="2" t="s">
        <v>975</v>
      </c>
      <c r="D1063" s="2" t="s">
        <v>1034</v>
      </c>
      <c r="E1063" s="3"/>
    </row>
    <row r="1064" spans="1:5" ht="24.75" customHeight="1">
      <c r="A1064" s="2">
        <v>1062</v>
      </c>
      <c r="B1064" s="2" t="str">
        <f>"骆晓佳"</f>
        <v>骆晓佳</v>
      </c>
      <c r="C1064" s="2" t="s">
        <v>975</v>
      </c>
      <c r="D1064" s="2" t="s">
        <v>1035</v>
      </c>
      <c r="E1064" s="3"/>
    </row>
    <row r="1065" spans="1:5" ht="24.75" customHeight="1">
      <c r="A1065" s="2">
        <v>1063</v>
      </c>
      <c r="B1065" s="2" t="str">
        <f>"陈千千"</f>
        <v>陈千千</v>
      </c>
      <c r="C1065" s="2" t="s">
        <v>975</v>
      </c>
      <c r="D1065" s="2" t="s">
        <v>788</v>
      </c>
      <c r="E1065" s="3"/>
    </row>
    <row r="1066" spans="1:5" ht="24.75" customHeight="1">
      <c r="A1066" s="2">
        <v>1064</v>
      </c>
      <c r="B1066" s="2" t="str">
        <f>"邵勇"</f>
        <v>邵勇</v>
      </c>
      <c r="C1066" s="2" t="s">
        <v>975</v>
      </c>
      <c r="D1066" s="2" t="s">
        <v>1036</v>
      </c>
      <c r="E1066" s="3"/>
    </row>
    <row r="1067" spans="1:5" ht="24.75" customHeight="1">
      <c r="A1067" s="2">
        <v>1065</v>
      </c>
      <c r="B1067" s="2" t="str">
        <f>"高雪莹"</f>
        <v>高雪莹</v>
      </c>
      <c r="C1067" s="2" t="s">
        <v>975</v>
      </c>
      <c r="D1067" s="2" t="s">
        <v>1037</v>
      </c>
      <c r="E1067" s="3"/>
    </row>
    <row r="1068" spans="1:5" ht="24.75" customHeight="1">
      <c r="A1068" s="2">
        <v>1066</v>
      </c>
      <c r="B1068" s="2" t="str">
        <f>"吴婧"</f>
        <v>吴婧</v>
      </c>
      <c r="C1068" s="2" t="s">
        <v>975</v>
      </c>
      <c r="D1068" s="2" t="s">
        <v>302</v>
      </c>
      <c r="E1068" s="3"/>
    </row>
    <row r="1069" spans="1:5" ht="24.75" customHeight="1">
      <c r="A1069" s="2">
        <v>1067</v>
      </c>
      <c r="B1069" s="2" t="str">
        <f>"李维琳"</f>
        <v>李维琳</v>
      </c>
      <c r="C1069" s="2" t="s">
        <v>975</v>
      </c>
      <c r="D1069" s="2" t="s">
        <v>1038</v>
      </c>
      <c r="E1069" s="3"/>
    </row>
    <row r="1070" spans="1:5" ht="24.75" customHeight="1">
      <c r="A1070" s="2">
        <v>1068</v>
      </c>
      <c r="B1070" s="2" t="str">
        <f>"蔡珏"</f>
        <v>蔡珏</v>
      </c>
      <c r="C1070" s="2" t="s">
        <v>975</v>
      </c>
      <c r="D1070" s="2" t="s">
        <v>1039</v>
      </c>
      <c r="E1070" s="3"/>
    </row>
    <row r="1071" spans="1:5" ht="24.75" customHeight="1">
      <c r="A1071" s="2">
        <v>1069</v>
      </c>
      <c r="B1071" s="2" t="str">
        <f>"张丁文"</f>
        <v>张丁文</v>
      </c>
      <c r="C1071" s="2" t="s">
        <v>975</v>
      </c>
      <c r="D1071" s="2" t="s">
        <v>139</v>
      </c>
      <c r="E1071" s="3"/>
    </row>
    <row r="1072" spans="1:5" ht="24.75" customHeight="1">
      <c r="A1072" s="2">
        <v>1070</v>
      </c>
      <c r="B1072" s="2" t="str">
        <f>"蔡亲发"</f>
        <v>蔡亲发</v>
      </c>
      <c r="C1072" s="2" t="s">
        <v>975</v>
      </c>
      <c r="D1072" s="2" t="s">
        <v>1040</v>
      </c>
      <c r="E1072" s="3"/>
    </row>
    <row r="1073" spans="1:5" ht="24.75" customHeight="1">
      <c r="A1073" s="2">
        <v>1071</v>
      </c>
      <c r="B1073" s="2" t="str">
        <f>"吴俊鸿"</f>
        <v>吴俊鸿</v>
      </c>
      <c r="C1073" s="2" t="s">
        <v>975</v>
      </c>
      <c r="D1073" s="2" t="s">
        <v>1041</v>
      </c>
      <c r="E1073" s="3"/>
    </row>
    <row r="1074" spans="1:5" ht="24.75" customHeight="1">
      <c r="A1074" s="2">
        <v>1072</v>
      </c>
      <c r="B1074" s="2" t="str">
        <f>"孙秋雨"</f>
        <v>孙秋雨</v>
      </c>
      <c r="C1074" s="2" t="s">
        <v>975</v>
      </c>
      <c r="D1074" s="2" t="s">
        <v>1042</v>
      </c>
      <c r="E1074" s="3"/>
    </row>
    <row r="1075" spans="1:5" ht="24.75" customHeight="1">
      <c r="A1075" s="2">
        <v>1073</v>
      </c>
      <c r="B1075" s="2" t="str">
        <f>"周妹妹"</f>
        <v>周妹妹</v>
      </c>
      <c r="C1075" s="2" t="s">
        <v>975</v>
      </c>
      <c r="D1075" s="2" t="s">
        <v>1043</v>
      </c>
      <c r="E1075" s="3"/>
    </row>
    <row r="1076" spans="1:5" ht="24.75" customHeight="1">
      <c r="A1076" s="2">
        <v>1074</v>
      </c>
      <c r="B1076" s="2" t="str">
        <f>"黄德健"</f>
        <v>黄德健</v>
      </c>
      <c r="C1076" s="2" t="s">
        <v>975</v>
      </c>
      <c r="D1076" s="2" t="s">
        <v>1044</v>
      </c>
      <c r="E1076" s="3"/>
    </row>
    <row r="1077" spans="1:5" ht="24.75" customHeight="1">
      <c r="A1077" s="2">
        <v>1075</v>
      </c>
      <c r="B1077" s="2" t="str">
        <f>"国煜桐"</f>
        <v>国煜桐</v>
      </c>
      <c r="C1077" s="2" t="s">
        <v>975</v>
      </c>
      <c r="D1077" s="2" t="s">
        <v>1045</v>
      </c>
      <c r="E1077" s="3"/>
    </row>
    <row r="1078" spans="1:5" ht="24.75" customHeight="1">
      <c r="A1078" s="2">
        <v>1076</v>
      </c>
      <c r="B1078" s="2" t="str">
        <f>"陈卓国"</f>
        <v>陈卓国</v>
      </c>
      <c r="C1078" s="2" t="s">
        <v>975</v>
      </c>
      <c r="D1078" s="2" t="s">
        <v>1046</v>
      </c>
      <c r="E1078" s="3"/>
    </row>
    <row r="1079" spans="1:5" ht="24.75" customHeight="1">
      <c r="A1079" s="2">
        <v>1077</v>
      </c>
      <c r="B1079" s="2" t="str">
        <f>"黎秋焕"</f>
        <v>黎秋焕</v>
      </c>
      <c r="C1079" s="2" t="s">
        <v>975</v>
      </c>
      <c r="D1079" s="2" t="s">
        <v>1047</v>
      </c>
      <c r="E1079" s="3"/>
    </row>
    <row r="1080" spans="1:5" ht="24.75" customHeight="1">
      <c r="A1080" s="2">
        <v>1078</v>
      </c>
      <c r="B1080" s="2" t="str">
        <f>"许月慧"</f>
        <v>许月慧</v>
      </c>
      <c r="C1080" s="2" t="s">
        <v>975</v>
      </c>
      <c r="D1080" s="2" t="s">
        <v>1048</v>
      </c>
      <c r="E1080" s="3"/>
    </row>
    <row r="1081" spans="1:5" ht="24.75" customHeight="1">
      <c r="A1081" s="2">
        <v>1079</v>
      </c>
      <c r="B1081" s="2" t="str">
        <f>"李宛娉"</f>
        <v>李宛娉</v>
      </c>
      <c r="C1081" s="2" t="s">
        <v>975</v>
      </c>
      <c r="D1081" s="2" t="s">
        <v>1049</v>
      </c>
      <c r="E1081" s="3"/>
    </row>
    <row r="1082" spans="1:5" ht="24.75" customHeight="1">
      <c r="A1082" s="2">
        <v>1080</v>
      </c>
      <c r="B1082" s="2" t="str">
        <f>"张思思"</f>
        <v>张思思</v>
      </c>
      <c r="C1082" s="2" t="s">
        <v>975</v>
      </c>
      <c r="D1082" s="2" t="s">
        <v>1050</v>
      </c>
      <c r="E1082" s="3"/>
    </row>
    <row r="1083" spans="1:5" ht="24.75" customHeight="1">
      <c r="A1083" s="2">
        <v>1081</v>
      </c>
      <c r="B1083" s="2" t="str">
        <f>"王薇"</f>
        <v>王薇</v>
      </c>
      <c r="C1083" s="2" t="s">
        <v>975</v>
      </c>
      <c r="D1083" s="2" t="s">
        <v>1051</v>
      </c>
      <c r="E1083" s="3"/>
    </row>
    <row r="1084" spans="1:5" ht="24.75" customHeight="1">
      <c r="A1084" s="2">
        <v>1082</v>
      </c>
      <c r="B1084" s="2" t="str">
        <f>"方春霞"</f>
        <v>方春霞</v>
      </c>
      <c r="C1084" s="2" t="s">
        <v>975</v>
      </c>
      <c r="D1084" s="2" t="s">
        <v>1052</v>
      </c>
      <c r="E1084" s="3"/>
    </row>
    <row r="1085" spans="1:5" ht="24.75" customHeight="1">
      <c r="A1085" s="2">
        <v>1083</v>
      </c>
      <c r="B1085" s="2" t="str">
        <f>"曾文丽"</f>
        <v>曾文丽</v>
      </c>
      <c r="C1085" s="2" t="s">
        <v>975</v>
      </c>
      <c r="D1085" s="2" t="s">
        <v>1053</v>
      </c>
      <c r="E1085" s="3"/>
    </row>
    <row r="1086" spans="1:5" ht="24.75" customHeight="1">
      <c r="A1086" s="2">
        <v>1084</v>
      </c>
      <c r="B1086" s="2" t="str">
        <f>"范少薇"</f>
        <v>范少薇</v>
      </c>
      <c r="C1086" s="2" t="s">
        <v>975</v>
      </c>
      <c r="D1086" s="2" t="s">
        <v>1054</v>
      </c>
      <c r="E1086" s="3"/>
    </row>
    <row r="1087" spans="1:5" ht="24.75" customHeight="1">
      <c r="A1087" s="2">
        <v>1085</v>
      </c>
      <c r="B1087" s="2" t="str">
        <f>"许秀莲"</f>
        <v>许秀莲</v>
      </c>
      <c r="C1087" s="2" t="s">
        <v>975</v>
      </c>
      <c r="D1087" s="2" t="s">
        <v>1055</v>
      </c>
      <c r="E1087" s="3"/>
    </row>
    <row r="1088" spans="1:5" ht="24.75" customHeight="1">
      <c r="A1088" s="2">
        <v>1086</v>
      </c>
      <c r="B1088" s="2" t="str">
        <f>"吴宇仑"</f>
        <v>吴宇仑</v>
      </c>
      <c r="C1088" s="2" t="s">
        <v>975</v>
      </c>
      <c r="D1088" s="2" t="s">
        <v>1056</v>
      </c>
      <c r="E1088" s="3"/>
    </row>
    <row r="1089" spans="1:5" ht="24.75" customHeight="1">
      <c r="A1089" s="2">
        <v>1087</v>
      </c>
      <c r="B1089" s="2" t="str">
        <f>"陈圣有"</f>
        <v>陈圣有</v>
      </c>
      <c r="C1089" s="2" t="s">
        <v>975</v>
      </c>
      <c r="D1089" s="2" t="s">
        <v>1057</v>
      </c>
      <c r="E1089" s="3"/>
    </row>
    <row r="1090" spans="1:5" ht="24.75" customHeight="1">
      <c r="A1090" s="2">
        <v>1088</v>
      </c>
      <c r="B1090" s="2" t="str">
        <f>"周晶晶"</f>
        <v>周晶晶</v>
      </c>
      <c r="C1090" s="2" t="s">
        <v>975</v>
      </c>
      <c r="D1090" s="2" t="s">
        <v>1058</v>
      </c>
      <c r="E1090" s="3"/>
    </row>
    <row r="1091" spans="1:5" ht="24.75" customHeight="1">
      <c r="A1091" s="2">
        <v>1089</v>
      </c>
      <c r="B1091" s="2" t="str">
        <f>"张浩"</f>
        <v>张浩</v>
      </c>
      <c r="C1091" s="2" t="s">
        <v>975</v>
      </c>
      <c r="D1091" s="2" t="s">
        <v>1059</v>
      </c>
      <c r="E1091" s="3"/>
    </row>
    <row r="1092" spans="1:5" ht="24.75" customHeight="1">
      <c r="A1092" s="2">
        <v>1090</v>
      </c>
      <c r="B1092" s="2" t="str">
        <f>"羊广春"</f>
        <v>羊广春</v>
      </c>
      <c r="C1092" s="2" t="s">
        <v>975</v>
      </c>
      <c r="D1092" s="2" t="s">
        <v>1060</v>
      </c>
      <c r="E1092" s="3"/>
    </row>
    <row r="1093" spans="1:5" ht="24.75" customHeight="1">
      <c r="A1093" s="2">
        <v>1091</v>
      </c>
      <c r="B1093" s="2" t="str">
        <f>"郑淇宁"</f>
        <v>郑淇宁</v>
      </c>
      <c r="C1093" s="2" t="s">
        <v>975</v>
      </c>
      <c r="D1093" s="2" t="s">
        <v>1061</v>
      </c>
      <c r="E1093" s="3"/>
    </row>
    <row r="1094" spans="1:5" ht="24.75" customHeight="1">
      <c r="A1094" s="2">
        <v>1092</v>
      </c>
      <c r="B1094" s="2" t="str">
        <f>"陈沫驰"</f>
        <v>陈沫驰</v>
      </c>
      <c r="C1094" s="2" t="s">
        <v>975</v>
      </c>
      <c r="D1094" s="2" t="s">
        <v>1062</v>
      </c>
      <c r="E1094" s="3"/>
    </row>
    <row r="1095" spans="1:5" ht="24.75" customHeight="1">
      <c r="A1095" s="2">
        <v>1093</v>
      </c>
      <c r="B1095" s="2" t="str">
        <f>"刘索知"</f>
        <v>刘索知</v>
      </c>
      <c r="C1095" s="2" t="s">
        <v>975</v>
      </c>
      <c r="D1095" s="2" t="s">
        <v>1063</v>
      </c>
      <c r="E1095" s="3"/>
    </row>
    <row r="1096" spans="1:5" ht="24.75" customHeight="1">
      <c r="A1096" s="2">
        <v>1094</v>
      </c>
      <c r="B1096" s="2" t="str">
        <f>"冯所亮"</f>
        <v>冯所亮</v>
      </c>
      <c r="C1096" s="2" t="s">
        <v>975</v>
      </c>
      <c r="D1096" s="2" t="s">
        <v>1064</v>
      </c>
      <c r="E1096" s="3"/>
    </row>
    <row r="1097" spans="1:5" ht="24.75" customHeight="1">
      <c r="A1097" s="2">
        <v>1095</v>
      </c>
      <c r="B1097" s="2" t="str">
        <f>"王还盈"</f>
        <v>王还盈</v>
      </c>
      <c r="C1097" s="2" t="s">
        <v>975</v>
      </c>
      <c r="D1097" s="2" t="s">
        <v>1065</v>
      </c>
      <c r="E1097" s="3"/>
    </row>
    <row r="1098" spans="1:5" ht="24.75" customHeight="1">
      <c r="A1098" s="2">
        <v>1096</v>
      </c>
      <c r="B1098" s="2" t="str">
        <f>"王康森"</f>
        <v>王康森</v>
      </c>
      <c r="C1098" s="2" t="s">
        <v>975</v>
      </c>
      <c r="D1098" s="2" t="s">
        <v>1066</v>
      </c>
      <c r="E1098" s="3"/>
    </row>
    <row r="1099" spans="1:5" ht="24.75" customHeight="1">
      <c r="A1099" s="2">
        <v>1097</v>
      </c>
      <c r="B1099" s="2" t="str">
        <f>"韦雪佳"</f>
        <v>韦雪佳</v>
      </c>
      <c r="C1099" s="2" t="s">
        <v>975</v>
      </c>
      <c r="D1099" s="2" t="s">
        <v>1067</v>
      </c>
      <c r="E1099" s="3"/>
    </row>
    <row r="1100" spans="1:5" ht="24.75" customHeight="1">
      <c r="A1100" s="2">
        <v>1098</v>
      </c>
      <c r="B1100" s="2" t="str">
        <f>"李正娴"</f>
        <v>李正娴</v>
      </c>
      <c r="C1100" s="2" t="s">
        <v>975</v>
      </c>
      <c r="D1100" s="2" t="s">
        <v>1068</v>
      </c>
      <c r="E1100" s="3"/>
    </row>
    <row r="1101" spans="1:5" ht="24.75" customHeight="1">
      <c r="A1101" s="2">
        <v>1099</v>
      </c>
      <c r="B1101" s="2" t="str">
        <f>"符媛媛"</f>
        <v>符媛媛</v>
      </c>
      <c r="C1101" s="2" t="s">
        <v>975</v>
      </c>
      <c r="D1101" s="2" t="s">
        <v>1069</v>
      </c>
      <c r="E1101" s="3"/>
    </row>
    <row r="1102" spans="1:5" ht="24.75" customHeight="1">
      <c r="A1102" s="2">
        <v>1100</v>
      </c>
      <c r="B1102" s="2" t="str">
        <f>"黄莹"</f>
        <v>黄莹</v>
      </c>
      <c r="C1102" s="2" t="s">
        <v>975</v>
      </c>
      <c r="D1102" s="2" t="s">
        <v>1070</v>
      </c>
      <c r="E1102" s="3"/>
    </row>
    <row r="1103" spans="1:5" ht="24.75" customHeight="1">
      <c r="A1103" s="2">
        <v>1101</v>
      </c>
      <c r="B1103" s="2" t="str">
        <f>"李冠霖"</f>
        <v>李冠霖</v>
      </c>
      <c r="C1103" s="2" t="s">
        <v>975</v>
      </c>
      <c r="D1103" s="2" t="s">
        <v>1071</v>
      </c>
      <c r="E1103" s="3"/>
    </row>
    <row r="1104" spans="1:5" ht="24.75" customHeight="1">
      <c r="A1104" s="2">
        <v>1102</v>
      </c>
      <c r="B1104" s="2" t="str">
        <f>"全琪环"</f>
        <v>全琪环</v>
      </c>
      <c r="C1104" s="2" t="s">
        <v>975</v>
      </c>
      <c r="D1104" s="2" t="s">
        <v>1072</v>
      </c>
      <c r="E1104" s="3"/>
    </row>
    <row r="1105" spans="1:5" ht="24.75" customHeight="1">
      <c r="A1105" s="2">
        <v>1103</v>
      </c>
      <c r="B1105" s="2" t="str">
        <f>"刘炫麟"</f>
        <v>刘炫麟</v>
      </c>
      <c r="C1105" s="2" t="s">
        <v>975</v>
      </c>
      <c r="D1105" s="2" t="s">
        <v>1073</v>
      </c>
      <c r="E1105" s="3"/>
    </row>
    <row r="1106" spans="1:5" ht="24.75" customHeight="1">
      <c r="A1106" s="2">
        <v>1104</v>
      </c>
      <c r="B1106" s="2" t="str">
        <f>"童昕烨"</f>
        <v>童昕烨</v>
      </c>
      <c r="C1106" s="2" t="s">
        <v>975</v>
      </c>
      <c r="D1106" s="2" t="s">
        <v>1074</v>
      </c>
      <c r="E1106" s="3"/>
    </row>
    <row r="1107" spans="1:5" ht="24.75" customHeight="1">
      <c r="A1107" s="2">
        <v>1105</v>
      </c>
      <c r="B1107" s="2" t="str">
        <f>"谢小梅"</f>
        <v>谢小梅</v>
      </c>
      <c r="C1107" s="2" t="s">
        <v>975</v>
      </c>
      <c r="D1107" s="2" t="s">
        <v>1075</v>
      </c>
      <c r="E1107" s="3"/>
    </row>
    <row r="1108" spans="1:5" ht="24.75" customHeight="1">
      <c r="A1108" s="2">
        <v>1106</v>
      </c>
      <c r="B1108" s="2" t="str">
        <f>"李媛"</f>
        <v>李媛</v>
      </c>
      <c r="C1108" s="2" t="s">
        <v>975</v>
      </c>
      <c r="D1108" s="2" t="s">
        <v>1076</v>
      </c>
      <c r="E1108" s="3"/>
    </row>
    <row r="1109" spans="1:5" ht="24.75" customHeight="1">
      <c r="A1109" s="2">
        <v>1107</v>
      </c>
      <c r="B1109" s="2" t="str">
        <f>"符笃训"</f>
        <v>符笃训</v>
      </c>
      <c r="C1109" s="2" t="s">
        <v>975</v>
      </c>
      <c r="D1109" s="2" t="s">
        <v>1077</v>
      </c>
      <c r="E1109" s="3"/>
    </row>
    <row r="1110" spans="1:5" ht="24.75" customHeight="1">
      <c r="A1110" s="2">
        <v>1108</v>
      </c>
      <c r="B1110" s="2" t="str">
        <f>"覃蕊"</f>
        <v>覃蕊</v>
      </c>
      <c r="C1110" s="2" t="s">
        <v>975</v>
      </c>
      <c r="D1110" s="2" t="s">
        <v>1078</v>
      </c>
      <c r="E1110" s="3"/>
    </row>
    <row r="1111" spans="1:5" ht="24.75" customHeight="1">
      <c r="A1111" s="2">
        <v>1109</v>
      </c>
      <c r="B1111" s="2" t="str">
        <f>"高边雯"</f>
        <v>高边雯</v>
      </c>
      <c r="C1111" s="2" t="s">
        <v>975</v>
      </c>
      <c r="D1111" s="2" t="s">
        <v>1079</v>
      </c>
      <c r="E1111" s="3"/>
    </row>
    <row r="1112" spans="1:5" ht="24.75" customHeight="1">
      <c r="A1112" s="2">
        <v>1110</v>
      </c>
      <c r="B1112" s="2" t="str">
        <f>"杨开良"</f>
        <v>杨开良</v>
      </c>
      <c r="C1112" s="2" t="s">
        <v>975</v>
      </c>
      <c r="D1112" s="2" t="s">
        <v>1080</v>
      </c>
      <c r="E1112" s="3"/>
    </row>
    <row r="1113" spans="1:5" ht="24.75" customHeight="1">
      <c r="A1113" s="2">
        <v>1111</v>
      </c>
      <c r="B1113" s="2" t="str">
        <f>"苏新婷"</f>
        <v>苏新婷</v>
      </c>
      <c r="C1113" s="2" t="s">
        <v>975</v>
      </c>
      <c r="D1113" s="2" t="s">
        <v>1081</v>
      </c>
      <c r="E1113" s="3"/>
    </row>
    <row r="1114" spans="1:5" ht="24.75" customHeight="1">
      <c r="A1114" s="2">
        <v>1112</v>
      </c>
      <c r="B1114" s="2" t="str">
        <f>"黄晓琳"</f>
        <v>黄晓琳</v>
      </c>
      <c r="C1114" s="2" t="s">
        <v>975</v>
      </c>
      <c r="D1114" s="2" t="s">
        <v>1082</v>
      </c>
      <c r="E1114" s="3"/>
    </row>
    <row r="1115" spans="1:5" ht="24.75" customHeight="1">
      <c r="A1115" s="2">
        <v>1113</v>
      </c>
      <c r="B1115" s="2" t="str">
        <f>"王鑫龙"</f>
        <v>王鑫龙</v>
      </c>
      <c r="C1115" s="2" t="s">
        <v>975</v>
      </c>
      <c r="D1115" s="2" t="s">
        <v>1083</v>
      </c>
      <c r="E1115" s="3"/>
    </row>
    <row r="1116" spans="1:5" ht="24.75" customHeight="1">
      <c r="A1116" s="2">
        <v>1114</v>
      </c>
      <c r="B1116" s="2" t="str">
        <f>"刘渤然"</f>
        <v>刘渤然</v>
      </c>
      <c r="C1116" s="2" t="s">
        <v>975</v>
      </c>
      <c r="D1116" s="2" t="s">
        <v>953</v>
      </c>
      <c r="E1116" s="3"/>
    </row>
    <row r="1117" spans="1:5" ht="24.75" customHeight="1">
      <c r="A1117" s="2">
        <v>1115</v>
      </c>
      <c r="B1117" s="2" t="str">
        <f>"黎经芸"</f>
        <v>黎经芸</v>
      </c>
      <c r="C1117" s="2" t="s">
        <v>975</v>
      </c>
      <c r="D1117" s="2" t="s">
        <v>1084</v>
      </c>
      <c r="E1117" s="3"/>
    </row>
    <row r="1118" spans="1:5" ht="24.75" customHeight="1">
      <c r="A1118" s="2">
        <v>1116</v>
      </c>
      <c r="B1118" s="2" t="str">
        <f>"林丹娜"</f>
        <v>林丹娜</v>
      </c>
      <c r="C1118" s="2" t="s">
        <v>975</v>
      </c>
      <c r="D1118" s="2" t="s">
        <v>526</v>
      </c>
      <c r="E1118" s="3"/>
    </row>
    <row r="1119" spans="1:5" ht="24.75" customHeight="1">
      <c r="A1119" s="2">
        <v>1117</v>
      </c>
      <c r="B1119" s="2" t="str">
        <f>"龙生辉"</f>
        <v>龙生辉</v>
      </c>
      <c r="C1119" s="2" t="s">
        <v>1085</v>
      </c>
      <c r="D1119" s="2" t="s">
        <v>1086</v>
      </c>
      <c r="E1119" s="3"/>
    </row>
    <row r="1120" spans="1:5" ht="24.75" customHeight="1">
      <c r="A1120" s="2">
        <v>1118</v>
      </c>
      <c r="B1120" s="2" t="str">
        <f>"曾小鸿"</f>
        <v>曾小鸿</v>
      </c>
      <c r="C1120" s="2" t="s">
        <v>1085</v>
      </c>
      <c r="D1120" s="2" t="s">
        <v>1087</v>
      </c>
      <c r="E1120" s="3"/>
    </row>
    <row r="1121" spans="1:5" ht="24.75" customHeight="1">
      <c r="A1121" s="2">
        <v>1119</v>
      </c>
      <c r="B1121" s="2" t="str">
        <f>"何大铭"</f>
        <v>何大铭</v>
      </c>
      <c r="C1121" s="2" t="s">
        <v>1085</v>
      </c>
      <c r="D1121" s="2" t="s">
        <v>1088</v>
      </c>
      <c r="E1121" s="3"/>
    </row>
    <row r="1122" spans="1:5" ht="24.75" customHeight="1">
      <c r="A1122" s="2">
        <v>1120</v>
      </c>
      <c r="B1122" s="2" t="str">
        <f>"王立耕"</f>
        <v>王立耕</v>
      </c>
      <c r="C1122" s="2" t="s">
        <v>1085</v>
      </c>
      <c r="D1122" s="2" t="s">
        <v>1089</v>
      </c>
      <c r="E1122" s="3"/>
    </row>
    <row r="1123" spans="1:5" ht="24.75" customHeight="1">
      <c r="A1123" s="2">
        <v>1121</v>
      </c>
      <c r="B1123" s="2" t="str">
        <f>"徐玮鸿"</f>
        <v>徐玮鸿</v>
      </c>
      <c r="C1123" s="2" t="s">
        <v>1085</v>
      </c>
      <c r="D1123" s="2" t="s">
        <v>570</v>
      </c>
      <c r="E1123" s="3"/>
    </row>
    <row r="1124" spans="1:5" ht="24.75" customHeight="1">
      <c r="A1124" s="2">
        <v>1122</v>
      </c>
      <c r="B1124" s="2" t="str">
        <f>"薛诒松"</f>
        <v>薛诒松</v>
      </c>
      <c r="C1124" s="2" t="s">
        <v>1085</v>
      </c>
      <c r="D1124" s="2" t="s">
        <v>1090</v>
      </c>
      <c r="E1124" s="3"/>
    </row>
    <row r="1125" spans="1:5" ht="24.75" customHeight="1">
      <c r="A1125" s="2">
        <v>1123</v>
      </c>
      <c r="B1125" s="2" t="str">
        <f>"林光海"</f>
        <v>林光海</v>
      </c>
      <c r="C1125" s="2" t="s">
        <v>1085</v>
      </c>
      <c r="D1125" s="2" t="s">
        <v>1091</v>
      </c>
      <c r="E1125" s="3"/>
    </row>
    <row r="1126" spans="1:5" ht="24.75" customHeight="1">
      <c r="A1126" s="2">
        <v>1124</v>
      </c>
      <c r="B1126" s="2" t="str">
        <f>"梁珍以"</f>
        <v>梁珍以</v>
      </c>
      <c r="C1126" s="2" t="s">
        <v>1085</v>
      </c>
      <c r="D1126" s="2" t="s">
        <v>1092</v>
      </c>
      <c r="E1126" s="3"/>
    </row>
    <row r="1127" spans="1:5" ht="24.75" customHeight="1">
      <c r="A1127" s="2">
        <v>1125</v>
      </c>
      <c r="B1127" s="2" t="str">
        <f>"林明中"</f>
        <v>林明中</v>
      </c>
      <c r="C1127" s="2" t="s">
        <v>1085</v>
      </c>
      <c r="D1127" s="2" t="s">
        <v>1093</v>
      </c>
      <c r="E1127" s="3"/>
    </row>
    <row r="1128" spans="1:5" ht="24.75" customHeight="1">
      <c r="A1128" s="2">
        <v>1126</v>
      </c>
      <c r="B1128" s="2" t="str">
        <f>"吴子杏"</f>
        <v>吴子杏</v>
      </c>
      <c r="C1128" s="2" t="s">
        <v>1085</v>
      </c>
      <c r="D1128" s="2" t="s">
        <v>1094</v>
      </c>
      <c r="E1128" s="3"/>
    </row>
    <row r="1129" spans="1:5" ht="24.75" customHeight="1">
      <c r="A1129" s="2">
        <v>1127</v>
      </c>
      <c r="B1129" s="2" t="str">
        <f>"李凯伦"</f>
        <v>李凯伦</v>
      </c>
      <c r="C1129" s="2" t="s">
        <v>1085</v>
      </c>
      <c r="D1129" s="2" t="s">
        <v>1095</v>
      </c>
      <c r="E1129" s="3"/>
    </row>
    <row r="1130" spans="1:5" ht="24.75" customHeight="1">
      <c r="A1130" s="2">
        <v>1128</v>
      </c>
      <c r="B1130" s="2" t="str">
        <f>"卓芳花"</f>
        <v>卓芳花</v>
      </c>
      <c r="C1130" s="2" t="s">
        <v>1085</v>
      </c>
      <c r="D1130" s="2" t="s">
        <v>1096</v>
      </c>
      <c r="E1130" s="3"/>
    </row>
    <row r="1131" spans="1:5" ht="24.75" customHeight="1">
      <c r="A1131" s="2">
        <v>1129</v>
      </c>
      <c r="B1131" s="2" t="str">
        <f>"李丽红"</f>
        <v>李丽红</v>
      </c>
      <c r="C1131" s="2" t="s">
        <v>1085</v>
      </c>
      <c r="D1131" s="2" t="s">
        <v>1097</v>
      </c>
      <c r="E1131" s="3"/>
    </row>
    <row r="1132" spans="1:5" ht="24.75" customHeight="1">
      <c r="A1132" s="2">
        <v>1130</v>
      </c>
      <c r="B1132" s="2" t="str">
        <f>"符镇昭"</f>
        <v>符镇昭</v>
      </c>
      <c r="C1132" s="2" t="s">
        <v>1085</v>
      </c>
      <c r="D1132" s="2" t="s">
        <v>1098</v>
      </c>
      <c r="E1132" s="3"/>
    </row>
    <row r="1133" spans="1:5" ht="24.75" customHeight="1">
      <c r="A1133" s="2">
        <v>1131</v>
      </c>
      <c r="B1133" s="2" t="str">
        <f>"黄侯睿"</f>
        <v>黄侯睿</v>
      </c>
      <c r="C1133" s="2" t="s">
        <v>1085</v>
      </c>
      <c r="D1133" s="2" t="s">
        <v>1099</v>
      </c>
      <c r="E1133" s="3"/>
    </row>
    <row r="1134" spans="1:5" ht="24.75" customHeight="1">
      <c r="A1134" s="2">
        <v>1132</v>
      </c>
      <c r="B1134" s="2" t="str">
        <f>"郑万仁"</f>
        <v>郑万仁</v>
      </c>
      <c r="C1134" s="2" t="s">
        <v>1085</v>
      </c>
      <c r="D1134" s="2" t="s">
        <v>1100</v>
      </c>
      <c r="E1134" s="3"/>
    </row>
    <row r="1135" spans="1:5" ht="24.75" customHeight="1">
      <c r="A1135" s="2">
        <v>1133</v>
      </c>
      <c r="B1135" s="2" t="str">
        <f>"廖以强"</f>
        <v>廖以强</v>
      </c>
      <c r="C1135" s="2" t="s">
        <v>1085</v>
      </c>
      <c r="D1135" s="2" t="s">
        <v>1101</v>
      </c>
      <c r="E1135" s="3"/>
    </row>
    <row r="1136" spans="1:5" ht="24.75" customHeight="1">
      <c r="A1136" s="2">
        <v>1134</v>
      </c>
      <c r="B1136" s="2" t="str">
        <f>"苏嘉杰"</f>
        <v>苏嘉杰</v>
      </c>
      <c r="C1136" s="2" t="s">
        <v>1085</v>
      </c>
      <c r="D1136" s="2" t="s">
        <v>1102</v>
      </c>
      <c r="E1136" s="3"/>
    </row>
    <row r="1137" spans="1:5" ht="24.75" customHeight="1">
      <c r="A1137" s="2">
        <v>1135</v>
      </c>
      <c r="B1137" s="2" t="str">
        <f>"邢增东"</f>
        <v>邢增东</v>
      </c>
      <c r="C1137" s="2" t="s">
        <v>1085</v>
      </c>
      <c r="D1137" s="2" t="s">
        <v>1103</v>
      </c>
      <c r="E1137" s="3"/>
    </row>
    <row r="1138" spans="1:5" ht="24.75" customHeight="1">
      <c r="A1138" s="2">
        <v>1136</v>
      </c>
      <c r="B1138" s="2" t="str">
        <f>"陈荣茵"</f>
        <v>陈荣茵</v>
      </c>
      <c r="C1138" s="2" t="s">
        <v>1085</v>
      </c>
      <c r="D1138" s="2" t="s">
        <v>1104</v>
      </c>
      <c r="E1138" s="3"/>
    </row>
    <row r="1139" spans="1:5" ht="24.75" customHeight="1">
      <c r="A1139" s="2">
        <v>1137</v>
      </c>
      <c r="B1139" s="2" t="str">
        <f>"冯钰高"</f>
        <v>冯钰高</v>
      </c>
      <c r="C1139" s="2" t="s">
        <v>1085</v>
      </c>
      <c r="D1139" s="2" t="s">
        <v>1105</v>
      </c>
      <c r="E1139" s="3"/>
    </row>
    <row r="1140" spans="1:5" ht="24.75" customHeight="1">
      <c r="A1140" s="2">
        <v>1138</v>
      </c>
      <c r="B1140" s="2" t="str">
        <f>"汪泓宇"</f>
        <v>汪泓宇</v>
      </c>
      <c r="C1140" s="2" t="s">
        <v>1085</v>
      </c>
      <c r="D1140" s="2" t="s">
        <v>1106</v>
      </c>
      <c r="E1140" s="3"/>
    </row>
    <row r="1141" spans="1:5" ht="24.75" customHeight="1">
      <c r="A1141" s="2">
        <v>1139</v>
      </c>
      <c r="B1141" s="2" t="str">
        <f>"吴聪"</f>
        <v>吴聪</v>
      </c>
      <c r="C1141" s="2" t="s">
        <v>1085</v>
      </c>
      <c r="D1141" s="2" t="s">
        <v>1107</v>
      </c>
      <c r="E1141" s="3"/>
    </row>
    <row r="1142" spans="1:5" ht="24.75" customHeight="1">
      <c r="A1142" s="2">
        <v>1140</v>
      </c>
      <c r="B1142" s="2" t="str">
        <f>"王世锦"</f>
        <v>王世锦</v>
      </c>
      <c r="C1142" s="2" t="s">
        <v>1085</v>
      </c>
      <c r="D1142" s="2" t="s">
        <v>1108</v>
      </c>
      <c r="E1142" s="3"/>
    </row>
    <row r="1143" spans="1:5" ht="24.75" customHeight="1">
      <c r="A1143" s="2">
        <v>1141</v>
      </c>
      <c r="B1143" s="2" t="str">
        <f>"王若诗"</f>
        <v>王若诗</v>
      </c>
      <c r="C1143" s="2" t="s">
        <v>1085</v>
      </c>
      <c r="D1143" s="2" t="s">
        <v>1109</v>
      </c>
      <c r="E1143" s="3"/>
    </row>
    <row r="1144" spans="1:5" ht="24.75" customHeight="1">
      <c r="A1144" s="2">
        <v>1142</v>
      </c>
      <c r="B1144" s="2" t="str">
        <f>"陈其亮"</f>
        <v>陈其亮</v>
      </c>
      <c r="C1144" s="2" t="s">
        <v>1085</v>
      </c>
      <c r="D1144" s="2" t="s">
        <v>1107</v>
      </c>
      <c r="E1144" s="3"/>
    </row>
    <row r="1145" spans="1:5" ht="24.75" customHeight="1">
      <c r="A1145" s="2">
        <v>1143</v>
      </c>
      <c r="B1145" s="2" t="str">
        <f>"云永乐"</f>
        <v>云永乐</v>
      </c>
      <c r="C1145" s="2" t="s">
        <v>1085</v>
      </c>
      <c r="D1145" s="2" t="s">
        <v>1110</v>
      </c>
      <c r="E1145" s="3"/>
    </row>
    <row r="1146" spans="1:5" ht="24.75" customHeight="1">
      <c r="A1146" s="2">
        <v>1144</v>
      </c>
      <c r="B1146" s="2" t="str">
        <f>"黄愉乘"</f>
        <v>黄愉乘</v>
      </c>
      <c r="C1146" s="2" t="s">
        <v>1085</v>
      </c>
      <c r="D1146" s="2" t="s">
        <v>1111</v>
      </c>
      <c r="E1146" s="3"/>
    </row>
    <row r="1147" spans="1:5" ht="24.75" customHeight="1">
      <c r="A1147" s="2">
        <v>1145</v>
      </c>
      <c r="B1147" s="2" t="str">
        <f>"陈明锐"</f>
        <v>陈明锐</v>
      </c>
      <c r="C1147" s="2" t="s">
        <v>1085</v>
      </c>
      <c r="D1147" s="2" t="s">
        <v>1112</v>
      </c>
      <c r="E1147" s="3"/>
    </row>
    <row r="1148" spans="1:5" ht="24.75" customHeight="1">
      <c r="A1148" s="2">
        <v>1146</v>
      </c>
      <c r="B1148" s="2" t="str">
        <f>"潘一赫"</f>
        <v>潘一赫</v>
      </c>
      <c r="C1148" s="2" t="s">
        <v>1085</v>
      </c>
      <c r="D1148" s="2" t="s">
        <v>1113</v>
      </c>
      <c r="E1148" s="3"/>
    </row>
    <row r="1149" spans="1:5" ht="24.75" customHeight="1">
      <c r="A1149" s="2">
        <v>1147</v>
      </c>
      <c r="B1149" s="2" t="str">
        <f>"陈隆逸"</f>
        <v>陈隆逸</v>
      </c>
      <c r="C1149" s="2" t="s">
        <v>1085</v>
      </c>
      <c r="D1149" s="2" t="s">
        <v>1114</v>
      </c>
      <c r="E1149" s="3"/>
    </row>
    <row r="1150" spans="1:5" ht="24.75" customHeight="1">
      <c r="A1150" s="2">
        <v>1148</v>
      </c>
      <c r="B1150" s="2" t="str">
        <f>"冯一钊"</f>
        <v>冯一钊</v>
      </c>
      <c r="C1150" s="2" t="s">
        <v>1085</v>
      </c>
      <c r="D1150" s="2" t="s">
        <v>151</v>
      </c>
      <c r="E1150" s="3"/>
    </row>
    <row r="1151" spans="1:5" ht="24.75" customHeight="1">
      <c r="A1151" s="2">
        <v>1149</v>
      </c>
      <c r="B1151" s="2" t="str">
        <f>"王家琪"</f>
        <v>王家琪</v>
      </c>
      <c r="C1151" s="2" t="s">
        <v>1085</v>
      </c>
      <c r="D1151" s="2" t="s">
        <v>1115</v>
      </c>
      <c r="E1151" s="3"/>
    </row>
    <row r="1152" spans="1:5" ht="24.75" customHeight="1">
      <c r="A1152" s="2">
        <v>1150</v>
      </c>
      <c r="B1152" s="2" t="str">
        <f>"陈辉映"</f>
        <v>陈辉映</v>
      </c>
      <c r="C1152" s="2" t="s">
        <v>1085</v>
      </c>
      <c r="D1152" s="2" t="s">
        <v>1116</v>
      </c>
      <c r="E1152" s="3"/>
    </row>
    <row r="1153" spans="1:5" ht="24.75" customHeight="1">
      <c r="A1153" s="2">
        <v>1151</v>
      </c>
      <c r="B1153" s="2" t="str">
        <f>"韦世津"</f>
        <v>韦世津</v>
      </c>
      <c r="C1153" s="2" t="s">
        <v>1085</v>
      </c>
      <c r="D1153" s="2" t="s">
        <v>1117</v>
      </c>
      <c r="E1153" s="3"/>
    </row>
    <row r="1154" spans="1:5" ht="24.75" customHeight="1">
      <c r="A1154" s="2">
        <v>1152</v>
      </c>
      <c r="B1154" s="2" t="str">
        <f>"孙月白"</f>
        <v>孙月白</v>
      </c>
      <c r="C1154" s="2" t="s">
        <v>1085</v>
      </c>
      <c r="D1154" s="2" t="s">
        <v>1118</v>
      </c>
      <c r="E1154" s="3"/>
    </row>
    <row r="1155" spans="1:5" ht="24.75" customHeight="1">
      <c r="A1155" s="2">
        <v>1153</v>
      </c>
      <c r="B1155" s="2" t="str">
        <f>"陈明华"</f>
        <v>陈明华</v>
      </c>
      <c r="C1155" s="2" t="s">
        <v>1085</v>
      </c>
      <c r="D1155" s="2" t="s">
        <v>1119</v>
      </c>
      <c r="E1155" s="3"/>
    </row>
    <row r="1156" spans="1:5" ht="24.75" customHeight="1">
      <c r="A1156" s="2">
        <v>1154</v>
      </c>
      <c r="B1156" s="2" t="str">
        <f>"杨全世"</f>
        <v>杨全世</v>
      </c>
      <c r="C1156" s="2" t="s">
        <v>1085</v>
      </c>
      <c r="D1156" s="2" t="s">
        <v>1120</v>
      </c>
      <c r="E1156" s="3"/>
    </row>
    <row r="1157" spans="1:5" ht="24.75" customHeight="1">
      <c r="A1157" s="2">
        <v>1155</v>
      </c>
      <c r="B1157" s="2" t="str">
        <f>"刘庆新"</f>
        <v>刘庆新</v>
      </c>
      <c r="C1157" s="2" t="s">
        <v>1085</v>
      </c>
      <c r="D1157" s="2" t="s">
        <v>1121</v>
      </c>
      <c r="E1157" s="3"/>
    </row>
    <row r="1158" spans="1:5" ht="24.75" customHeight="1">
      <c r="A1158" s="2">
        <v>1156</v>
      </c>
      <c r="B1158" s="2" t="str">
        <f>"王堃"</f>
        <v>王堃</v>
      </c>
      <c r="C1158" s="2" t="s">
        <v>1085</v>
      </c>
      <c r="D1158" s="2" t="s">
        <v>1122</v>
      </c>
      <c r="E1158" s="3"/>
    </row>
    <row r="1159" spans="1:5" ht="24.75" customHeight="1">
      <c r="A1159" s="2">
        <v>1157</v>
      </c>
      <c r="B1159" s="2" t="str">
        <f>"黄静娴"</f>
        <v>黄静娴</v>
      </c>
      <c r="C1159" s="2" t="s">
        <v>1085</v>
      </c>
      <c r="D1159" s="2" t="s">
        <v>1123</v>
      </c>
      <c r="E1159" s="3"/>
    </row>
    <row r="1160" spans="1:5" ht="24.75" customHeight="1">
      <c r="A1160" s="2">
        <v>1158</v>
      </c>
      <c r="B1160" s="2" t="str">
        <f>"汤恒"</f>
        <v>汤恒</v>
      </c>
      <c r="C1160" s="2" t="s">
        <v>1085</v>
      </c>
      <c r="D1160" s="2" t="s">
        <v>1124</v>
      </c>
      <c r="E1160" s="3"/>
    </row>
    <row r="1161" spans="1:5" ht="24.75" customHeight="1">
      <c r="A1161" s="2">
        <v>1159</v>
      </c>
      <c r="B1161" s="2" t="str">
        <f>"洪图"</f>
        <v>洪图</v>
      </c>
      <c r="C1161" s="2" t="s">
        <v>1085</v>
      </c>
      <c r="D1161" s="2" t="s">
        <v>1125</v>
      </c>
      <c r="E1161" s="3"/>
    </row>
    <row r="1162" spans="1:5" ht="24.75" customHeight="1">
      <c r="A1162" s="2">
        <v>1160</v>
      </c>
      <c r="B1162" s="2" t="str">
        <f>"陈秋梅"</f>
        <v>陈秋梅</v>
      </c>
      <c r="C1162" s="2" t="s">
        <v>1085</v>
      </c>
      <c r="D1162" s="2" t="s">
        <v>1126</v>
      </c>
      <c r="E1162" s="3"/>
    </row>
    <row r="1163" spans="1:5" ht="24.75" customHeight="1">
      <c r="A1163" s="2">
        <v>1161</v>
      </c>
      <c r="B1163" s="2" t="str">
        <f>"卢裕如"</f>
        <v>卢裕如</v>
      </c>
      <c r="C1163" s="2" t="s">
        <v>1085</v>
      </c>
      <c r="D1163" s="2" t="s">
        <v>1127</v>
      </c>
      <c r="E1163" s="3"/>
    </row>
    <row r="1164" spans="1:5" ht="24.75" customHeight="1">
      <c r="A1164" s="2">
        <v>1162</v>
      </c>
      <c r="B1164" s="2" t="str">
        <f>"刘经纬"</f>
        <v>刘经纬</v>
      </c>
      <c r="C1164" s="2" t="s">
        <v>1085</v>
      </c>
      <c r="D1164" s="2" t="s">
        <v>1128</v>
      </c>
      <c r="E1164" s="3"/>
    </row>
    <row r="1165" spans="1:5" ht="24.75" customHeight="1">
      <c r="A1165" s="2">
        <v>1163</v>
      </c>
      <c r="B1165" s="2" t="str">
        <f>"符树全"</f>
        <v>符树全</v>
      </c>
      <c r="C1165" s="2" t="s">
        <v>1085</v>
      </c>
      <c r="D1165" s="2" t="s">
        <v>1129</v>
      </c>
      <c r="E1165" s="3"/>
    </row>
    <row r="1166" spans="1:5" ht="24.75" customHeight="1">
      <c r="A1166" s="2">
        <v>1164</v>
      </c>
      <c r="B1166" s="2" t="str">
        <f>"吴仁懿"</f>
        <v>吴仁懿</v>
      </c>
      <c r="C1166" s="2" t="s">
        <v>1085</v>
      </c>
      <c r="D1166" s="2" t="s">
        <v>1130</v>
      </c>
      <c r="E1166" s="3"/>
    </row>
    <row r="1167" spans="1:5" ht="24.75" customHeight="1">
      <c r="A1167" s="2">
        <v>1165</v>
      </c>
      <c r="B1167" s="2" t="str">
        <f>"黎蔚"</f>
        <v>黎蔚</v>
      </c>
      <c r="C1167" s="2" t="s">
        <v>1085</v>
      </c>
      <c r="D1167" s="2" t="s">
        <v>1131</v>
      </c>
      <c r="E1167" s="3"/>
    </row>
    <row r="1168" spans="1:5" ht="24.75" customHeight="1">
      <c r="A1168" s="2">
        <v>1166</v>
      </c>
      <c r="B1168" s="2" t="str">
        <f>"王毓伟"</f>
        <v>王毓伟</v>
      </c>
      <c r="C1168" s="2" t="s">
        <v>1085</v>
      </c>
      <c r="D1168" s="2" t="s">
        <v>1114</v>
      </c>
      <c r="E1168" s="3"/>
    </row>
    <row r="1169" spans="1:5" ht="24.75" customHeight="1">
      <c r="A1169" s="2">
        <v>1167</v>
      </c>
      <c r="B1169" s="2" t="str">
        <f>"张寅"</f>
        <v>张寅</v>
      </c>
      <c r="C1169" s="2" t="s">
        <v>1085</v>
      </c>
      <c r="D1169" s="2" t="s">
        <v>1132</v>
      </c>
      <c r="E1169" s="3"/>
    </row>
    <row r="1170" spans="1:5" ht="24.75" customHeight="1">
      <c r="A1170" s="2">
        <v>1168</v>
      </c>
      <c r="B1170" s="2" t="str">
        <f>"杜代渊"</f>
        <v>杜代渊</v>
      </c>
      <c r="C1170" s="2" t="s">
        <v>1085</v>
      </c>
      <c r="D1170" s="2" t="s">
        <v>1133</v>
      </c>
      <c r="E1170" s="3"/>
    </row>
    <row r="1171" spans="1:5" ht="24.75" customHeight="1">
      <c r="A1171" s="2">
        <v>1169</v>
      </c>
      <c r="B1171" s="2" t="str">
        <f>"王丽君"</f>
        <v>王丽君</v>
      </c>
      <c r="C1171" s="2" t="s">
        <v>1085</v>
      </c>
      <c r="D1171" s="2" t="s">
        <v>1134</v>
      </c>
      <c r="E1171" s="3"/>
    </row>
    <row r="1172" spans="1:5" ht="24.75" customHeight="1">
      <c r="A1172" s="2">
        <v>1170</v>
      </c>
      <c r="B1172" s="2" t="str">
        <f>"吴乾第"</f>
        <v>吴乾第</v>
      </c>
      <c r="C1172" s="2" t="s">
        <v>1085</v>
      </c>
      <c r="D1172" s="2" t="s">
        <v>1135</v>
      </c>
      <c r="E1172" s="3"/>
    </row>
    <row r="1173" spans="1:5" ht="24.75" customHeight="1">
      <c r="A1173" s="2">
        <v>1171</v>
      </c>
      <c r="B1173" s="2" t="str">
        <f>"李家吉"</f>
        <v>李家吉</v>
      </c>
      <c r="C1173" s="2" t="s">
        <v>1085</v>
      </c>
      <c r="D1173" s="2" t="s">
        <v>1136</v>
      </c>
      <c r="E1173" s="3"/>
    </row>
    <row r="1174" spans="1:5" ht="24.75" customHeight="1">
      <c r="A1174" s="2">
        <v>1172</v>
      </c>
      <c r="B1174" s="2" t="str">
        <f>"林光明"</f>
        <v>林光明</v>
      </c>
      <c r="C1174" s="2" t="s">
        <v>1085</v>
      </c>
      <c r="D1174" s="2" t="s">
        <v>1137</v>
      </c>
      <c r="E1174" s="3"/>
    </row>
    <row r="1175" spans="1:5" ht="24.75" customHeight="1">
      <c r="A1175" s="2">
        <v>1173</v>
      </c>
      <c r="B1175" s="2" t="str">
        <f>"张宇"</f>
        <v>张宇</v>
      </c>
      <c r="C1175" s="2" t="s">
        <v>1085</v>
      </c>
      <c r="D1175" s="2" t="s">
        <v>1138</v>
      </c>
      <c r="E1175" s="3"/>
    </row>
    <row r="1176" spans="1:5" ht="24.75" customHeight="1">
      <c r="A1176" s="2">
        <v>1174</v>
      </c>
      <c r="B1176" s="2" t="str">
        <f>"周彰凰"</f>
        <v>周彰凰</v>
      </c>
      <c r="C1176" s="2" t="s">
        <v>1085</v>
      </c>
      <c r="D1176" s="2" t="s">
        <v>1139</v>
      </c>
      <c r="E1176" s="3"/>
    </row>
    <row r="1177" spans="1:5" ht="24.75" customHeight="1">
      <c r="A1177" s="2">
        <v>1175</v>
      </c>
      <c r="B1177" s="2" t="str">
        <f>"黎斌"</f>
        <v>黎斌</v>
      </c>
      <c r="C1177" s="2" t="s">
        <v>1085</v>
      </c>
      <c r="D1177" s="2" t="s">
        <v>1140</v>
      </c>
      <c r="E1177" s="3"/>
    </row>
    <row r="1178" spans="1:5" ht="24.75" customHeight="1">
      <c r="A1178" s="2">
        <v>1176</v>
      </c>
      <c r="B1178" s="2" t="str">
        <f>"符国晨"</f>
        <v>符国晨</v>
      </c>
      <c r="C1178" s="2" t="s">
        <v>1085</v>
      </c>
      <c r="D1178" s="2" t="s">
        <v>1141</v>
      </c>
      <c r="E1178" s="3"/>
    </row>
    <row r="1179" spans="1:5" ht="24.75" customHeight="1">
      <c r="A1179" s="2">
        <v>1177</v>
      </c>
      <c r="B1179" s="2" t="str">
        <f>"王华亭"</f>
        <v>王华亭</v>
      </c>
      <c r="C1179" s="2" t="s">
        <v>1085</v>
      </c>
      <c r="D1179" s="2" t="s">
        <v>1142</v>
      </c>
      <c r="E1179" s="3"/>
    </row>
    <row r="1180" spans="1:5" ht="24.75" customHeight="1">
      <c r="A1180" s="2">
        <v>1178</v>
      </c>
      <c r="B1180" s="2" t="str">
        <f>"李玥"</f>
        <v>李玥</v>
      </c>
      <c r="C1180" s="2" t="s">
        <v>1085</v>
      </c>
      <c r="D1180" s="2" t="s">
        <v>1143</v>
      </c>
      <c r="E1180" s="3"/>
    </row>
    <row r="1181" spans="1:5" ht="24.75" customHeight="1">
      <c r="A1181" s="2">
        <v>1179</v>
      </c>
      <c r="B1181" s="2" t="str">
        <f>"潘毅莹"</f>
        <v>潘毅莹</v>
      </c>
      <c r="C1181" s="2" t="s">
        <v>1085</v>
      </c>
      <c r="D1181" s="2" t="s">
        <v>1144</v>
      </c>
      <c r="E1181" s="3"/>
    </row>
    <row r="1182" spans="1:5" ht="24.75" customHeight="1">
      <c r="A1182" s="2">
        <v>1180</v>
      </c>
      <c r="B1182" s="2" t="str">
        <f>"李亨嘉"</f>
        <v>李亨嘉</v>
      </c>
      <c r="C1182" s="2" t="s">
        <v>1085</v>
      </c>
      <c r="D1182" s="2" t="s">
        <v>1145</v>
      </c>
      <c r="E1182" s="3"/>
    </row>
    <row r="1183" spans="1:5" ht="24.75" customHeight="1">
      <c r="A1183" s="2">
        <v>1181</v>
      </c>
      <c r="B1183" s="2" t="str">
        <f>"邢露婷"</f>
        <v>邢露婷</v>
      </c>
      <c r="C1183" s="2" t="s">
        <v>1085</v>
      </c>
      <c r="D1183" s="2" t="s">
        <v>1146</v>
      </c>
      <c r="E1183" s="3"/>
    </row>
    <row r="1184" spans="1:5" ht="24.75" customHeight="1">
      <c r="A1184" s="2">
        <v>1182</v>
      </c>
      <c r="B1184" s="2" t="str">
        <f>"陈春晓"</f>
        <v>陈春晓</v>
      </c>
      <c r="C1184" s="2" t="s">
        <v>1085</v>
      </c>
      <c r="D1184" s="2" t="s">
        <v>1147</v>
      </c>
      <c r="E1184" s="3"/>
    </row>
    <row r="1185" spans="1:5" ht="24.75" customHeight="1">
      <c r="A1185" s="2">
        <v>1183</v>
      </c>
      <c r="B1185" s="2" t="str">
        <f>"林志宏"</f>
        <v>林志宏</v>
      </c>
      <c r="C1185" s="2" t="s">
        <v>1085</v>
      </c>
      <c r="D1185" s="2" t="s">
        <v>1148</v>
      </c>
      <c r="E1185" s="3"/>
    </row>
    <row r="1186" spans="1:5" ht="24.75" customHeight="1">
      <c r="A1186" s="2">
        <v>1184</v>
      </c>
      <c r="B1186" s="2" t="str">
        <f>"谭烨琳"</f>
        <v>谭烨琳</v>
      </c>
      <c r="C1186" s="2" t="s">
        <v>1085</v>
      </c>
      <c r="D1186" s="2" t="s">
        <v>1149</v>
      </c>
      <c r="E1186" s="3"/>
    </row>
    <row r="1187" spans="1:5" ht="24.75" customHeight="1">
      <c r="A1187" s="2">
        <v>1185</v>
      </c>
      <c r="B1187" s="2" t="str">
        <f>"陈焕强"</f>
        <v>陈焕强</v>
      </c>
      <c r="C1187" s="2" t="s">
        <v>1085</v>
      </c>
      <c r="D1187" s="2" t="s">
        <v>1150</v>
      </c>
      <c r="E1187" s="3"/>
    </row>
    <row r="1188" spans="1:5" ht="24.75" customHeight="1">
      <c r="A1188" s="2">
        <v>1186</v>
      </c>
      <c r="B1188" s="2" t="str">
        <f>"李美星"</f>
        <v>李美星</v>
      </c>
      <c r="C1188" s="2" t="s">
        <v>1085</v>
      </c>
      <c r="D1188" s="2" t="s">
        <v>1151</v>
      </c>
      <c r="E1188" s="3"/>
    </row>
    <row r="1189" spans="1:5" ht="24.75" customHeight="1">
      <c r="A1189" s="2">
        <v>1187</v>
      </c>
      <c r="B1189" s="2" t="str">
        <f>"冯秋萍"</f>
        <v>冯秋萍</v>
      </c>
      <c r="C1189" s="2" t="s">
        <v>1085</v>
      </c>
      <c r="D1189" s="2" t="s">
        <v>1152</v>
      </c>
      <c r="E1189" s="3"/>
    </row>
    <row r="1190" spans="1:5" ht="24.75" customHeight="1">
      <c r="A1190" s="2">
        <v>1188</v>
      </c>
      <c r="B1190" s="2" t="str">
        <f>"曾瑞彤"</f>
        <v>曾瑞彤</v>
      </c>
      <c r="C1190" s="2" t="s">
        <v>1085</v>
      </c>
      <c r="D1190" s="2" t="s">
        <v>1153</v>
      </c>
      <c r="E1190" s="3"/>
    </row>
    <row r="1191" spans="1:5" ht="24.75" customHeight="1">
      <c r="A1191" s="2">
        <v>1189</v>
      </c>
      <c r="B1191" s="2" t="str">
        <f>"符晓"</f>
        <v>符晓</v>
      </c>
      <c r="C1191" s="2" t="s">
        <v>1085</v>
      </c>
      <c r="D1191" s="2" t="s">
        <v>1154</v>
      </c>
      <c r="E1191" s="3"/>
    </row>
    <row r="1192" spans="1:5" ht="24.75" customHeight="1">
      <c r="A1192" s="2">
        <v>1190</v>
      </c>
      <c r="B1192" s="2" t="str">
        <f>"吴崇奋"</f>
        <v>吴崇奋</v>
      </c>
      <c r="C1192" s="2" t="s">
        <v>1155</v>
      </c>
      <c r="D1192" s="2" t="s">
        <v>1156</v>
      </c>
      <c r="E1192" s="3"/>
    </row>
    <row r="1193" spans="1:5" ht="24.75" customHeight="1">
      <c r="A1193" s="2">
        <v>1191</v>
      </c>
      <c r="B1193" s="2" t="str">
        <f>"钱添昊"</f>
        <v>钱添昊</v>
      </c>
      <c r="C1193" s="2" t="s">
        <v>1155</v>
      </c>
      <c r="D1193" s="2" t="s">
        <v>1157</v>
      </c>
      <c r="E1193" s="3"/>
    </row>
    <row r="1194" spans="1:5" ht="24.75" customHeight="1">
      <c r="A1194" s="2">
        <v>1192</v>
      </c>
      <c r="B1194" s="2" t="str">
        <f>"陈羽萌"</f>
        <v>陈羽萌</v>
      </c>
      <c r="C1194" s="2" t="s">
        <v>1155</v>
      </c>
      <c r="D1194" s="2" t="s">
        <v>1158</v>
      </c>
      <c r="E1194" s="3"/>
    </row>
    <row r="1195" spans="1:5" ht="24.75" customHeight="1">
      <c r="A1195" s="2">
        <v>1193</v>
      </c>
      <c r="B1195" s="2" t="str">
        <f>"吴凯"</f>
        <v>吴凯</v>
      </c>
      <c r="C1195" s="2" t="s">
        <v>1155</v>
      </c>
      <c r="D1195" s="2" t="s">
        <v>1159</v>
      </c>
      <c r="E1195" s="3"/>
    </row>
    <row r="1196" spans="1:5" ht="24.75" customHeight="1">
      <c r="A1196" s="2">
        <v>1194</v>
      </c>
      <c r="B1196" s="2" t="str">
        <f>"蔡秋珊"</f>
        <v>蔡秋珊</v>
      </c>
      <c r="C1196" s="2" t="s">
        <v>1155</v>
      </c>
      <c r="D1196" s="2" t="s">
        <v>1160</v>
      </c>
      <c r="E1196" s="3"/>
    </row>
    <row r="1197" spans="1:5" ht="24.75" customHeight="1">
      <c r="A1197" s="2">
        <v>1195</v>
      </c>
      <c r="B1197" s="2" t="str">
        <f>"谢彤"</f>
        <v>谢彤</v>
      </c>
      <c r="C1197" s="2" t="s">
        <v>1155</v>
      </c>
      <c r="D1197" s="2" t="s">
        <v>1161</v>
      </c>
      <c r="E1197" s="3"/>
    </row>
    <row r="1198" spans="1:5" ht="24.75" customHeight="1">
      <c r="A1198" s="2">
        <v>1196</v>
      </c>
      <c r="B1198" s="2" t="str">
        <f>"庄渝"</f>
        <v>庄渝</v>
      </c>
      <c r="C1198" s="2" t="s">
        <v>1155</v>
      </c>
      <c r="D1198" s="2" t="s">
        <v>1162</v>
      </c>
      <c r="E1198" s="3"/>
    </row>
    <row r="1199" spans="1:5" ht="24.75" customHeight="1">
      <c r="A1199" s="2">
        <v>1197</v>
      </c>
      <c r="B1199" s="2" t="str">
        <f>"符晓慧"</f>
        <v>符晓慧</v>
      </c>
      <c r="C1199" s="2" t="s">
        <v>1155</v>
      </c>
      <c r="D1199" s="2" t="s">
        <v>1163</v>
      </c>
      <c r="E1199" s="3"/>
    </row>
    <row r="1200" spans="1:5" ht="24.75" customHeight="1">
      <c r="A1200" s="2">
        <v>1198</v>
      </c>
      <c r="B1200" s="2" t="str">
        <f>"迪丽努阿依·吾斯曼"</f>
        <v>迪丽努阿依·吾斯曼</v>
      </c>
      <c r="C1200" s="2" t="s">
        <v>1155</v>
      </c>
      <c r="D1200" s="2" t="s">
        <v>1164</v>
      </c>
      <c r="E1200" s="3"/>
    </row>
    <row r="1201" spans="1:5" ht="24.75" customHeight="1">
      <c r="A1201" s="2">
        <v>1199</v>
      </c>
      <c r="B1201" s="2" t="str">
        <f>"文龙"</f>
        <v>文龙</v>
      </c>
      <c r="C1201" s="2" t="s">
        <v>1155</v>
      </c>
      <c r="D1201" s="2" t="s">
        <v>1165</v>
      </c>
      <c r="E1201" s="3"/>
    </row>
    <row r="1202" spans="1:5" ht="24.75" customHeight="1">
      <c r="A1202" s="2">
        <v>1200</v>
      </c>
      <c r="B1202" s="2" t="str">
        <f>"陈莉莉"</f>
        <v>陈莉莉</v>
      </c>
      <c r="C1202" s="2" t="s">
        <v>1155</v>
      </c>
      <c r="D1202" s="2" t="s">
        <v>1166</v>
      </c>
      <c r="E1202" s="3"/>
    </row>
    <row r="1203" spans="1:5" ht="24.75" customHeight="1">
      <c r="A1203" s="2">
        <v>1201</v>
      </c>
      <c r="B1203" s="2" t="str">
        <f>"曾翠成"</f>
        <v>曾翠成</v>
      </c>
      <c r="C1203" s="2" t="s">
        <v>1155</v>
      </c>
      <c r="D1203" s="2" t="s">
        <v>1167</v>
      </c>
      <c r="E1203" s="3"/>
    </row>
    <row r="1204" spans="1:5" ht="24.75" customHeight="1">
      <c r="A1204" s="2">
        <v>1202</v>
      </c>
      <c r="B1204" s="2" t="str">
        <f>"邱茜"</f>
        <v>邱茜</v>
      </c>
      <c r="C1204" s="2" t="s">
        <v>1155</v>
      </c>
      <c r="D1204" s="2" t="s">
        <v>1168</v>
      </c>
      <c r="E1204" s="3"/>
    </row>
    <row r="1205" spans="1:5" ht="24.75" customHeight="1">
      <c r="A1205" s="2">
        <v>1203</v>
      </c>
      <c r="B1205" s="2" t="str">
        <f>"周婷"</f>
        <v>周婷</v>
      </c>
      <c r="C1205" s="2" t="s">
        <v>1155</v>
      </c>
      <c r="D1205" s="2" t="s">
        <v>1169</v>
      </c>
      <c r="E1205" s="3"/>
    </row>
    <row r="1206" spans="1:5" ht="24.75" customHeight="1">
      <c r="A1206" s="2">
        <v>1204</v>
      </c>
      <c r="B1206" s="2" t="str">
        <f>"詹黎灵"</f>
        <v>詹黎灵</v>
      </c>
      <c r="C1206" s="2" t="s">
        <v>1155</v>
      </c>
      <c r="D1206" s="2" t="s">
        <v>1170</v>
      </c>
      <c r="E1206" s="3"/>
    </row>
    <row r="1207" spans="1:5" ht="24.75" customHeight="1">
      <c r="A1207" s="2">
        <v>1205</v>
      </c>
      <c r="B1207" s="2" t="str">
        <f>"白丽"</f>
        <v>白丽</v>
      </c>
      <c r="C1207" s="2" t="s">
        <v>1155</v>
      </c>
      <c r="D1207" s="2" t="s">
        <v>1171</v>
      </c>
      <c r="E1207" s="3"/>
    </row>
    <row r="1208" spans="1:5" ht="24.75" customHeight="1">
      <c r="A1208" s="2">
        <v>1206</v>
      </c>
      <c r="B1208" s="2" t="str">
        <f>"林纪龙"</f>
        <v>林纪龙</v>
      </c>
      <c r="C1208" s="2" t="s">
        <v>1155</v>
      </c>
      <c r="D1208" s="2" t="s">
        <v>18</v>
      </c>
      <c r="E1208" s="3"/>
    </row>
    <row r="1209" spans="1:5" ht="24.75" customHeight="1">
      <c r="A1209" s="2">
        <v>1207</v>
      </c>
      <c r="B1209" s="2" t="str">
        <f>"管慧敏"</f>
        <v>管慧敏</v>
      </c>
      <c r="C1209" s="2" t="s">
        <v>1155</v>
      </c>
      <c r="D1209" s="2" t="s">
        <v>290</v>
      </c>
      <c r="E1209" s="3"/>
    </row>
    <row r="1210" spans="1:5" ht="24.75" customHeight="1">
      <c r="A1210" s="2">
        <v>1208</v>
      </c>
      <c r="B1210" s="2" t="str">
        <f>"陈梦琪"</f>
        <v>陈梦琪</v>
      </c>
      <c r="C1210" s="2" t="s">
        <v>1155</v>
      </c>
      <c r="D1210" s="2" t="s">
        <v>1172</v>
      </c>
      <c r="E1210" s="3"/>
    </row>
    <row r="1211" spans="1:5" ht="24.75" customHeight="1">
      <c r="A1211" s="2">
        <v>1209</v>
      </c>
      <c r="B1211" s="2" t="str">
        <f>"符俊娜"</f>
        <v>符俊娜</v>
      </c>
      <c r="C1211" s="2" t="s">
        <v>1155</v>
      </c>
      <c r="D1211" s="2" t="s">
        <v>1173</v>
      </c>
      <c r="E1211" s="3"/>
    </row>
    <row r="1212" spans="1:5" ht="24.75" customHeight="1">
      <c r="A1212" s="2">
        <v>1210</v>
      </c>
      <c r="B1212" s="2" t="str">
        <f>"陈滢"</f>
        <v>陈滢</v>
      </c>
      <c r="C1212" s="2" t="s">
        <v>1155</v>
      </c>
      <c r="D1212" s="2" t="s">
        <v>1174</v>
      </c>
      <c r="E1212" s="3"/>
    </row>
    <row r="1213" spans="1:5" ht="24.75" customHeight="1">
      <c r="A1213" s="2">
        <v>1211</v>
      </c>
      <c r="B1213" s="2" t="str">
        <f>"高宇浩"</f>
        <v>高宇浩</v>
      </c>
      <c r="C1213" s="2" t="s">
        <v>1155</v>
      </c>
      <c r="D1213" s="2" t="s">
        <v>1175</v>
      </c>
      <c r="E1213" s="3"/>
    </row>
    <row r="1214" spans="1:5" ht="24.75" customHeight="1">
      <c r="A1214" s="2">
        <v>1212</v>
      </c>
      <c r="B1214" s="2" t="str">
        <f>"倪晓玲"</f>
        <v>倪晓玲</v>
      </c>
      <c r="C1214" s="2" t="s">
        <v>1155</v>
      </c>
      <c r="D1214" s="2" t="s">
        <v>1176</v>
      </c>
      <c r="E1214" s="3"/>
    </row>
    <row r="1215" spans="1:5" ht="24.75" customHeight="1">
      <c r="A1215" s="2">
        <v>1213</v>
      </c>
      <c r="B1215" s="2" t="str">
        <f>"梁晓梅"</f>
        <v>梁晓梅</v>
      </c>
      <c r="C1215" s="2" t="s">
        <v>1155</v>
      </c>
      <c r="D1215" s="2" t="s">
        <v>1177</v>
      </c>
      <c r="E1215" s="3"/>
    </row>
    <row r="1216" spans="1:5" ht="24.75" customHeight="1">
      <c r="A1216" s="2">
        <v>1214</v>
      </c>
      <c r="B1216" s="2" t="str">
        <f>"陈家璇"</f>
        <v>陈家璇</v>
      </c>
      <c r="C1216" s="2" t="s">
        <v>1155</v>
      </c>
      <c r="D1216" s="2" t="s">
        <v>1178</v>
      </c>
      <c r="E1216" s="3"/>
    </row>
    <row r="1217" spans="1:5" ht="24.75" customHeight="1">
      <c r="A1217" s="2">
        <v>1215</v>
      </c>
      <c r="B1217" s="2" t="str">
        <f>"杨利德"</f>
        <v>杨利德</v>
      </c>
      <c r="C1217" s="2" t="s">
        <v>1155</v>
      </c>
      <c r="D1217" s="2" t="s">
        <v>1179</v>
      </c>
      <c r="E1217" s="3"/>
    </row>
    <row r="1218" spans="1:5" ht="24.75" customHeight="1">
      <c r="A1218" s="2">
        <v>1216</v>
      </c>
      <c r="B1218" s="2" t="str">
        <f>"王朝妙"</f>
        <v>王朝妙</v>
      </c>
      <c r="C1218" s="2" t="s">
        <v>1155</v>
      </c>
      <c r="D1218" s="2" t="s">
        <v>1180</v>
      </c>
      <c r="E1218" s="3"/>
    </row>
    <row r="1219" spans="1:5" ht="24.75" customHeight="1">
      <c r="A1219" s="2">
        <v>1217</v>
      </c>
      <c r="B1219" s="2" t="str">
        <f>"吴晓涵"</f>
        <v>吴晓涵</v>
      </c>
      <c r="C1219" s="2" t="s">
        <v>1155</v>
      </c>
      <c r="D1219" s="2" t="s">
        <v>1181</v>
      </c>
      <c r="E1219" s="3"/>
    </row>
    <row r="1220" spans="1:5" ht="24.75" customHeight="1">
      <c r="A1220" s="2">
        <v>1218</v>
      </c>
      <c r="B1220" s="2" t="str">
        <f>"倪琳"</f>
        <v>倪琳</v>
      </c>
      <c r="C1220" s="2" t="s">
        <v>1155</v>
      </c>
      <c r="D1220" s="2" t="s">
        <v>1182</v>
      </c>
      <c r="E1220" s="3"/>
    </row>
    <row r="1221" spans="1:5" ht="24.75" customHeight="1">
      <c r="A1221" s="2">
        <v>1219</v>
      </c>
      <c r="B1221" s="2" t="str">
        <f>"颜凤娇"</f>
        <v>颜凤娇</v>
      </c>
      <c r="C1221" s="2" t="s">
        <v>1155</v>
      </c>
      <c r="D1221" s="2" t="s">
        <v>1183</v>
      </c>
      <c r="E1221" s="3"/>
    </row>
    <row r="1222" spans="1:5" ht="24.75" customHeight="1">
      <c r="A1222" s="2">
        <v>1220</v>
      </c>
      <c r="B1222" s="2" t="str">
        <f>"姚岚"</f>
        <v>姚岚</v>
      </c>
      <c r="C1222" s="2" t="s">
        <v>1155</v>
      </c>
      <c r="D1222" s="2" t="s">
        <v>806</v>
      </c>
      <c r="E1222" s="3"/>
    </row>
    <row r="1223" spans="1:5" ht="24.75" customHeight="1">
      <c r="A1223" s="2">
        <v>1221</v>
      </c>
      <c r="B1223" s="2" t="str">
        <f>"陈传淞"</f>
        <v>陈传淞</v>
      </c>
      <c r="C1223" s="2" t="s">
        <v>1155</v>
      </c>
      <c r="D1223" s="2" t="s">
        <v>1184</v>
      </c>
      <c r="E1223" s="3"/>
    </row>
    <row r="1224" spans="1:5" ht="24.75" customHeight="1">
      <c r="A1224" s="2">
        <v>1222</v>
      </c>
      <c r="B1224" s="2" t="str">
        <f>"文秀杭"</f>
        <v>文秀杭</v>
      </c>
      <c r="C1224" s="2" t="s">
        <v>1155</v>
      </c>
      <c r="D1224" s="2" t="s">
        <v>1185</v>
      </c>
      <c r="E1224" s="3"/>
    </row>
    <row r="1225" spans="1:5" ht="24.75" customHeight="1">
      <c r="A1225" s="2">
        <v>1223</v>
      </c>
      <c r="B1225" s="2" t="str">
        <f>"王录佳"</f>
        <v>王录佳</v>
      </c>
      <c r="C1225" s="2" t="s">
        <v>1155</v>
      </c>
      <c r="D1225" s="2" t="s">
        <v>1186</v>
      </c>
      <c r="E1225" s="3"/>
    </row>
    <row r="1226" spans="1:5" ht="24.75" customHeight="1">
      <c r="A1226" s="2">
        <v>1224</v>
      </c>
      <c r="B1226" s="2" t="str">
        <f>"黄珺"</f>
        <v>黄珺</v>
      </c>
      <c r="C1226" s="2" t="s">
        <v>1155</v>
      </c>
      <c r="D1226" s="2" t="s">
        <v>1187</v>
      </c>
      <c r="E1226" s="3"/>
    </row>
    <row r="1227" spans="1:5" ht="24.75" customHeight="1">
      <c r="A1227" s="2">
        <v>1225</v>
      </c>
      <c r="B1227" s="2" t="str">
        <f>"曾扬文"</f>
        <v>曾扬文</v>
      </c>
      <c r="C1227" s="2" t="s">
        <v>1155</v>
      </c>
      <c r="D1227" s="2" t="s">
        <v>1188</v>
      </c>
      <c r="E1227" s="3"/>
    </row>
    <row r="1228" spans="1:5" ht="24.75" customHeight="1">
      <c r="A1228" s="2">
        <v>1226</v>
      </c>
      <c r="B1228" s="2" t="str">
        <f>"黎晓扬"</f>
        <v>黎晓扬</v>
      </c>
      <c r="C1228" s="2" t="s">
        <v>1155</v>
      </c>
      <c r="D1228" s="2" t="s">
        <v>1189</v>
      </c>
      <c r="E1228" s="3"/>
    </row>
    <row r="1229" spans="1:5" ht="24.75" customHeight="1">
      <c r="A1229" s="2">
        <v>1227</v>
      </c>
      <c r="B1229" s="2" t="str">
        <f>"钟沁兰"</f>
        <v>钟沁兰</v>
      </c>
      <c r="C1229" s="2" t="s">
        <v>1155</v>
      </c>
      <c r="D1229" s="2" t="s">
        <v>816</v>
      </c>
      <c r="E1229" s="3"/>
    </row>
    <row r="1230" spans="1:5" ht="24.75" customHeight="1">
      <c r="A1230" s="2">
        <v>1228</v>
      </c>
      <c r="B1230" s="2" t="str">
        <f>"陈薇竹"</f>
        <v>陈薇竹</v>
      </c>
      <c r="C1230" s="2" t="s">
        <v>1155</v>
      </c>
      <c r="D1230" s="2" t="s">
        <v>1190</v>
      </c>
      <c r="E1230" s="3"/>
    </row>
    <row r="1231" spans="1:5" ht="24.75" customHeight="1">
      <c r="A1231" s="2">
        <v>1229</v>
      </c>
      <c r="B1231" s="2" t="str">
        <f>"黎珊"</f>
        <v>黎珊</v>
      </c>
      <c r="C1231" s="2" t="s">
        <v>1155</v>
      </c>
      <c r="D1231" s="2" t="s">
        <v>1191</v>
      </c>
      <c r="E1231" s="3"/>
    </row>
    <row r="1232" spans="1:5" ht="24.75" customHeight="1">
      <c r="A1232" s="2">
        <v>1230</v>
      </c>
      <c r="B1232" s="2" t="str">
        <f>"李俊机"</f>
        <v>李俊机</v>
      </c>
      <c r="C1232" s="2" t="s">
        <v>1155</v>
      </c>
      <c r="D1232" s="2" t="s">
        <v>1192</v>
      </c>
      <c r="E1232" s="3"/>
    </row>
    <row r="1233" spans="1:5" ht="24.75" customHeight="1">
      <c r="A1233" s="2">
        <v>1231</v>
      </c>
      <c r="B1233" s="2" t="str">
        <f>"陈玺匀"</f>
        <v>陈玺匀</v>
      </c>
      <c r="C1233" s="2" t="s">
        <v>1155</v>
      </c>
      <c r="D1233" s="2" t="s">
        <v>1193</v>
      </c>
      <c r="E1233" s="3"/>
    </row>
    <row r="1234" spans="1:5" ht="24.75" customHeight="1">
      <c r="A1234" s="2">
        <v>1232</v>
      </c>
      <c r="B1234" s="2" t="str">
        <f>"吴千禧"</f>
        <v>吴千禧</v>
      </c>
      <c r="C1234" s="2" t="s">
        <v>1155</v>
      </c>
      <c r="D1234" s="2" t="s">
        <v>1194</v>
      </c>
      <c r="E1234" s="3"/>
    </row>
    <row r="1235" spans="1:5" ht="24.75" customHeight="1">
      <c r="A1235" s="2">
        <v>1233</v>
      </c>
      <c r="B1235" s="2" t="str">
        <f>"王学骏"</f>
        <v>王学骏</v>
      </c>
      <c r="C1235" s="2" t="s">
        <v>1155</v>
      </c>
      <c r="D1235" s="2" t="s">
        <v>1195</v>
      </c>
      <c r="E1235" s="3"/>
    </row>
    <row r="1236" spans="1:5" ht="24.75" customHeight="1">
      <c r="A1236" s="2">
        <v>1234</v>
      </c>
      <c r="B1236" s="2" t="str">
        <f>"符媛媛"</f>
        <v>符媛媛</v>
      </c>
      <c r="C1236" s="2" t="s">
        <v>1155</v>
      </c>
      <c r="D1236" s="2" t="s">
        <v>1196</v>
      </c>
      <c r="E1236" s="3"/>
    </row>
    <row r="1237" spans="1:5" ht="24.75" customHeight="1">
      <c r="A1237" s="2">
        <v>1235</v>
      </c>
      <c r="B1237" s="2" t="str">
        <f>"梁爽"</f>
        <v>梁爽</v>
      </c>
      <c r="C1237" s="2" t="s">
        <v>1155</v>
      </c>
      <c r="D1237" s="2" t="s">
        <v>1197</v>
      </c>
      <c r="E1237" s="3"/>
    </row>
    <row r="1238" spans="1:5" ht="24.75" customHeight="1">
      <c r="A1238" s="2">
        <v>1236</v>
      </c>
      <c r="B1238" s="2" t="str">
        <f>"张宁"</f>
        <v>张宁</v>
      </c>
      <c r="C1238" s="2" t="s">
        <v>1155</v>
      </c>
      <c r="D1238" s="2" t="s">
        <v>954</v>
      </c>
      <c r="E1238" s="3"/>
    </row>
    <row r="1239" spans="1:5" ht="24.75" customHeight="1">
      <c r="A1239" s="2">
        <v>1237</v>
      </c>
      <c r="B1239" s="2" t="str">
        <f>"罗紫珊"</f>
        <v>罗紫珊</v>
      </c>
      <c r="C1239" s="2" t="s">
        <v>1155</v>
      </c>
      <c r="D1239" s="2" t="s">
        <v>26</v>
      </c>
      <c r="E1239" s="3"/>
    </row>
    <row r="1240" spans="1:5" ht="24.75" customHeight="1">
      <c r="A1240" s="2">
        <v>1238</v>
      </c>
      <c r="B1240" s="2" t="str">
        <f>"何书棋"</f>
        <v>何书棋</v>
      </c>
      <c r="C1240" s="2" t="s">
        <v>1155</v>
      </c>
      <c r="D1240" s="2" t="s">
        <v>1198</v>
      </c>
      <c r="E1240" s="3"/>
    </row>
    <row r="1241" spans="1:5" ht="24.75" customHeight="1">
      <c r="A1241" s="2">
        <v>1239</v>
      </c>
      <c r="B1241" s="2" t="str">
        <f>"罗文琪"</f>
        <v>罗文琪</v>
      </c>
      <c r="C1241" s="2" t="s">
        <v>1155</v>
      </c>
      <c r="D1241" s="2" t="s">
        <v>1199</v>
      </c>
      <c r="E1241" s="3"/>
    </row>
    <row r="1242" spans="1:5" ht="24.75" customHeight="1">
      <c r="A1242" s="2">
        <v>1240</v>
      </c>
      <c r="B1242" s="2" t="str">
        <f>"冯麒璇"</f>
        <v>冯麒璇</v>
      </c>
      <c r="C1242" s="2" t="s">
        <v>1155</v>
      </c>
      <c r="D1242" s="2" t="s">
        <v>1200</v>
      </c>
      <c r="E1242" s="3"/>
    </row>
    <row r="1243" spans="1:5" ht="24.75" customHeight="1">
      <c r="A1243" s="2">
        <v>1241</v>
      </c>
      <c r="B1243" s="2" t="str">
        <f>"冯早"</f>
        <v>冯早</v>
      </c>
      <c r="C1243" s="2" t="s">
        <v>1155</v>
      </c>
      <c r="D1243" s="2" t="s">
        <v>1201</v>
      </c>
      <c r="E1243" s="3"/>
    </row>
    <row r="1244" spans="1:5" ht="24.75" customHeight="1">
      <c r="A1244" s="2">
        <v>1242</v>
      </c>
      <c r="B1244" s="2" t="str">
        <f>"翁毓琛"</f>
        <v>翁毓琛</v>
      </c>
      <c r="C1244" s="2" t="s">
        <v>1155</v>
      </c>
      <c r="D1244" s="2" t="s">
        <v>1202</v>
      </c>
      <c r="E1244" s="3"/>
    </row>
    <row r="1245" spans="1:5" ht="24.75" customHeight="1">
      <c r="A1245" s="2">
        <v>1243</v>
      </c>
      <c r="B1245" s="2" t="str">
        <f>"李妮娜"</f>
        <v>李妮娜</v>
      </c>
      <c r="C1245" s="2" t="s">
        <v>1155</v>
      </c>
      <c r="D1245" s="2" t="s">
        <v>937</v>
      </c>
      <c r="E1245" s="3"/>
    </row>
    <row r="1246" spans="1:5" ht="24.75" customHeight="1">
      <c r="A1246" s="2">
        <v>1244</v>
      </c>
      <c r="B1246" s="2" t="str">
        <f>"张其钰"</f>
        <v>张其钰</v>
      </c>
      <c r="C1246" s="2" t="s">
        <v>1155</v>
      </c>
      <c r="D1246" s="2" t="s">
        <v>1203</v>
      </c>
      <c r="E1246" s="3"/>
    </row>
    <row r="1247" spans="1:5" ht="24.75" customHeight="1">
      <c r="A1247" s="2">
        <v>1245</v>
      </c>
      <c r="B1247" s="2" t="str">
        <f>"许静宜"</f>
        <v>许静宜</v>
      </c>
      <c r="C1247" s="2" t="s">
        <v>1155</v>
      </c>
      <c r="D1247" s="2" t="s">
        <v>1204</v>
      </c>
      <c r="E1247" s="3"/>
    </row>
    <row r="1248" spans="1:5" ht="24.75" customHeight="1">
      <c r="A1248" s="2">
        <v>1246</v>
      </c>
      <c r="B1248" s="2" t="str">
        <f>"晏玲"</f>
        <v>晏玲</v>
      </c>
      <c r="C1248" s="2" t="s">
        <v>1155</v>
      </c>
      <c r="D1248" s="2" t="s">
        <v>1205</v>
      </c>
      <c r="E1248" s="3"/>
    </row>
    <row r="1249" spans="1:5" ht="24.75" customHeight="1">
      <c r="A1249" s="2">
        <v>1247</v>
      </c>
      <c r="B1249" s="2" t="str">
        <f>"羊丽丹"</f>
        <v>羊丽丹</v>
      </c>
      <c r="C1249" s="2" t="s">
        <v>1155</v>
      </c>
      <c r="D1249" s="2" t="s">
        <v>1206</v>
      </c>
      <c r="E1249" s="3"/>
    </row>
    <row r="1250" spans="1:5" ht="24.75" customHeight="1">
      <c r="A1250" s="2">
        <v>1248</v>
      </c>
      <c r="B1250" s="2" t="str">
        <f>"卓文闻"</f>
        <v>卓文闻</v>
      </c>
      <c r="C1250" s="2" t="s">
        <v>1155</v>
      </c>
      <c r="D1250" s="2" t="s">
        <v>1207</v>
      </c>
      <c r="E1250" s="3"/>
    </row>
    <row r="1251" spans="1:5" ht="24.75" customHeight="1">
      <c r="A1251" s="2">
        <v>1249</v>
      </c>
      <c r="B1251" s="2" t="str">
        <f>"苏心怡"</f>
        <v>苏心怡</v>
      </c>
      <c r="C1251" s="2" t="s">
        <v>1155</v>
      </c>
      <c r="D1251" s="2" t="s">
        <v>1208</v>
      </c>
      <c r="E1251" s="3"/>
    </row>
    <row r="1252" spans="1:5" ht="24.75" customHeight="1">
      <c r="A1252" s="2">
        <v>1250</v>
      </c>
      <c r="B1252" s="2" t="str">
        <f>"李经宗"</f>
        <v>李经宗</v>
      </c>
      <c r="C1252" s="2" t="s">
        <v>1155</v>
      </c>
      <c r="D1252" s="2" t="s">
        <v>1209</v>
      </c>
      <c r="E1252" s="3"/>
    </row>
    <row r="1253" spans="1:5" ht="24.75" customHeight="1">
      <c r="A1253" s="2">
        <v>1251</v>
      </c>
      <c r="B1253" s="2" t="str">
        <f>"黄展鸿"</f>
        <v>黄展鸿</v>
      </c>
      <c r="C1253" s="2" t="s">
        <v>1155</v>
      </c>
      <c r="D1253" s="2" t="s">
        <v>1210</v>
      </c>
      <c r="E1253" s="3"/>
    </row>
    <row r="1254" spans="1:5" ht="24.75" customHeight="1">
      <c r="A1254" s="2">
        <v>1252</v>
      </c>
      <c r="B1254" s="2" t="str">
        <f>"周佳怡"</f>
        <v>周佳怡</v>
      </c>
      <c r="C1254" s="2" t="s">
        <v>1155</v>
      </c>
      <c r="D1254" s="2" t="s">
        <v>1211</v>
      </c>
      <c r="E1254" s="3"/>
    </row>
    <row r="1255" spans="1:5" ht="24.75" customHeight="1">
      <c r="A1255" s="2">
        <v>1253</v>
      </c>
      <c r="B1255" s="2" t="str">
        <f>"袁振凯"</f>
        <v>袁振凯</v>
      </c>
      <c r="C1255" s="2" t="s">
        <v>1155</v>
      </c>
      <c r="D1255" s="2" t="s">
        <v>1212</v>
      </c>
      <c r="E1255" s="3"/>
    </row>
    <row r="1256" spans="1:5" ht="24.75" customHeight="1">
      <c r="A1256" s="2">
        <v>1254</v>
      </c>
      <c r="B1256" s="2" t="str">
        <f>"王帮潇"</f>
        <v>王帮潇</v>
      </c>
      <c r="C1256" s="2" t="s">
        <v>1155</v>
      </c>
      <c r="D1256" s="2" t="s">
        <v>1213</v>
      </c>
      <c r="E1256" s="3"/>
    </row>
    <row r="1257" spans="1:5" ht="24.75" customHeight="1">
      <c r="A1257" s="2">
        <v>1255</v>
      </c>
      <c r="B1257" s="2" t="str">
        <f>"符多艳"</f>
        <v>符多艳</v>
      </c>
      <c r="C1257" s="2" t="s">
        <v>1155</v>
      </c>
      <c r="D1257" s="2" t="s">
        <v>1214</v>
      </c>
      <c r="E1257" s="3"/>
    </row>
    <row r="1258" spans="1:5" ht="24.75" customHeight="1">
      <c r="A1258" s="2">
        <v>1256</v>
      </c>
      <c r="B1258" s="2" t="str">
        <f>"孙滢斐"</f>
        <v>孙滢斐</v>
      </c>
      <c r="C1258" s="2" t="s">
        <v>1155</v>
      </c>
      <c r="D1258" s="2" t="s">
        <v>1215</v>
      </c>
      <c r="E1258" s="3"/>
    </row>
    <row r="1259" spans="1:5" ht="24.75" customHeight="1">
      <c r="A1259" s="2">
        <v>1257</v>
      </c>
      <c r="B1259" s="2" t="str">
        <f>"符民宇"</f>
        <v>符民宇</v>
      </c>
      <c r="C1259" s="2" t="s">
        <v>1155</v>
      </c>
      <c r="D1259" s="2" t="s">
        <v>1216</v>
      </c>
      <c r="E1259" s="3"/>
    </row>
    <row r="1260" spans="1:5" ht="24.75" customHeight="1">
      <c r="A1260" s="2">
        <v>1258</v>
      </c>
      <c r="B1260" s="2" t="str">
        <f>"周玉珊"</f>
        <v>周玉珊</v>
      </c>
      <c r="C1260" s="2" t="s">
        <v>1155</v>
      </c>
      <c r="D1260" s="2" t="s">
        <v>1217</v>
      </c>
      <c r="E1260" s="3"/>
    </row>
    <row r="1261" spans="1:5" ht="24.75" customHeight="1">
      <c r="A1261" s="2">
        <v>1259</v>
      </c>
      <c r="B1261" s="2" t="str">
        <f>"王若吟"</f>
        <v>王若吟</v>
      </c>
      <c r="C1261" s="2" t="s">
        <v>1155</v>
      </c>
      <c r="D1261" s="2" t="s">
        <v>1218</v>
      </c>
      <c r="E1261" s="3"/>
    </row>
    <row r="1262" spans="1:5" ht="24.75" customHeight="1">
      <c r="A1262" s="2">
        <v>1260</v>
      </c>
      <c r="B1262" s="2" t="str">
        <f>"叶碧香"</f>
        <v>叶碧香</v>
      </c>
      <c r="C1262" s="2" t="s">
        <v>1219</v>
      </c>
      <c r="D1262" s="2" t="s">
        <v>1220</v>
      </c>
      <c r="E1262" s="3"/>
    </row>
    <row r="1263" spans="1:5" ht="24.75" customHeight="1">
      <c r="A1263" s="2">
        <v>1261</v>
      </c>
      <c r="B1263" s="2" t="str">
        <f>"李文丽"</f>
        <v>李文丽</v>
      </c>
      <c r="C1263" s="2" t="s">
        <v>1219</v>
      </c>
      <c r="D1263" s="2" t="s">
        <v>1221</v>
      </c>
      <c r="E1263" s="3"/>
    </row>
    <row r="1264" spans="1:5" ht="24.75" customHeight="1">
      <c r="A1264" s="2">
        <v>1262</v>
      </c>
      <c r="B1264" s="2" t="str">
        <f>"谢茜"</f>
        <v>谢茜</v>
      </c>
      <c r="C1264" s="2" t="s">
        <v>1219</v>
      </c>
      <c r="D1264" s="2" t="s">
        <v>1222</v>
      </c>
      <c r="E1264" s="3"/>
    </row>
    <row r="1265" spans="1:5" ht="24.75" customHeight="1">
      <c r="A1265" s="2">
        <v>1263</v>
      </c>
      <c r="B1265" s="2" t="str">
        <f>"陈江婷"</f>
        <v>陈江婷</v>
      </c>
      <c r="C1265" s="2" t="s">
        <v>1219</v>
      </c>
      <c r="D1265" s="2" t="s">
        <v>1223</v>
      </c>
      <c r="E1265" s="3"/>
    </row>
    <row r="1266" spans="1:5" ht="24.75" customHeight="1">
      <c r="A1266" s="2">
        <v>1264</v>
      </c>
      <c r="B1266" s="2" t="str">
        <f>"张亦君"</f>
        <v>张亦君</v>
      </c>
      <c r="C1266" s="2" t="s">
        <v>1219</v>
      </c>
      <c r="D1266" s="2" t="s">
        <v>1224</v>
      </c>
      <c r="E1266" s="3"/>
    </row>
    <row r="1267" spans="1:5" ht="24.75" customHeight="1">
      <c r="A1267" s="2">
        <v>1265</v>
      </c>
      <c r="B1267" s="2" t="str">
        <f>"王美松"</f>
        <v>王美松</v>
      </c>
      <c r="C1267" s="2" t="s">
        <v>1225</v>
      </c>
      <c r="D1267" s="2" t="s">
        <v>1226</v>
      </c>
      <c r="E1267" s="3"/>
    </row>
    <row r="1268" spans="1:5" ht="24.75" customHeight="1">
      <c r="A1268" s="2">
        <v>1266</v>
      </c>
      <c r="B1268" s="2" t="str">
        <f>"杨林青"</f>
        <v>杨林青</v>
      </c>
      <c r="C1268" s="2" t="s">
        <v>1225</v>
      </c>
      <c r="D1268" s="2" t="s">
        <v>1227</v>
      </c>
      <c r="E1268" s="3"/>
    </row>
    <row r="1269" spans="1:5" ht="24.75" customHeight="1">
      <c r="A1269" s="2">
        <v>1267</v>
      </c>
      <c r="B1269" s="2" t="str">
        <f>"李璧好"</f>
        <v>李璧好</v>
      </c>
      <c r="C1269" s="2" t="s">
        <v>1225</v>
      </c>
      <c r="D1269" s="2" t="s">
        <v>1228</v>
      </c>
      <c r="E1269" s="3"/>
    </row>
    <row r="1270" spans="1:5" ht="24.75" customHeight="1">
      <c r="A1270" s="2">
        <v>1268</v>
      </c>
      <c r="B1270" s="2" t="str">
        <f>"吴婷"</f>
        <v>吴婷</v>
      </c>
      <c r="C1270" s="2" t="s">
        <v>1225</v>
      </c>
      <c r="D1270" s="2" t="s">
        <v>1229</v>
      </c>
      <c r="E1270" s="3"/>
    </row>
    <row r="1271" spans="1:5" ht="24.75" customHeight="1">
      <c r="A1271" s="2">
        <v>1269</v>
      </c>
      <c r="B1271" s="2" t="str">
        <f>"韩芷宸"</f>
        <v>韩芷宸</v>
      </c>
      <c r="C1271" s="2" t="s">
        <v>1225</v>
      </c>
      <c r="D1271" s="2" t="s">
        <v>1230</v>
      </c>
      <c r="E1271" s="3"/>
    </row>
    <row r="1272" spans="1:5" ht="24.75" customHeight="1">
      <c r="A1272" s="2">
        <v>1270</v>
      </c>
      <c r="B1272" s="2" t="str">
        <f>"吕诗施"</f>
        <v>吕诗施</v>
      </c>
      <c r="C1272" s="2" t="s">
        <v>1225</v>
      </c>
      <c r="D1272" s="2" t="s">
        <v>1231</v>
      </c>
      <c r="E1272" s="3"/>
    </row>
    <row r="1273" spans="1:5" ht="24.75" customHeight="1">
      <c r="A1273" s="2">
        <v>1271</v>
      </c>
      <c r="B1273" s="2" t="str">
        <f>"冼川杰"</f>
        <v>冼川杰</v>
      </c>
      <c r="C1273" s="2" t="s">
        <v>1225</v>
      </c>
      <c r="D1273" s="2" t="s">
        <v>1232</v>
      </c>
      <c r="E1273" s="3"/>
    </row>
    <row r="1274" spans="1:5" ht="24.75" customHeight="1">
      <c r="A1274" s="2">
        <v>1272</v>
      </c>
      <c r="B1274" s="2" t="str">
        <f>"陈积玺"</f>
        <v>陈积玺</v>
      </c>
      <c r="C1274" s="2" t="s">
        <v>1225</v>
      </c>
      <c r="D1274" s="2" t="s">
        <v>1233</v>
      </c>
      <c r="E1274" s="3"/>
    </row>
    <row r="1275" spans="1:5" ht="24.75" customHeight="1">
      <c r="A1275" s="2">
        <v>1273</v>
      </c>
      <c r="B1275" s="2" t="str">
        <f>"翁生川"</f>
        <v>翁生川</v>
      </c>
      <c r="C1275" s="2" t="s">
        <v>1225</v>
      </c>
      <c r="D1275" s="2" t="s">
        <v>1234</v>
      </c>
      <c r="E1275" s="3"/>
    </row>
    <row r="1276" spans="1:5" ht="24.75" customHeight="1">
      <c r="A1276" s="2">
        <v>1274</v>
      </c>
      <c r="B1276" s="2" t="str">
        <f>"尹邦非"</f>
        <v>尹邦非</v>
      </c>
      <c r="C1276" s="2" t="s">
        <v>1225</v>
      </c>
      <c r="D1276" s="2" t="s">
        <v>1235</v>
      </c>
      <c r="E1276" s="3"/>
    </row>
    <row r="1277" spans="1:5" ht="24.75" customHeight="1">
      <c r="A1277" s="2">
        <v>1275</v>
      </c>
      <c r="B1277" s="2" t="str">
        <f>"吴亚发"</f>
        <v>吴亚发</v>
      </c>
      <c r="C1277" s="2" t="s">
        <v>1225</v>
      </c>
      <c r="D1277" s="2" t="s">
        <v>1236</v>
      </c>
      <c r="E1277" s="3"/>
    </row>
    <row r="1278" spans="1:5" ht="24.75" customHeight="1">
      <c r="A1278" s="2">
        <v>1276</v>
      </c>
      <c r="B1278" s="2" t="str">
        <f>"张文清"</f>
        <v>张文清</v>
      </c>
      <c r="C1278" s="2" t="s">
        <v>1225</v>
      </c>
      <c r="D1278" s="2" t="s">
        <v>1237</v>
      </c>
      <c r="E1278" s="3"/>
    </row>
    <row r="1279" spans="1:5" ht="24.75" customHeight="1">
      <c r="A1279" s="2">
        <v>1277</v>
      </c>
      <c r="B1279" s="2" t="str">
        <f>"李佳玥"</f>
        <v>李佳玥</v>
      </c>
      <c r="C1279" s="2" t="s">
        <v>1225</v>
      </c>
      <c r="D1279" s="2" t="s">
        <v>816</v>
      </c>
      <c r="E1279" s="3"/>
    </row>
    <row r="1280" spans="1:5" ht="24.75" customHeight="1">
      <c r="A1280" s="2">
        <v>1278</v>
      </c>
      <c r="B1280" s="2" t="str">
        <f>"李日翔"</f>
        <v>李日翔</v>
      </c>
      <c r="C1280" s="2" t="s">
        <v>1225</v>
      </c>
      <c r="D1280" s="2" t="s">
        <v>1238</v>
      </c>
      <c r="E1280" s="3"/>
    </row>
    <row r="1281" spans="1:5" ht="24.75" customHeight="1">
      <c r="A1281" s="2">
        <v>1279</v>
      </c>
      <c r="B1281" s="2" t="str">
        <f>"盛秀山"</f>
        <v>盛秀山</v>
      </c>
      <c r="C1281" s="2" t="s">
        <v>1225</v>
      </c>
      <c r="D1281" s="2" t="s">
        <v>1239</v>
      </c>
      <c r="E1281" s="3"/>
    </row>
    <row r="1282" spans="1:5" ht="24.75" customHeight="1">
      <c r="A1282" s="2">
        <v>1280</v>
      </c>
      <c r="B1282" s="2" t="str">
        <f>"胡渝汶"</f>
        <v>胡渝汶</v>
      </c>
      <c r="C1282" s="2" t="s">
        <v>1225</v>
      </c>
      <c r="D1282" s="2" t="s">
        <v>1240</v>
      </c>
      <c r="E1282" s="3"/>
    </row>
    <row r="1283" spans="1:5" ht="24.75" customHeight="1">
      <c r="A1283" s="2">
        <v>1281</v>
      </c>
      <c r="B1283" s="2" t="str">
        <f>"洪莹莹"</f>
        <v>洪莹莹</v>
      </c>
      <c r="C1283" s="2" t="s">
        <v>1225</v>
      </c>
      <c r="D1283" s="2" t="s">
        <v>1241</v>
      </c>
      <c r="E1283" s="3"/>
    </row>
    <row r="1284" spans="1:5" ht="24.75" customHeight="1">
      <c r="A1284" s="2">
        <v>1282</v>
      </c>
      <c r="B1284" s="2" t="str">
        <f>"王彦军"</f>
        <v>王彦军</v>
      </c>
      <c r="C1284" s="2" t="s">
        <v>1225</v>
      </c>
      <c r="D1284" s="2" t="s">
        <v>1242</v>
      </c>
      <c r="E1284" s="3"/>
    </row>
    <row r="1285" spans="1:5" ht="24.75" customHeight="1">
      <c r="A1285" s="2">
        <v>1283</v>
      </c>
      <c r="B1285" s="2" t="str">
        <f>"云永福"</f>
        <v>云永福</v>
      </c>
      <c r="C1285" s="2" t="s">
        <v>1225</v>
      </c>
      <c r="D1285" s="2" t="s">
        <v>1243</v>
      </c>
      <c r="E1285" s="3"/>
    </row>
    <row r="1286" spans="1:5" ht="24.75" customHeight="1">
      <c r="A1286" s="2">
        <v>1284</v>
      </c>
      <c r="B1286" s="2" t="str">
        <f>"陈博伟"</f>
        <v>陈博伟</v>
      </c>
      <c r="C1286" s="2" t="s">
        <v>1225</v>
      </c>
      <c r="D1286" s="2" t="s">
        <v>1244</v>
      </c>
      <c r="E1286" s="3"/>
    </row>
    <row r="1287" spans="1:5" ht="24.75" customHeight="1">
      <c r="A1287" s="2">
        <v>1285</v>
      </c>
      <c r="B1287" s="2" t="str">
        <f>"覃星源"</f>
        <v>覃星源</v>
      </c>
      <c r="C1287" s="2" t="s">
        <v>1225</v>
      </c>
      <c r="D1287" s="2" t="s">
        <v>1245</v>
      </c>
      <c r="E1287" s="3"/>
    </row>
    <row r="1288" spans="1:5" ht="24.75" customHeight="1">
      <c r="A1288" s="2">
        <v>1286</v>
      </c>
      <c r="B1288" s="2" t="str">
        <f>"黎子琪"</f>
        <v>黎子琪</v>
      </c>
      <c r="C1288" s="2" t="s">
        <v>1225</v>
      </c>
      <c r="D1288" s="2" t="s">
        <v>1246</v>
      </c>
      <c r="E1288" s="3"/>
    </row>
    <row r="1289" spans="1:5" ht="24.75" customHeight="1">
      <c r="A1289" s="2">
        <v>1287</v>
      </c>
      <c r="B1289" s="2" t="str">
        <f>"林赐睿"</f>
        <v>林赐睿</v>
      </c>
      <c r="C1289" s="2" t="s">
        <v>1225</v>
      </c>
      <c r="D1289" s="2" t="s">
        <v>1247</v>
      </c>
      <c r="E1289" s="3"/>
    </row>
    <row r="1290" spans="1:5" ht="24.75" customHeight="1">
      <c r="A1290" s="2">
        <v>1288</v>
      </c>
      <c r="B1290" s="2" t="str">
        <f>"谢焕晖"</f>
        <v>谢焕晖</v>
      </c>
      <c r="C1290" s="2" t="s">
        <v>1225</v>
      </c>
      <c r="D1290" s="2" t="s">
        <v>1248</v>
      </c>
      <c r="E1290" s="3"/>
    </row>
    <row r="1291" spans="1:5" ht="24.75" customHeight="1">
      <c r="A1291" s="2">
        <v>1289</v>
      </c>
      <c r="B1291" s="2" t="str">
        <f>"查杨科"</f>
        <v>查杨科</v>
      </c>
      <c r="C1291" s="2" t="s">
        <v>1225</v>
      </c>
      <c r="D1291" s="2" t="s">
        <v>1249</v>
      </c>
      <c r="E1291" s="3"/>
    </row>
    <row r="1292" spans="1:5" ht="24.75" customHeight="1">
      <c r="A1292" s="2">
        <v>1290</v>
      </c>
      <c r="B1292" s="2" t="str">
        <f>"林小淇"</f>
        <v>林小淇</v>
      </c>
      <c r="C1292" s="2" t="s">
        <v>1225</v>
      </c>
      <c r="D1292" s="2" t="s">
        <v>1250</v>
      </c>
      <c r="E1292" s="3"/>
    </row>
    <row r="1293" spans="1:5" ht="24.75" customHeight="1">
      <c r="A1293" s="2">
        <v>1291</v>
      </c>
      <c r="B1293" s="2" t="str">
        <f>"周来粮"</f>
        <v>周来粮</v>
      </c>
      <c r="C1293" s="2" t="s">
        <v>1225</v>
      </c>
      <c r="D1293" s="2" t="s">
        <v>1251</v>
      </c>
      <c r="E1293" s="3"/>
    </row>
    <row r="1294" spans="1:5" ht="24.75" customHeight="1">
      <c r="A1294" s="2">
        <v>1292</v>
      </c>
      <c r="B1294" s="2" t="str">
        <f>"林立斌"</f>
        <v>林立斌</v>
      </c>
      <c r="C1294" s="2" t="s">
        <v>1225</v>
      </c>
      <c r="D1294" s="2" t="s">
        <v>1252</v>
      </c>
      <c r="E1294" s="3"/>
    </row>
    <row r="1295" spans="1:5" ht="24.75" customHeight="1">
      <c r="A1295" s="2">
        <v>1293</v>
      </c>
      <c r="B1295" s="2" t="str">
        <f>"曾开祚"</f>
        <v>曾开祚</v>
      </c>
      <c r="C1295" s="2" t="s">
        <v>1225</v>
      </c>
      <c r="D1295" s="2" t="s">
        <v>999</v>
      </c>
      <c r="E1295" s="3"/>
    </row>
    <row r="1296" spans="1:5" ht="24.75" customHeight="1">
      <c r="A1296" s="2">
        <v>1294</v>
      </c>
      <c r="B1296" s="2" t="str">
        <f>"符策宁"</f>
        <v>符策宁</v>
      </c>
      <c r="C1296" s="2" t="s">
        <v>1225</v>
      </c>
      <c r="D1296" s="2" t="s">
        <v>1253</v>
      </c>
      <c r="E1296" s="3"/>
    </row>
    <row r="1297" spans="1:5" ht="24.75" customHeight="1">
      <c r="A1297" s="2">
        <v>1295</v>
      </c>
      <c r="B1297" s="2" t="str">
        <f>"李彭伟"</f>
        <v>李彭伟</v>
      </c>
      <c r="C1297" s="2" t="s">
        <v>1225</v>
      </c>
      <c r="D1297" s="2" t="s">
        <v>1254</v>
      </c>
      <c r="E1297" s="3"/>
    </row>
    <row r="1298" spans="1:5" ht="24.75" customHeight="1">
      <c r="A1298" s="2">
        <v>1296</v>
      </c>
      <c r="B1298" s="2" t="str">
        <f>"黄兹清"</f>
        <v>黄兹清</v>
      </c>
      <c r="C1298" s="2" t="s">
        <v>1225</v>
      </c>
      <c r="D1298" s="2" t="s">
        <v>1255</v>
      </c>
      <c r="E1298" s="3"/>
    </row>
    <row r="1299" spans="1:5" ht="24.75" customHeight="1">
      <c r="A1299" s="2">
        <v>1297</v>
      </c>
      <c r="B1299" s="2" t="str">
        <f>"秦昊"</f>
        <v>秦昊</v>
      </c>
      <c r="C1299" s="2" t="s">
        <v>1225</v>
      </c>
      <c r="D1299" s="2" t="s">
        <v>1256</v>
      </c>
      <c r="E1299" s="3"/>
    </row>
    <row r="1300" spans="1:5" ht="24.75" customHeight="1">
      <c r="A1300" s="2">
        <v>1298</v>
      </c>
      <c r="B1300" s="2" t="str">
        <f>"刘家乐"</f>
        <v>刘家乐</v>
      </c>
      <c r="C1300" s="2" t="s">
        <v>1225</v>
      </c>
      <c r="D1300" s="2" t="s">
        <v>1257</v>
      </c>
      <c r="E1300" s="3"/>
    </row>
    <row r="1301" spans="1:5" ht="24.75" customHeight="1">
      <c r="A1301" s="2">
        <v>1299</v>
      </c>
      <c r="B1301" s="2" t="str">
        <f>"陈钰婷"</f>
        <v>陈钰婷</v>
      </c>
      <c r="C1301" s="2" t="s">
        <v>1225</v>
      </c>
      <c r="D1301" s="2" t="s">
        <v>1258</v>
      </c>
      <c r="E1301" s="3"/>
    </row>
    <row r="1302" spans="1:5" ht="24.75" customHeight="1">
      <c r="A1302" s="2">
        <v>1300</v>
      </c>
      <c r="B1302" s="2" t="str">
        <f>"陈运雪"</f>
        <v>陈运雪</v>
      </c>
      <c r="C1302" s="2" t="s">
        <v>1225</v>
      </c>
      <c r="D1302" s="2" t="s">
        <v>1259</v>
      </c>
      <c r="E1302" s="3"/>
    </row>
    <row r="1303" spans="1:5" ht="24.75" customHeight="1">
      <c r="A1303" s="2">
        <v>1301</v>
      </c>
      <c r="B1303" s="2" t="str">
        <f>"吴青蔚"</f>
        <v>吴青蔚</v>
      </c>
      <c r="C1303" s="2" t="s">
        <v>1225</v>
      </c>
      <c r="D1303" s="2" t="s">
        <v>1260</v>
      </c>
      <c r="E1303" s="3"/>
    </row>
    <row r="1304" spans="1:5" ht="24.75" customHeight="1">
      <c r="A1304" s="2">
        <v>1302</v>
      </c>
      <c r="B1304" s="2" t="str">
        <f>"王贺锦"</f>
        <v>王贺锦</v>
      </c>
      <c r="C1304" s="2" t="s">
        <v>1225</v>
      </c>
      <c r="D1304" s="2" t="s">
        <v>1261</v>
      </c>
      <c r="E1304" s="3"/>
    </row>
    <row r="1305" spans="1:5" ht="24.75" customHeight="1">
      <c r="A1305" s="2">
        <v>1303</v>
      </c>
      <c r="B1305" s="2" t="str">
        <f>"盛海玲"</f>
        <v>盛海玲</v>
      </c>
      <c r="C1305" s="2" t="s">
        <v>1225</v>
      </c>
      <c r="D1305" s="2" t="s">
        <v>1262</v>
      </c>
      <c r="E1305" s="3"/>
    </row>
    <row r="1306" spans="1:5" ht="24.75" customHeight="1">
      <c r="A1306" s="2">
        <v>1304</v>
      </c>
      <c r="B1306" s="2" t="str">
        <f>"文晓雪"</f>
        <v>文晓雪</v>
      </c>
      <c r="C1306" s="2" t="s">
        <v>1225</v>
      </c>
      <c r="D1306" s="2" t="s">
        <v>1263</v>
      </c>
      <c r="E1306" s="3"/>
    </row>
    <row r="1307" spans="1:5" ht="24.75" customHeight="1">
      <c r="A1307" s="2">
        <v>1305</v>
      </c>
      <c r="B1307" s="2" t="str">
        <f>"郑华"</f>
        <v>郑华</v>
      </c>
      <c r="C1307" s="2" t="s">
        <v>1225</v>
      </c>
      <c r="D1307" s="2" t="s">
        <v>1264</v>
      </c>
      <c r="E1307" s="3"/>
    </row>
    <row r="1308" spans="1:5" ht="24.75" customHeight="1">
      <c r="A1308" s="2">
        <v>1306</v>
      </c>
      <c r="B1308" s="2" t="str">
        <f>"陈希靖"</f>
        <v>陈希靖</v>
      </c>
      <c r="C1308" s="2" t="s">
        <v>1225</v>
      </c>
      <c r="D1308" s="2" t="s">
        <v>744</v>
      </c>
      <c r="E1308" s="3"/>
    </row>
    <row r="1309" spans="1:5" ht="24.75" customHeight="1">
      <c r="A1309" s="2">
        <v>1307</v>
      </c>
      <c r="B1309" s="2" t="str">
        <f>"黄赞权"</f>
        <v>黄赞权</v>
      </c>
      <c r="C1309" s="2" t="s">
        <v>1225</v>
      </c>
      <c r="D1309" s="2" t="s">
        <v>1265</v>
      </c>
      <c r="E1309" s="3"/>
    </row>
    <row r="1310" spans="1:5" ht="24.75" customHeight="1">
      <c r="A1310" s="2">
        <v>1308</v>
      </c>
      <c r="B1310" s="2" t="str">
        <f>"郑啟睿"</f>
        <v>郑啟睿</v>
      </c>
      <c r="C1310" s="2" t="s">
        <v>1225</v>
      </c>
      <c r="D1310" s="2" t="s">
        <v>1266</v>
      </c>
      <c r="E1310" s="3"/>
    </row>
    <row r="1311" spans="1:5" ht="24.75" customHeight="1">
      <c r="A1311" s="2">
        <v>1309</v>
      </c>
      <c r="B1311" s="2" t="str">
        <f>"陈应选"</f>
        <v>陈应选</v>
      </c>
      <c r="C1311" s="2" t="s">
        <v>1225</v>
      </c>
      <c r="D1311" s="2" t="s">
        <v>1267</v>
      </c>
      <c r="E1311" s="3"/>
    </row>
    <row r="1312" spans="1:5" ht="24.75" customHeight="1">
      <c r="A1312" s="2">
        <v>1310</v>
      </c>
      <c r="B1312" s="2" t="str">
        <f>"王思凯"</f>
        <v>王思凯</v>
      </c>
      <c r="C1312" s="2" t="s">
        <v>1225</v>
      </c>
      <c r="D1312" s="2" t="s">
        <v>1268</v>
      </c>
      <c r="E1312" s="3"/>
    </row>
    <row r="1313" spans="1:5" ht="24.75" customHeight="1">
      <c r="A1313" s="2">
        <v>1311</v>
      </c>
      <c r="B1313" s="2" t="str">
        <f>"梁亚南"</f>
        <v>梁亚南</v>
      </c>
      <c r="C1313" s="2" t="s">
        <v>1225</v>
      </c>
      <c r="D1313" s="2" t="s">
        <v>1269</v>
      </c>
      <c r="E1313" s="3"/>
    </row>
    <row r="1314" spans="1:5" ht="24.75" customHeight="1">
      <c r="A1314" s="2">
        <v>1312</v>
      </c>
      <c r="B1314" s="2" t="str">
        <f>"刘帅"</f>
        <v>刘帅</v>
      </c>
      <c r="C1314" s="2" t="s">
        <v>1225</v>
      </c>
      <c r="D1314" s="2" t="s">
        <v>1270</v>
      </c>
      <c r="E1314" s="3"/>
    </row>
    <row r="1315" spans="1:5" ht="24.75" customHeight="1">
      <c r="A1315" s="2">
        <v>1313</v>
      </c>
      <c r="B1315" s="2" t="str">
        <f>"张臻"</f>
        <v>张臻</v>
      </c>
      <c r="C1315" s="2" t="s">
        <v>1225</v>
      </c>
      <c r="D1315" s="2" t="s">
        <v>1271</v>
      </c>
      <c r="E1315" s="3"/>
    </row>
    <row r="1316" spans="1:5" ht="24.75" customHeight="1">
      <c r="A1316" s="2">
        <v>1314</v>
      </c>
      <c r="B1316" s="2" t="str">
        <f>"黄锡文"</f>
        <v>黄锡文</v>
      </c>
      <c r="C1316" s="2" t="s">
        <v>1225</v>
      </c>
      <c r="D1316" s="2" t="s">
        <v>1272</v>
      </c>
      <c r="E1316" s="3"/>
    </row>
    <row r="1317" spans="1:5" ht="24.75" customHeight="1">
      <c r="A1317" s="2">
        <v>1315</v>
      </c>
      <c r="B1317" s="2" t="str">
        <f>"曾昭玮"</f>
        <v>曾昭玮</v>
      </c>
      <c r="C1317" s="2" t="s">
        <v>1225</v>
      </c>
      <c r="D1317" s="2" t="s">
        <v>1273</v>
      </c>
      <c r="E1317" s="3"/>
    </row>
    <row r="1318" spans="1:5" ht="24.75" customHeight="1">
      <c r="A1318" s="2">
        <v>1316</v>
      </c>
      <c r="B1318" s="2" t="str">
        <f>"符璐璐"</f>
        <v>符璐璐</v>
      </c>
      <c r="C1318" s="2" t="s">
        <v>1225</v>
      </c>
      <c r="D1318" s="2" t="s">
        <v>1274</v>
      </c>
      <c r="E1318" s="3"/>
    </row>
    <row r="1319" spans="1:5" ht="24.75" customHeight="1">
      <c r="A1319" s="2">
        <v>1317</v>
      </c>
      <c r="B1319" s="2" t="str">
        <f>"吴清笔"</f>
        <v>吴清笔</v>
      </c>
      <c r="C1319" s="2" t="s">
        <v>1225</v>
      </c>
      <c r="D1319" s="2" t="s">
        <v>1275</v>
      </c>
      <c r="E1319" s="3"/>
    </row>
    <row r="1320" spans="1:5" ht="24.75" customHeight="1">
      <c r="A1320" s="2">
        <v>1318</v>
      </c>
      <c r="B1320" s="2" t="str">
        <f>"邢益哨"</f>
        <v>邢益哨</v>
      </c>
      <c r="C1320" s="2" t="s">
        <v>1225</v>
      </c>
      <c r="D1320" s="2" t="s">
        <v>1276</v>
      </c>
      <c r="E1320" s="3"/>
    </row>
    <row r="1321" spans="1:5" ht="24.75" customHeight="1">
      <c r="A1321" s="2">
        <v>1319</v>
      </c>
      <c r="B1321" s="2" t="str">
        <f>"范虓肇"</f>
        <v>范虓肇</v>
      </c>
      <c r="C1321" s="2" t="s">
        <v>1225</v>
      </c>
      <c r="D1321" s="2" t="s">
        <v>1277</v>
      </c>
      <c r="E1321" s="3"/>
    </row>
    <row r="1322" spans="1:5" ht="24.75" customHeight="1">
      <c r="A1322" s="2">
        <v>1320</v>
      </c>
      <c r="B1322" s="2" t="str">
        <f>"赵晓宇"</f>
        <v>赵晓宇</v>
      </c>
      <c r="C1322" s="2" t="s">
        <v>1225</v>
      </c>
      <c r="D1322" s="2" t="s">
        <v>1278</v>
      </c>
      <c r="E1322" s="3"/>
    </row>
    <row r="1323" spans="1:5" ht="24.75" customHeight="1">
      <c r="A1323" s="2">
        <v>1321</v>
      </c>
      <c r="B1323" s="2" t="str">
        <f>"王中炳"</f>
        <v>王中炳</v>
      </c>
      <c r="C1323" s="2" t="s">
        <v>1225</v>
      </c>
      <c r="D1323" s="2" t="s">
        <v>1279</v>
      </c>
      <c r="E1323" s="3"/>
    </row>
    <row r="1324" spans="1:5" ht="24.75" customHeight="1">
      <c r="A1324" s="2">
        <v>1322</v>
      </c>
      <c r="B1324" s="2" t="str">
        <f>"吴武晋"</f>
        <v>吴武晋</v>
      </c>
      <c r="C1324" s="2" t="s">
        <v>1225</v>
      </c>
      <c r="D1324" s="2" t="s">
        <v>1280</v>
      </c>
      <c r="E1324" s="3"/>
    </row>
    <row r="1325" spans="1:5" ht="24.75" customHeight="1">
      <c r="A1325" s="2">
        <v>1323</v>
      </c>
      <c r="B1325" s="2" t="str">
        <f>"刘乙平"</f>
        <v>刘乙平</v>
      </c>
      <c r="C1325" s="2" t="s">
        <v>1225</v>
      </c>
      <c r="D1325" s="2" t="s">
        <v>1040</v>
      </c>
      <c r="E1325" s="3"/>
    </row>
    <row r="1326" spans="1:5" ht="24.75" customHeight="1">
      <c r="A1326" s="2">
        <v>1324</v>
      </c>
      <c r="B1326" s="2" t="str">
        <f>"韩行衍"</f>
        <v>韩行衍</v>
      </c>
      <c r="C1326" s="2" t="s">
        <v>1225</v>
      </c>
      <c r="D1326" s="2" t="s">
        <v>1281</v>
      </c>
      <c r="E1326" s="3"/>
    </row>
    <row r="1327" spans="1:5" ht="24.75" customHeight="1">
      <c r="A1327" s="2">
        <v>1325</v>
      </c>
      <c r="B1327" s="2" t="str">
        <f>"朱星宇"</f>
        <v>朱星宇</v>
      </c>
      <c r="C1327" s="2" t="s">
        <v>1225</v>
      </c>
      <c r="D1327" s="2" t="s">
        <v>1282</v>
      </c>
      <c r="E1327" s="3"/>
    </row>
    <row r="1328" spans="1:5" ht="24.75" customHeight="1">
      <c r="A1328" s="2">
        <v>1326</v>
      </c>
      <c r="B1328" s="2" t="str">
        <f>"吴清俊"</f>
        <v>吴清俊</v>
      </c>
      <c r="C1328" s="2" t="s">
        <v>1225</v>
      </c>
      <c r="D1328" s="2" t="s">
        <v>1283</v>
      </c>
      <c r="E1328" s="3"/>
    </row>
    <row r="1329" spans="1:5" ht="24.75" customHeight="1">
      <c r="A1329" s="2">
        <v>1327</v>
      </c>
      <c r="B1329" s="2" t="str">
        <f>"王珩宇"</f>
        <v>王珩宇</v>
      </c>
      <c r="C1329" s="2" t="s">
        <v>1225</v>
      </c>
      <c r="D1329" s="2" t="s">
        <v>1284</v>
      </c>
      <c r="E1329" s="3"/>
    </row>
    <row r="1330" spans="1:5" ht="24.75" customHeight="1">
      <c r="A1330" s="2">
        <v>1328</v>
      </c>
      <c r="B1330" s="2" t="str">
        <f>"黎俊雅"</f>
        <v>黎俊雅</v>
      </c>
      <c r="C1330" s="2" t="s">
        <v>1225</v>
      </c>
      <c r="D1330" s="2" t="s">
        <v>1285</v>
      </c>
      <c r="E1330" s="3"/>
    </row>
    <row r="1331" spans="1:5" ht="24.75" customHeight="1">
      <c r="A1331" s="2">
        <v>1329</v>
      </c>
      <c r="B1331" s="2" t="str">
        <f>"李运康"</f>
        <v>李运康</v>
      </c>
      <c r="C1331" s="2" t="s">
        <v>1225</v>
      </c>
      <c r="D1331" s="2" t="s">
        <v>1286</v>
      </c>
      <c r="E1331" s="3"/>
    </row>
    <row r="1332" spans="1:5" ht="24.75" customHeight="1">
      <c r="A1332" s="2">
        <v>1330</v>
      </c>
      <c r="B1332" s="2" t="str">
        <f>"冼煜棋"</f>
        <v>冼煜棋</v>
      </c>
      <c r="C1332" s="2" t="s">
        <v>1225</v>
      </c>
      <c r="D1332" s="2" t="s">
        <v>1287</v>
      </c>
      <c r="E1332" s="3"/>
    </row>
    <row r="1333" spans="1:5" ht="24.75" customHeight="1">
      <c r="A1333" s="2">
        <v>1331</v>
      </c>
      <c r="B1333" s="2" t="str">
        <f>"李秀来"</f>
        <v>李秀来</v>
      </c>
      <c r="C1333" s="2" t="s">
        <v>1225</v>
      </c>
      <c r="D1333" s="2" t="s">
        <v>1288</v>
      </c>
      <c r="E1333" s="3"/>
    </row>
    <row r="1334" spans="1:5" ht="24.75" customHeight="1">
      <c r="A1334" s="2">
        <v>1332</v>
      </c>
      <c r="B1334" s="2" t="str">
        <f>"张艺"</f>
        <v>张艺</v>
      </c>
      <c r="C1334" s="2" t="s">
        <v>1225</v>
      </c>
      <c r="D1334" s="2" t="s">
        <v>1289</v>
      </c>
      <c r="E1334" s="3"/>
    </row>
    <row r="1335" spans="1:5" ht="24.75" customHeight="1">
      <c r="A1335" s="2">
        <v>1333</v>
      </c>
      <c r="B1335" s="2" t="str">
        <f>"刘慧"</f>
        <v>刘慧</v>
      </c>
      <c r="C1335" s="2" t="s">
        <v>1225</v>
      </c>
      <c r="D1335" s="2" t="s">
        <v>1290</v>
      </c>
      <c r="E1335" s="3"/>
    </row>
    <row r="1336" spans="1:5" ht="24.75" customHeight="1">
      <c r="A1336" s="2">
        <v>1334</v>
      </c>
      <c r="B1336" s="2" t="str">
        <f>"王运盛"</f>
        <v>王运盛</v>
      </c>
      <c r="C1336" s="2" t="s">
        <v>1225</v>
      </c>
      <c r="D1336" s="2" t="s">
        <v>1291</v>
      </c>
      <c r="E1336" s="3"/>
    </row>
    <row r="1337" spans="1:5" ht="24.75" customHeight="1">
      <c r="A1337" s="2">
        <v>1335</v>
      </c>
      <c r="B1337" s="2" t="str">
        <f>"王凯"</f>
        <v>王凯</v>
      </c>
      <c r="C1337" s="2" t="s">
        <v>1225</v>
      </c>
      <c r="D1337" s="2" t="s">
        <v>1292</v>
      </c>
      <c r="E1337" s="3"/>
    </row>
    <row r="1338" spans="1:5" ht="24.75" customHeight="1">
      <c r="A1338" s="2">
        <v>1336</v>
      </c>
      <c r="B1338" s="2" t="str">
        <f>"王才泽"</f>
        <v>王才泽</v>
      </c>
      <c r="C1338" s="2" t="s">
        <v>1225</v>
      </c>
      <c r="D1338" s="2" t="s">
        <v>1293</v>
      </c>
      <c r="E1338" s="3"/>
    </row>
    <row r="1339" spans="1:5" ht="24.75" customHeight="1">
      <c r="A1339" s="2">
        <v>1337</v>
      </c>
      <c r="B1339" s="2" t="str">
        <f>"苏小鹏"</f>
        <v>苏小鹏</v>
      </c>
      <c r="C1339" s="2" t="s">
        <v>1225</v>
      </c>
      <c r="D1339" s="2" t="s">
        <v>421</v>
      </c>
      <c r="E1339" s="3"/>
    </row>
    <row r="1340" spans="1:5" ht="24.75" customHeight="1">
      <c r="A1340" s="2">
        <v>1338</v>
      </c>
      <c r="B1340" s="2" t="str">
        <f>"文万斌"</f>
        <v>文万斌</v>
      </c>
      <c r="C1340" s="2" t="s">
        <v>1225</v>
      </c>
      <c r="D1340" s="2" t="s">
        <v>1294</v>
      </c>
      <c r="E1340" s="3"/>
    </row>
    <row r="1341" spans="1:5" ht="24.75" customHeight="1">
      <c r="A1341" s="2">
        <v>1339</v>
      </c>
      <c r="B1341" s="2" t="str">
        <f>"黄昊天"</f>
        <v>黄昊天</v>
      </c>
      <c r="C1341" s="2" t="s">
        <v>1225</v>
      </c>
      <c r="D1341" s="2" t="s">
        <v>1295</v>
      </c>
      <c r="E1341" s="3"/>
    </row>
    <row r="1342" spans="1:5" ht="24.75" customHeight="1">
      <c r="A1342" s="2">
        <v>1340</v>
      </c>
      <c r="B1342" s="2" t="str">
        <f>"陈茜"</f>
        <v>陈茜</v>
      </c>
      <c r="C1342" s="2" t="s">
        <v>1225</v>
      </c>
      <c r="D1342" s="2" t="s">
        <v>1296</v>
      </c>
      <c r="E1342" s="3"/>
    </row>
    <row r="1343" spans="1:5" ht="24.75" customHeight="1">
      <c r="A1343" s="2">
        <v>1341</v>
      </c>
      <c r="B1343" s="2" t="str">
        <f>"刘瑞婷"</f>
        <v>刘瑞婷</v>
      </c>
      <c r="C1343" s="2" t="s">
        <v>1225</v>
      </c>
      <c r="D1343" s="2" t="s">
        <v>1297</v>
      </c>
      <c r="E1343" s="3"/>
    </row>
    <row r="1344" spans="1:5" ht="24.75" customHeight="1">
      <c r="A1344" s="2">
        <v>1342</v>
      </c>
      <c r="B1344" s="2" t="str">
        <f>"黄富绅"</f>
        <v>黄富绅</v>
      </c>
      <c r="C1344" s="2" t="s">
        <v>1225</v>
      </c>
      <c r="D1344" s="2" t="s">
        <v>1298</v>
      </c>
      <c r="E1344" s="3"/>
    </row>
    <row r="1345" spans="1:5" ht="24.75" customHeight="1">
      <c r="A1345" s="2">
        <v>1343</v>
      </c>
      <c r="B1345" s="2" t="str">
        <f>"王秋花"</f>
        <v>王秋花</v>
      </c>
      <c r="C1345" s="2" t="s">
        <v>1225</v>
      </c>
      <c r="D1345" s="2" t="s">
        <v>1299</v>
      </c>
      <c r="E1345" s="3"/>
    </row>
    <row r="1346" spans="1:5" ht="24.75" customHeight="1">
      <c r="A1346" s="2">
        <v>1344</v>
      </c>
      <c r="B1346" s="2" t="str">
        <f>"汤可芳"</f>
        <v>汤可芳</v>
      </c>
      <c r="C1346" s="2" t="s">
        <v>1225</v>
      </c>
      <c r="D1346" s="2" t="s">
        <v>1300</v>
      </c>
      <c r="E1346" s="3"/>
    </row>
    <row r="1347" spans="1:5" ht="24.75" customHeight="1">
      <c r="A1347" s="2">
        <v>1345</v>
      </c>
      <c r="B1347" s="2" t="str">
        <f>"陈耀彬"</f>
        <v>陈耀彬</v>
      </c>
      <c r="C1347" s="2" t="s">
        <v>1225</v>
      </c>
      <c r="D1347" s="2" t="s">
        <v>1301</v>
      </c>
      <c r="E1347" s="3"/>
    </row>
    <row r="1348" spans="1:5" ht="24.75" customHeight="1">
      <c r="A1348" s="2">
        <v>1346</v>
      </c>
      <c r="B1348" s="2" t="str">
        <f>"吴树卫"</f>
        <v>吴树卫</v>
      </c>
      <c r="C1348" s="2" t="s">
        <v>1225</v>
      </c>
      <c r="D1348" s="2" t="s">
        <v>1302</v>
      </c>
      <c r="E1348" s="3"/>
    </row>
    <row r="1349" spans="1:5" ht="24.75" customHeight="1">
      <c r="A1349" s="2">
        <v>1347</v>
      </c>
      <c r="B1349" s="2" t="str">
        <f>"陈辉城"</f>
        <v>陈辉城</v>
      </c>
      <c r="C1349" s="2" t="s">
        <v>1225</v>
      </c>
      <c r="D1349" s="2" t="s">
        <v>1303</v>
      </c>
      <c r="E1349" s="3"/>
    </row>
    <row r="1350" spans="1:5" ht="24.75" customHeight="1">
      <c r="A1350" s="2">
        <v>1348</v>
      </c>
      <c r="B1350" s="2" t="str">
        <f>"张鹏远"</f>
        <v>张鹏远</v>
      </c>
      <c r="C1350" s="2" t="s">
        <v>1225</v>
      </c>
      <c r="D1350" s="2" t="s">
        <v>1304</v>
      </c>
      <c r="E1350" s="3"/>
    </row>
    <row r="1351" spans="1:5" ht="24.75" customHeight="1">
      <c r="A1351" s="2">
        <v>1349</v>
      </c>
      <c r="B1351" s="2" t="str">
        <f>"莫思阳"</f>
        <v>莫思阳</v>
      </c>
      <c r="C1351" s="2" t="s">
        <v>1225</v>
      </c>
      <c r="D1351" s="2" t="s">
        <v>1305</v>
      </c>
      <c r="E1351" s="3"/>
    </row>
    <row r="1352" spans="1:5" ht="24.75" customHeight="1">
      <c r="A1352" s="2">
        <v>1350</v>
      </c>
      <c r="B1352" s="2" t="str">
        <f>"魏巍"</f>
        <v>魏巍</v>
      </c>
      <c r="C1352" s="2" t="s">
        <v>1225</v>
      </c>
      <c r="D1352" s="2" t="s">
        <v>1306</v>
      </c>
      <c r="E1352" s="3"/>
    </row>
    <row r="1353" spans="1:5" ht="24.75" customHeight="1">
      <c r="A1353" s="2">
        <v>1351</v>
      </c>
      <c r="B1353" s="2" t="str">
        <f>"林斯香"</f>
        <v>林斯香</v>
      </c>
      <c r="C1353" s="2" t="s">
        <v>1225</v>
      </c>
      <c r="D1353" s="2" t="s">
        <v>1307</v>
      </c>
      <c r="E1353" s="3"/>
    </row>
    <row r="1354" spans="1:5" ht="24.75" customHeight="1">
      <c r="A1354" s="2">
        <v>1352</v>
      </c>
      <c r="B1354" s="2" t="str">
        <f>"姚程耀"</f>
        <v>姚程耀</v>
      </c>
      <c r="C1354" s="2" t="s">
        <v>1225</v>
      </c>
      <c r="D1354" s="2" t="s">
        <v>1308</v>
      </c>
      <c r="E1354" s="3"/>
    </row>
    <row r="1355" spans="1:5" ht="24.75" customHeight="1">
      <c r="A1355" s="2">
        <v>1353</v>
      </c>
      <c r="B1355" s="2" t="str">
        <f>"陈奕源"</f>
        <v>陈奕源</v>
      </c>
      <c r="C1355" s="2" t="s">
        <v>1225</v>
      </c>
      <c r="D1355" s="2" t="s">
        <v>1309</v>
      </c>
      <c r="E1355" s="3"/>
    </row>
    <row r="1356" spans="1:5" ht="24.75" customHeight="1">
      <c r="A1356" s="2">
        <v>1354</v>
      </c>
      <c r="B1356" s="2" t="str">
        <f>"曾德锐"</f>
        <v>曾德锐</v>
      </c>
      <c r="C1356" s="2" t="s">
        <v>1225</v>
      </c>
      <c r="D1356" s="2" t="s">
        <v>1310</v>
      </c>
      <c r="E1356" s="3"/>
    </row>
    <row r="1357" spans="1:5" ht="24.75" customHeight="1">
      <c r="A1357" s="2">
        <v>1355</v>
      </c>
      <c r="B1357" s="2" t="str">
        <f>"许环伟"</f>
        <v>许环伟</v>
      </c>
      <c r="C1357" s="2" t="s">
        <v>1225</v>
      </c>
      <c r="D1357" s="2" t="s">
        <v>1311</v>
      </c>
      <c r="E1357" s="3"/>
    </row>
    <row r="1358" spans="1:5" ht="24.75" customHeight="1">
      <c r="A1358" s="2">
        <v>1356</v>
      </c>
      <c r="B1358" s="2" t="str">
        <f>"朱婉青"</f>
        <v>朱婉青</v>
      </c>
      <c r="C1358" s="2" t="s">
        <v>1225</v>
      </c>
      <c r="D1358" s="2" t="s">
        <v>1312</v>
      </c>
      <c r="E1358" s="3"/>
    </row>
    <row r="1359" spans="1:5" ht="24.75" customHeight="1">
      <c r="A1359" s="2">
        <v>1357</v>
      </c>
      <c r="B1359" s="2" t="str">
        <f>"郑然丽"</f>
        <v>郑然丽</v>
      </c>
      <c r="C1359" s="2" t="s">
        <v>1225</v>
      </c>
      <c r="D1359" s="2" t="s">
        <v>1313</v>
      </c>
      <c r="E1359" s="3"/>
    </row>
    <row r="1360" spans="1:5" ht="24.75" customHeight="1">
      <c r="A1360" s="2">
        <v>1358</v>
      </c>
      <c r="B1360" s="2" t="str">
        <f>"潘名芳"</f>
        <v>潘名芳</v>
      </c>
      <c r="C1360" s="2" t="s">
        <v>1225</v>
      </c>
      <c r="D1360" s="2" t="s">
        <v>1314</v>
      </c>
      <c r="E1360" s="3"/>
    </row>
    <row r="1361" spans="1:5" ht="24.75" customHeight="1">
      <c r="A1361" s="2">
        <v>1359</v>
      </c>
      <c r="B1361" s="2" t="str">
        <f>"韩景扬"</f>
        <v>韩景扬</v>
      </c>
      <c r="C1361" s="2" t="s">
        <v>1225</v>
      </c>
      <c r="D1361" s="2" t="s">
        <v>1315</v>
      </c>
      <c r="E1361" s="3"/>
    </row>
    <row r="1362" spans="1:5" ht="24.75" customHeight="1">
      <c r="A1362" s="2">
        <v>1360</v>
      </c>
      <c r="B1362" s="2" t="str">
        <f>"王丽媚"</f>
        <v>王丽媚</v>
      </c>
      <c r="C1362" s="2" t="s">
        <v>1225</v>
      </c>
      <c r="D1362" s="2" t="s">
        <v>1316</v>
      </c>
      <c r="E1362" s="3"/>
    </row>
    <row r="1363" spans="1:5" ht="24.75" customHeight="1">
      <c r="A1363" s="2">
        <v>1361</v>
      </c>
      <c r="B1363" s="2" t="str">
        <f>"李贵锦"</f>
        <v>李贵锦</v>
      </c>
      <c r="C1363" s="2" t="s">
        <v>1225</v>
      </c>
      <c r="D1363" s="2" t="s">
        <v>1317</v>
      </c>
      <c r="E1363" s="3"/>
    </row>
    <row r="1364" spans="1:5" ht="24.75" customHeight="1">
      <c r="A1364" s="2">
        <v>1362</v>
      </c>
      <c r="B1364" s="2" t="str">
        <f>"唐才鹏"</f>
        <v>唐才鹏</v>
      </c>
      <c r="C1364" s="2" t="s">
        <v>1225</v>
      </c>
      <c r="D1364" s="2" t="s">
        <v>1318</v>
      </c>
      <c r="E1364" s="3"/>
    </row>
    <row r="1365" spans="1:5" ht="24.75" customHeight="1">
      <c r="A1365" s="2">
        <v>1363</v>
      </c>
      <c r="B1365" s="2" t="str">
        <f>"王科锐"</f>
        <v>王科锐</v>
      </c>
      <c r="C1365" s="2" t="s">
        <v>1225</v>
      </c>
      <c r="D1365" s="2" t="s">
        <v>1319</v>
      </c>
      <c r="E1365" s="3"/>
    </row>
    <row r="1366" spans="1:5" ht="24.75" customHeight="1">
      <c r="A1366" s="2">
        <v>1364</v>
      </c>
      <c r="B1366" s="2" t="str">
        <f>"王少玉"</f>
        <v>王少玉</v>
      </c>
      <c r="C1366" s="2" t="s">
        <v>1225</v>
      </c>
      <c r="D1366" s="2" t="s">
        <v>1320</v>
      </c>
      <c r="E1366" s="3"/>
    </row>
    <row r="1367" spans="1:5" ht="24.75" customHeight="1">
      <c r="A1367" s="2">
        <v>1365</v>
      </c>
      <c r="B1367" s="2" t="str">
        <f>"陈雪莲"</f>
        <v>陈雪莲</v>
      </c>
      <c r="C1367" s="2" t="s">
        <v>1225</v>
      </c>
      <c r="D1367" s="2" t="s">
        <v>1321</v>
      </c>
      <c r="E1367" s="3"/>
    </row>
    <row r="1368" spans="1:5" ht="24.75" customHeight="1">
      <c r="A1368" s="2">
        <v>1366</v>
      </c>
      <c r="B1368" s="2" t="str">
        <f>"潘美佳"</f>
        <v>潘美佳</v>
      </c>
      <c r="C1368" s="2" t="s">
        <v>1225</v>
      </c>
      <c r="D1368" s="2" t="s">
        <v>1322</v>
      </c>
      <c r="E1368" s="3"/>
    </row>
    <row r="1369" spans="1:5" ht="24.75" customHeight="1">
      <c r="A1369" s="2">
        <v>1367</v>
      </c>
      <c r="B1369" s="2" t="str">
        <f>"冯颖"</f>
        <v>冯颖</v>
      </c>
      <c r="C1369" s="2" t="s">
        <v>1225</v>
      </c>
      <c r="D1369" s="2" t="s">
        <v>1323</v>
      </c>
      <c r="E1369" s="3"/>
    </row>
    <row r="1370" spans="1:5" ht="24.75" customHeight="1">
      <c r="A1370" s="2">
        <v>1368</v>
      </c>
      <c r="B1370" s="2" t="str">
        <f>"王子林"</f>
        <v>王子林</v>
      </c>
      <c r="C1370" s="2" t="s">
        <v>1225</v>
      </c>
      <c r="D1370" s="2" t="s">
        <v>1324</v>
      </c>
      <c r="E1370" s="3"/>
    </row>
    <row r="1371" spans="1:5" ht="24.75" customHeight="1">
      <c r="A1371" s="2">
        <v>1369</v>
      </c>
      <c r="B1371" s="2" t="str">
        <f>"钟秋霞"</f>
        <v>钟秋霞</v>
      </c>
      <c r="C1371" s="2" t="s">
        <v>1225</v>
      </c>
      <c r="D1371" s="2" t="s">
        <v>1325</v>
      </c>
      <c r="E1371" s="3"/>
    </row>
    <row r="1372" spans="1:5" ht="24.75" customHeight="1">
      <c r="A1372" s="2">
        <v>1370</v>
      </c>
      <c r="B1372" s="2" t="str">
        <f>"曾德富"</f>
        <v>曾德富</v>
      </c>
      <c r="C1372" s="2" t="s">
        <v>1225</v>
      </c>
      <c r="D1372" s="2" t="s">
        <v>1326</v>
      </c>
      <c r="E1372" s="3"/>
    </row>
    <row r="1373" spans="1:5" ht="24.75" customHeight="1">
      <c r="A1373" s="2">
        <v>1371</v>
      </c>
      <c r="B1373" s="2" t="str">
        <f>"李仕令"</f>
        <v>李仕令</v>
      </c>
      <c r="C1373" s="2" t="s">
        <v>1225</v>
      </c>
      <c r="D1373" s="2" t="s">
        <v>1327</v>
      </c>
      <c r="E1373" s="3"/>
    </row>
    <row r="1374" spans="1:5" ht="24.75" customHeight="1">
      <c r="A1374" s="2">
        <v>1372</v>
      </c>
      <c r="B1374" s="2" t="str">
        <f>"孙靖璐"</f>
        <v>孙靖璐</v>
      </c>
      <c r="C1374" s="2" t="s">
        <v>1225</v>
      </c>
      <c r="D1374" s="2" t="s">
        <v>1328</v>
      </c>
      <c r="E1374" s="3"/>
    </row>
    <row r="1375" spans="1:5" ht="24.75" customHeight="1">
      <c r="A1375" s="2">
        <v>1373</v>
      </c>
      <c r="B1375" s="2" t="str">
        <f>"吉才凯"</f>
        <v>吉才凯</v>
      </c>
      <c r="C1375" s="2" t="s">
        <v>1329</v>
      </c>
      <c r="D1375" s="2" t="s">
        <v>1330</v>
      </c>
      <c r="E1375" s="3"/>
    </row>
    <row r="1376" spans="1:5" ht="24.75" customHeight="1">
      <c r="A1376" s="2">
        <v>1374</v>
      </c>
      <c r="B1376" s="2" t="str">
        <f>"温长鹏"</f>
        <v>温长鹏</v>
      </c>
      <c r="C1376" s="2" t="s">
        <v>1329</v>
      </c>
      <c r="D1376" s="2" t="s">
        <v>1331</v>
      </c>
      <c r="E1376" s="3"/>
    </row>
    <row r="1377" spans="1:5" ht="24.75" customHeight="1">
      <c r="A1377" s="2">
        <v>1375</v>
      </c>
      <c r="B1377" s="2" t="str">
        <f>"黄恒贵"</f>
        <v>黄恒贵</v>
      </c>
      <c r="C1377" s="2" t="s">
        <v>1329</v>
      </c>
      <c r="D1377" s="2" t="s">
        <v>1332</v>
      </c>
      <c r="E1377" s="3"/>
    </row>
    <row r="1378" spans="1:5" ht="24.75" customHeight="1">
      <c r="A1378" s="2">
        <v>1376</v>
      </c>
      <c r="B1378" s="2" t="str">
        <f>"曾燕霜"</f>
        <v>曾燕霜</v>
      </c>
      <c r="C1378" s="2" t="s">
        <v>1329</v>
      </c>
      <c r="D1378" s="2" t="s">
        <v>1333</v>
      </c>
      <c r="E1378" s="3"/>
    </row>
    <row r="1379" spans="1:5" ht="24.75" customHeight="1">
      <c r="A1379" s="2">
        <v>1377</v>
      </c>
      <c r="B1379" s="2" t="str">
        <f>"罗俏鹏"</f>
        <v>罗俏鹏</v>
      </c>
      <c r="C1379" s="2" t="s">
        <v>1329</v>
      </c>
      <c r="D1379" s="2" t="s">
        <v>1334</v>
      </c>
      <c r="E1379" s="3"/>
    </row>
    <row r="1380" spans="1:5" ht="24.75" customHeight="1">
      <c r="A1380" s="2">
        <v>1378</v>
      </c>
      <c r="B1380" s="2" t="str">
        <f>"刘学传"</f>
        <v>刘学传</v>
      </c>
      <c r="C1380" s="2" t="s">
        <v>1329</v>
      </c>
      <c r="D1380" s="2" t="s">
        <v>1335</v>
      </c>
      <c r="E1380" s="3"/>
    </row>
    <row r="1381" spans="1:5" ht="24.75" customHeight="1">
      <c r="A1381" s="2">
        <v>1379</v>
      </c>
      <c r="B1381" s="2" t="str">
        <f>"吴淑斌"</f>
        <v>吴淑斌</v>
      </c>
      <c r="C1381" s="2" t="s">
        <v>1329</v>
      </c>
      <c r="D1381" s="2" t="s">
        <v>1336</v>
      </c>
      <c r="E1381" s="3"/>
    </row>
    <row r="1382" spans="1:5" ht="24.75" customHeight="1">
      <c r="A1382" s="2">
        <v>1380</v>
      </c>
      <c r="B1382" s="2" t="str">
        <f>"符蔓菁"</f>
        <v>符蔓菁</v>
      </c>
      <c r="C1382" s="2" t="s">
        <v>1329</v>
      </c>
      <c r="D1382" s="2" t="s">
        <v>1337</v>
      </c>
      <c r="E1382" s="3"/>
    </row>
    <row r="1383" spans="1:5" ht="24.75" customHeight="1">
      <c r="A1383" s="2">
        <v>1381</v>
      </c>
      <c r="B1383" s="2" t="str">
        <f>"许升义"</f>
        <v>许升义</v>
      </c>
      <c r="C1383" s="2" t="s">
        <v>1329</v>
      </c>
      <c r="D1383" s="2" t="s">
        <v>1338</v>
      </c>
      <c r="E1383" s="3"/>
    </row>
    <row r="1384" spans="1:5" ht="24.75" customHeight="1">
      <c r="A1384" s="2">
        <v>1382</v>
      </c>
      <c r="B1384" s="2" t="str">
        <f>"董孝文"</f>
        <v>董孝文</v>
      </c>
      <c r="C1384" s="2" t="s">
        <v>1329</v>
      </c>
      <c r="D1384" s="2" t="s">
        <v>1339</v>
      </c>
      <c r="E1384" s="3"/>
    </row>
    <row r="1385" spans="1:5" ht="24.75" customHeight="1">
      <c r="A1385" s="2">
        <v>1383</v>
      </c>
      <c r="B1385" s="2" t="str">
        <f>"李程"</f>
        <v>李程</v>
      </c>
      <c r="C1385" s="2" t="s">
        <v>1329</v>
      </c>
      <c r="D1385" s="2" t="s">
        <v>1340</v>
      </c>
      <c r="E1385" s="3"/>
    </row>
    <row r="1386" spans="1:5" ht="24.75" customHeight="1">
      <c r="A1386" s="2">
        <v>1384</v>
      </c>
      <c r="B1386" s="2" t="str">
        <f>"叶富健"</f>
        <v>叶富健</v>
      </c>
      <c r="C1386" s="2" t="s">
        <v>1329</v>
      </c>
      <c r="D1386" s="2" t="s">
        <v>1341</v>
      </c>
      <c r="E1386" s="3"/>
    </row>
    <row r="1387" spans="1:5" ht="24.75" customHeight="1">
      <c r="A1387" s="2">
        <v>1385</v>
      </c>
      <c r="B1387" s="2" t="str">
        <f>"石珊珊"</f>
        <v>石珊珊</v>
      </c>
      <c r="C1387" s="2" t="s">
        <v>1329</v>
      </c>
      <c r="D1387" s="2" t="s">
        <v>1342</v>
      </c>
      <c r="E1387" s="3"/>
    </row>
    <row r="1388" spans="1:5" ht="24.75" customHeight="1">
      <c r="A1388" s="2">
        <v>1386</v>
      </c>
      <c r="B1388" s="2" t="str">
        <f>"王祖全"</f>
        <v>王祖全</v>
      </c>
      <c r="C1388" s="2" t="s">
        <v>1329</v>
      </c>
      <c r="D1388" s="2" t="s">
        <v>1343</v>
      </c>
      <c r="E1388" s="3"/>
    </row>
    <row r="1389" spans="1:5" ht="24.75" customHeight="1">
      <c r="A1389" s="2">
        <v>1387</v>
      </c>
      <c r="B1389" s="2" t="str">
        <f>"韩一申"</f>
        <v>韩一申</v>
      </c>
      <c r="C1389" s="2" t="s">
        <v>1329</v>
      </c>
      <c r="D1389" s="2" t="s">
        <v>1344</v>
      </c>
      <c r="E1389" s="3"/>
    </row>
    <row r="1390" spans="1:5" ht="24.75" customHeight="1">
      <c r="A1390" s="2">
        <v>1388</v>
      </c>
      <c r="B1390" s="2" t="str">
        <f>"高元昌"</f>
        <v>高元昌</v>
      </c>
      <c r="C1390" s="2" t="s">
        <v>1329</v>
      </c>
      <c r="D1390" s="2" t="s">
        <v>1345</v>
      </c>
      <c r="E1390" s="3"/>
    </row>
    <row r="1391" spans="1:5" ht="24.75" customHeight="1">
      <c r="A1391" s="2">
        <v>1389</v>
      </c>
      <c r="B1391" s="2" t="str">
        <f>"杨越"</f>
        <v>杨越</v>
      </c>
      <c r="C1391" s="2" t="s">
        <v>1329</v>
      </c>
      <c r="D1391" s="2" t="s">
        <v>1346</v>
      </c>
      <c r="E1391" s="3"/>
    </row>
    <row r="1392" spans="1:5" ht="24.75" customHeight="1">
      <c r="A1392" s="2">
        <v>1390</v>
      </c>
      <c r="B1392" s="2" t="str">
        <f>"蔡夫悦"</f>
        <v>蔡夫悦</v>
      </c>
      <c r="C1392" s="2" t="s">
        <v>1329</v>
      </c>
      <c r="D1392" s="2" t="s">
        <v>1347</v>
      </c>
      <c r="E1392" s="3"/>
    </row>
    <row r="1393" spans="1:5" ht="24.75" customHeight="1">
      <c r="A1393" s="2">
        <v>1391</v>
      </c>
      <c r="B1393" s="2" t="str">
        <f>"赫丹阳"</f>
        <v>赫丹阳</v>
      </c>
      <c r="C1393" s="2" t="s">
        <v>1329</v>
      </c>
      <c r="D1393" s="2" t="s">
        <v>1348</v>
      </c>
      <c r="E1393" s="3"/>
    </row>
    <row r="1394" spans="1:5" ht="24.75" customHeight="1">
      <c r="A1394" s="2">
        <v>1392</v>
      </c>
      <c r="B1394" s="2" t="str">
        <f>"杨竣淏"</f>
        <v>杨竣淏</v>
      </c>
      <c r="C1394" s="2" t="s">
        <v>1329</v>
      </c>
      <c r="D1394" s="2" t="s">
        <v>1349</v>
      </c>
      <c r="E1394" s="3"/>
    </row>
    <row r="1395" spans="1:5" ht="24.75" customHeight="1">
      <c r="A1395" s="2">
        <v>1393</v>
      </c>
      <c r="B1395" s="2" t="str">
        <f>"卢裕东"</f>
        <v>卢裕东</v>
      </c>
      <c r="C1395" s="2" t="s">
        <v>1329</v>
      </c>
      <c r="D1395" s="2" t="s">
        <v>1350</v>
      </c>
      <c r="E1395" s="3"/>
    </row>
    <row r="1396" spans="1:5" ht="24.75" customHeight="1">
      <c r="A1396" s="2">
        <v>1394</v>
      </c>
      <c r="B1396" s="2" t="str">
        <f>"陈明圆"</f>
        <v>陈明圆</v>
      </c>
      <c r="C1396" s="2" t="s">
        <v>1329</v>
      </c>
      <c r="D1396" s="2" t="s">
        <v>1351</v>
      </c>
      <c r="E1396" s="3"/>
    </row>
    <row r="1397" spans="1:5" ht="24.75" customHeight="1">
      <c r="A1397" s="2">
        <v>1395</v>
      </c>
      <c r="B1397" s="2" t="str">
        <f>"符兰艳"</f>
        <v>符兰艳</v>
      </c>
      <c r="C1397" s="2" t="s">
        <v>1329</v>
      </c>
      <c r="D1397" s="2" t="s">
        <v>1352</v>
      </c>
      <c r="E1397" s="3"/>
    </row>
    <row r="1398" spans="1:5" ht="24.75" customHeight="1">
      <c r="A1398" s="2">
        <v>1396</v>
      </c>
      <c r="B1398" s="2" t="str">
        <f>"王晓婷"</f>
        <v>王晓婷</v>
      </c>
      <c r="C1398" s="2" t="s">
        <v>1329</v>
      </c>
      <c r="D1398" s="2" t="s">
        <v>1353</v>
      </c>
      <c r="E1398" s="3"/>
    </row>
    <row r="1399" spans="1:5" ht="24.75" customHeight="1">
      <c r="A1399" s="2">
        <v>1397</v>
      </c>
      <c r="B1399" s="2" t="str">
        <f>"黄思"</f>
        <v>黄思</v>
      </c>
      <c r="C1399" s="2" t="s">
        <v>1329</v>
      </c>
      <c r="D1399" s="2" t="s">
        <v>1354</v>
      </c>
      <c r="E1399" s="3"/>
    </row>
    <row r="1400" spans="1:5" ht="24.75" customHeight="1">
      <c r="A1400" s="2">
        <v>1398</v>
      </c>
      <c r="B1400" s="2" t="str">
        <f>"徐宗凌"</f>
        <v>徐宗凌</v>
      </c>
      <c r="C1400" s="2" t="s">
        <v>1329</v>
      </c>
      <c r="D1400" s="2" t="s">
        <v>1355</v>
      </c>
      <c r="E1400" s="3"/>
    </row>
    <row r="1401" spans="1:5" ht="24.75" customHeight="1">
      <c r="A1401" s="2">
        <v>1399</v>
      </c>
      <c r="B1401" s="2" t="str">
        <f>"符特铭"</f>
        <v>符特铭</v>
      </c>
      <c r="C1401" s="2" t="s">
        <v>1329</v>
      </c>
      <c r="D1401" s="2" t="s">
        <v>840</v>
      </c>
      <c r="E1401" s="3"/>
    </row>
    <row r="1402" spans="1:5" ht="24.75" customHeight="1">
      <c r="A1402" s="2">
        <v>1400</v>
      </c>
      <c r="B1402" s="2" t="str">
        <f>"张捷"</f>
        <v>张捷</v>
      </c>
      <c r="C1402" s="2" t="s">
        <v>1329</v>
      </c>
      <c r="D1402" s="2" t="s">
        <v>48</v>
      </c>
      <c r="E1402" s="3"/>
    </row>
    <row r="1403" spans="1:5" ht="24.75" customHeight="1">
      <c r="A1403" s="2">
        <v>1401</v>
      </c>
      <c r="B1403" s="2" t="str">
        <f>"陈梦怡"</f>
        <v>陈梦怡</v>
      </c>
      <c r="C1403" s="2" t="s">
        <v>1329</v>
      </c>
      <c r="D1403" s="2" t="s">
        <v>1356</v>
      </c>
      <c r="E1403" s="3"/>
    </row>
    <row r="1404" spans="1:5" ht="24.75" customHeight="1">
      <c r="A1404" s="2">
        <v>1402</v>
      </c>
      <c r="B1404" s="2" t="str">
        <f>"林远珍"</f>
        <v>林远珍</v>
      </c>
      <c r="C1404" s="2" t="s">
        <v>1329</v>
      </c>
      <c r="D1404" s="2" t="s">
        <v>1357</v>
      </c>
      <c r="E1404" s="3"/>
    </row>
    <row r="1405" spans="1:5" ht="24.75" customHeight="1">
      <c r="A1405" s="2">
        <v>1403</v>
      </c>
      <c r="B1405" s="2" t="str">
        <f>"汤桓"</f>
        <v>汤桓</v>
      </c>
      <c r="C1405" s="2" t="s">
        <v>1329</v>
      </c>
      <c r="D1405" s="2" t="s">
        <v>1358</v>
      </c>
      <c r="E1405" s="3"/>
    </row>
    <row r="1406" spans="1:5" ht="24.75" customHeight="1">
      <c r="A1406" s="2">
        <v>1404</v>
      </c>
      <c r="B1406" s="2" t="str">
        <f>"黄浩昇"</f>
        <v>黄浩昇</v>
      </c>
      <c r="C1406" s="2" t="s">
        <v>1329</v>
      </c>
      <c r="D1406" s="2" t="s">
        <v>1359</v>
      </c>
      <c r="E1406" s="3"/>
    </row>
    <row r="1407" spans="1:5" ht="24.75" customHeight="1">
      <c r="A1407" s="2">
        <v>1405</v>
      </c>
      <c r="B1407" s="2" t="str">
        <f>"秦豪"</f>
        <v>秦豪</v>
      </c>
      <c r="C1407" s="2" t="s">
        <v>1329</v>
      </c>
      <c r="D1407" s="2" t="s">
        <v>1360</v>
      </c>
      <c r="E1407" s="3"/>
    </row>
    <row r="1408" spans="1:5" ht="24.75" customHeight="1">
      <c r="A1408" s="2">
        <v>1406</v>
      </c>
      <c r="B1408" s="2" t="str">
        <f>"吴清波"</f>
        <v>吴清波</v>
      </c>
      <c r="C1408" s="2" t="s">
        <v>1329</v>
      </c>
      <c r="D1408" s="2" t="s">
        <v>1361</v>
      </c>
      <c r="E1408" s="3"/>
    </row>
    <row r="1409" spans="1:5" ht="24.75" customHeight="1">
      <c r="A1409" s="2">
        <v>1407</v>
      </c>
      <c r="B1409" s="2" t="str">
        <f>"韩明畴"</f>
        <v>韩明畴</v>
      </c>
      <c r="C1409" s="2" t="s">
        <v>1329</v>
      </c>
      <c r="D1409" s="2" t="s">
        <v>1362</v>
      </c>
      <c r="E1409" s="3"/>
    </row>
    <row r="1410" spans="1:5" ht="24.75" customHeight="1">
      <c r="A1410" s="2">
        <v>1408</v>
      </c>
      <c r="B1410" s="2" t="str">
        <f>"王通力"</f>
        <v>王通力</v>
      </c>
      <c r="C1410" s="2" t="s">
        <v>1329</v>
      </c>
      <c r="D1410" s="2" t="s">
        <v>1363</v>
      </c>
      <c r="E1410" s="3"/>
    </row>
    <row r="1411" spans="1:5" ht="24.75" customHeight="1">
      <c r="A1411" s="2">
        <v>1409</v>
      </c>
      <c r="B1411" s="2" t="str">
        <f>"王巧升"</f>
        <v>王巧升</v>
      </c>
      <c r="C1411" s="2" t="s">
        <v>1329</v>
      </c>
      <c r="D1411" s="2" t="s">
        <v>753</v>
      </c>
      <c r="E1411" s="3"/>
    </row>
    <row r="1412" spans="1:5" ht="24.75" customHeight="1">
      <c r="A1412" s="2">
        <v>1410</v>
      </c>
      <c r="B1412" s="2" t="str">
        <f>"许环著"</f>
        <v>许环著</v>
      </c>
      <c r="C1412" s="2" t="s">
        <v>1329</v>
      </c>
      <c r="D1412" s="2" t="s">
        <v>1364</v>
      </c>
      <c r="E1412" s="3"/>
    </row>
    <row r="1413" spans="1:5" ht="24.75" customHeight="1">
      <c r="A1413" s="2">
        <v>1411</v>
      </c>
      <c r="B1413" s="2" t="str">
        <f>"韦经斌"</f>
        <v>韦经斌</v>
      </c>
      <c r="C1413" s="2" t="s">
        <v>1329</v>
      </c>
      <c r="D1413" s="2" t="s">
        <v>1365</v>
      </c>
      <c r="E1413" s="3"/>
    </row>
    <row r="1414" spans="1:5" ht="24.75" customHeight="1">
      <c r="A1414" s="2">
        <v>1412</v>
      </c>
      <c r="B1414" s="2" t="str">
        <f>"罗皇"</f>
        <v>罗皇</v>
      </c>
      <c r="C1414" s="2" t="s">
        <v>1329</v>
      </c>
      <c r="D1414" s="2" t="s">
        <v>1366</v>
      </c>
      <c r="E1414" s="3"/>
    </row>
    <row r="1415" spans="1:5" ht="24.75" customHeight="1">
      <c r="A1415" s="2">
        <v>1413</v>
      </c>
      <c r="B1415" s="2" t="str">
        <f>"朱明进"</f>
        <v>朱明进</v>
      </c>
      <c r="C1415" s="2" t="s">
        <v>1329</v>
      </c>
      <c r="D1415" s="2" t="s">
        <v>1367</v>
      </c>
      <c r="E1415" s="3"/>
    </row>
    <row r="1416" spans="1:5" ht="24.75" customHeight="1">
      <c r="A1416" s="2">
        <v>1414</v>
      </c>
      <c r="B1416" s="2" t="str">
        <f>"邢贞干"</f>
        <v>邢贞干</v>
      </c>
      <c r="C1416" s="2" t="s">
        <v>1329</v>
      </c>
      <c r="D1416" s="2" t="s">
        <v>1368</v>
      </c>
      <c r="E1416" s="3"/>
    </row>
    <row r="1417" spans="1:5" ht="24.75" customHeight="1">
      <c r="A1417" s="2">
        <v>1415</v>
      </c>
      <c r="B1417" s="2" t="str">
        <f>"李嘉欣"</f>
        <v>李嘉欣</v>
      </c>
      <c r="C1417" s="2" t="s">
        <v>1329</v>
      </c>
      <c r="D1417" s="2" t="s">
        <v>1369</v>
      </c>
      <c r="E1417" s="3"/>
    </row>
    <row r="1418" spans="1:5" ht="24.75" customHeight="1">
      <c r="A1418" s="2">
        <v>1416</v>
      </c>
      <c r="B1418" s="2" t="str">
        <f>"吴卓里"</f>
        <v>吴卓里</v>
      </c>
      <c r="C1418" s="2" t="s">
        <v>1329</v>
      </c>
      <c r="D1418" s="2" t="s">
        <v>1370</v>
      </c>
      <c r="E1418" s="3"/>
    </row>
    <row r="1419" spans="1:5" ht="24.75" customHeight="1">
      <c r="A1419" s="2">
        <v>1417</v>
      </c>
      <c r="B1419" s="2" t="str">
        <f>"杨煜程"</f>
        <v>杨煜程</v>
      </c>
      <c r="C1419" s="2" t="s">
        <v>1329</v>
      </c>
      <c r="D1419" s="2" t="s">
        <v>1371</v>
      </c>
      <c r="E1419" s="3"/>
    </row>
    <row r="1420" spans="1:5" ht="24.75" customHeight="1">
      <c r="A1420" s="2">
        <v>1418</v>
      </c>
      <c r="B1420" s="2" t="str">
        <f>"谢彬彬"</f>
        <v>谢彬彬</v>
      </c>
      <c r="C1420" s="2" t="s">
        <v>1329</v>
      </c>
      <c r="D1420" s="2" t="s">
        <v>1372</v>
      </c>
      <c r="E1420" s="3"/>
    </row>
    <row r="1421" spans="1:5" ht="24.75" customHeight="1">
      <c r="A1421" s="2">
        <v>1419</v>
      </c>
      <c r="B1421" s="2" t="str">
        <f>"彭俊宁"</f>
        <v>彭俊宁</v>
      </c>
      <c r="C1421" s="2" t="s">
        <v>1329</v>
      </c>
      <c r="D1421" s="2" t="s">
        <v>1373</v>
      </c>
      <c r="E1421" s="3"/>
    </row>
    <row r="1422" spans="1:5" ht="24.75" customHeight="1">
      <c r="A1422" s="2">
        <v>1420</v>
      </c>
      <c r="B1422" s="2" t="str">
        <f>"蔡冠鑫"</f>
        <v>蔡冠鑫</v>
      </c>
      <c r="C1422" s="2" t="s">
        <v>1329</v>
      </c>
      <c r="D1422" s="2" t="s">
        <v>1374</v>
      </c>
      <c r="E1422" s="3"/>
    </row>
    <row r="1423" spans="1:5" ht="24.75" customHeight="1">
      <c r="A1423" s="2">
        <v>1421</v>
      </c>
      <c r="B1423" s="2" t="str">
        <f>"陈功倍"</f>
        <v>陈功倍</v>
      </c>
      <c r="C1423" s="2" t="s">
        <v>1329</v>
      </c>
      <c r="D1423" s="2" t="s">
        <v>1375</v>
      </c>
      <c r="E1423" s="3"/>
    </row>
    <row r="1424" spans="1:5" ht="24.75" customHeight="1">
      <c r="A1424" s="2">
        <v>1422</v>
      </c>
      <c r="B1424" s="2" t="str">
        <f>"郑宾敬"</f>
        <v>郑宾敬</v>
      </c>
      <c r="C1424" s="2" t="s">
        <v>1329</v>
      </c>
      <c r="D1424" s="2" t="s">
        <v>1376</v>
      </c>
      <c r="E1424" s="3"/>
    </row>
    <row r="1425" spans="1:5" ht="24.75" customHeight="1">
      <c r="A1425" s="2">
        <v>1423</v>
      </c>
      <c r="B1425" s="2" t="str">
        <f>"程俊杰"</f>
        <v>程俊杰</v>
      </c>
      <c r="C1425" s="2" t="s">
        <v>1329</v>
      </c>
      <c r="D1425" s="2" t="s">
        <v>1377</v>
      </c>
      <c r="E1425" s="3"/>
    </row>
    <row r="1426" spans="1:5" ht="24.75" customHeight="1">
      <c r="A1426" s="2">
        <v>1424</v>
      </c>
      <c r="B1426" s="2" t="str">
        <f>"黄永坚"</f>
        <v>黄永坚</v>
      </c>
      <c r="C1426" s="2" t="s">
        <v>1329</v>
      </c>
      <c r="D1426" s="2" t="s">
        <v>1378</v>
      </c>
      <c r="E1426" s="3"/>
    </row>
    <row r="1427" spans="1:5" ht="24.75" customHeight="1">
      <c r="A1427" s="2">
        <v>1425</v>
      </c>
      <c r="B1427" s="2" t="str">
        <f>"林明朗"</f>
        <v>林明朗</v>
      </c>
      <c r="C1427" s="2" t="s">
        <v>1329</v>
      </c>
      <c r="D1427" s="2" t="s">
        <v>1379</v>
      </c>
      <c r="E1427" s="3"/>
    </row>
    <row r="1428" spans="1:5" ht="24.75" customHeight="1">
      <c r="A1428" s="2">
        <v>1426</v>
      </c>
      <c r="B1428" s="2" t="str">
        <f>"冯雅君"</f>
        <v>冯雅君</v>
      </c>
      <c r="C1428" s="2" t="s">
        <v>1329</v>
      </c>
      <c r="D1428" s="2" t="s">
        <v>1380</v>
      </c>
      <c r="E1428" s="3"/>
    </row>
    <row r="1429" spans="1:5" ht="24.75" customHeight="1">
      <c r="A1429" s="2">
        <v>1427</v>
      </c>
      <c r="B1429" s="2" t="str">
        <f>"张艺"</f>
        <v>张艺</v>
      </c>
      <c r="C1429" s="2" t="s">
        <v>1329</v>
      </c>
      <c r="D1429" s="2" t="s">
        <v>1381</v>
      </c>
      <c r="E1429" s="3"/>
    </row>
    <row r="1430" spans="1:5" ht="24.75" customHeight="1">
      <c r="A1430" s="2">
        <v>1428</v>
      </c>
      <c r="B1430" s="2" t="str">
        <f>"李劲隆"</f>
        <v>李劲隆</v>
      </c>
      <c r="C1430" s="2" t="s">
        <v>1329</v>
      </c>
      <c r="D1430" s="2" t="s">
        <v>1382</v>
      </c>
      <c r="E1430" s="3"/>
    </row>
    <row r="1431" spans="1:5" ht="24.75" customHeight="1">
      <c r="A1431" s="2">
        <v>1429</v>
      </c>
      <c r="B1431" s="2" t="str">
        <f>"冯文才"</f>
        <v>冯文才</v>
      </c>
      <c r="C1431" s="2" t="s">
        <v>1329</v>
      </c>
      <c r="D1431" s="2" t="s">
        <v>1383</v>
      </c>
      <c r="E1431" s="3"/>
    </row>
    <row r="1432" spans="1:5" ht="24.75" customHeight="1">
      <c r="A1432" s="2">
        <v>1430</v>
      </c>
      <c r="B1432" s="2" t="str">
        <f>"吴定文"</f>
        <v>吴定文</v>
      </c>
      <c r="C1432" s="2" t="s">
        <v>1329</v>
      </c>
      <c r="D1432" s="2" t="s">
        <v>680</v>
      </c>
      <c r="E1432" s="3"/>
    </row>
    <row r="1433" spans="1:5" ht="24.75" customHeight="1">
      <c r="A1433" s="2">
        <v>1431</v>
      </c>
      <c r="B1433" s="2" t="str">
        <f>"范嘉明"</f>
        <v>范嘉明</v>
      </c>
      <c r="C1433" s="2" t="s">
        <v>1329</v>
      </c>
      <c r="D1433" s="2" t="s">
        <v>1384</v>
      </c>
      <c r="E1433" s="3"/>
    </row>
    <row r="1434" spans="1:5" ht="24.75" customHeight="1">
      <c r="A1434" s="2">
        <v>1432</v>
      </c>
      <c r="B1434" s="2" t="str">
        <f>"吴月磊"</f>
        <v>吴月磊</v>
      </c>
      <c r="C1434" s="2" t="s">
        <v>1329</v>
      </c>
      <c r="D1434" s="2" t="s">
        <v>1385</v>
      </c>
      <c r="E1434" s="3"/>
    </row>
    <row r="1435" spans="1:5" ht="24.75" customHeight="1">
      <c r="A1435" s="2">
        <v>1433</v>
      </c>
      <c r="B1435" s="2" t="str">
        <f>"杨锦"</f>
        <v>杨锦</v>
      </c>
      <c r="C1435" s="2" t="s">
        <v>1329</v>
      </c>
      <c r="D1435" s="2" t="s">
        <v>1386</v>
      </c>
      <c r="E1435" s="3"/>
    </row>
    <row r="1436" spans="1:5" ht="24.75" customHeight="1">
      <c r="A1436" s="2">
        <v>1434</v>
      </c>
      <c r="B1436" s="2" t="str">
        <f>"钟显坤"</f>
        <v>钟显坤</v>
      </c>
      <c r="C1436" s="2" t="s">
        <v>1329</v>
      </c>
      <c r="D1436" s="2" t="s">
        <v>1387</v>
      </c>
      <c r="E1436" s="3"/>
    </row>
    <row r="1437" spans="1:5" ht="24.75" customHeight="1">
      <c r="A1437" s="2">
        <v>1435</v>
      </c>
      <c r="B1437" s="2" t="str">
        <f>"李开"</f>
        <v>李开</v>
      </c>
      <c r="C1437" s="2" t="s">
        <v>1329</v>
      </c>
      <c r="D1437" s="2" t="s">
        <v>1388</v>
      </c>
      <c r="E1437" s="3"/>
    </row>
    <row r="1438" spans="1:5" ht="24.75" customHeight="1">
      <c r="A1438" s="2">
        <v>1436</v>
      </c>
      <c r="B1438" s="2" t="str">
        <f>"王婷"</f>
        <v>王婷</v>
      </c>
      <c r="C1438" s="2" t="s">
        <v>1329</v>
      </c>
      <c r="D1438" s="2" t="s">
        <v>1389</v>
      </c>
      <c r="E1438" s="3"/>
    </row>
    <row r="1439" spans="1:5" ht="24.75" customHeight="1">
      <c r="A1439" s="2">
        <v>1437</v>
      </c>
      <c r="B1439" s="2" t="str">
        <f>"梁林"</f>
        <v>梁林</v>
      </c>
      <c r="C1439" s="2" t="s">
        <v>1329</v>
      </c>
      <c r="D1439" s="2" t="s">
        <v>1390</v>
      </c>
      <c r="E1439" s="3"/>
    </row>
    <row r="1440" spans="1:5" ht="24.75" customHeight="1">
      <c r="A1440" s="2">
        <v>1438</v>
      </c>
      <c r="B1440" s="2" t="str">
        <f>"张健"</f>
        <v>张健</v>
      </c>
      <c r="C1440" s="2" t="s">
        <v>1329</v>
      </c>
      <c r="D1440" s="2" t="s">
        <v>1391</v>
      </c>
      <c r="E1440" s="3"/>
    </row>
    <row r="1441" spans="1:5" ht="24.75" customHeight="1">
      <c r="A1441" s="2">
        <v>1439</v>
      </c>
      <c r="B1441" s="2" t="str">
        <f>"何华烈"</f>
        <v>何华烈</v>
      </c>
      <c r="C1441" s="2" t="s">
        <v>1329</v>
      </c>
      <c r="D1441" s="2" t="s">
        <v>1392</v>
      </c>
      <c r="E1441" s="3"/>
    </row>
    <row r="1442" spans="1:5" ht="24.75" customHeight="1">
      <c r="A1442" s="2">
        <v>1440</v>
      </c>
      <c r="B1442" s="2" t="str">
        <f>"陈枫艳"</f>
        <v>陈枫艳</v>
      </c>
      <c r="C1442" s="2" t="s">
        <v>1329</v>
      </c>
      <c r="D1442" s="2" t="s">
        <v>1393</v>
      </c>
      <c r="E1442" s="3"/>
    </row>
    <row r="1443" spans="1:5" ht="24.75" customHeight="1">
      <c r="A1443" s="2">
        <v>1441</v>
      </c>
      <c r="B1443" s="2" t="str">
        <f>"王海涛"</f>
        <v>王海涛</v>
      </c>
      <c r="C1443" s="2" t="s">
        <v>1329</v>
      </c>
      <c r="D1443" s="2" t="s">
        <v>1394</v>
      </c>
      <c r="E1443" s="3"/>
    </row>
    <row r="1444" spans="1:5" ht="24.75" customHeight="1">
      <c r="A1444" s="2">
        <v>1442</v>
      </c>
      <c r="B1444" s="2" t="str">
        <f>"黄洪拓"</f>
        <v>黄洪拓</v>
      </c>
      <c r="C1444" s="2" t="s">
        <v>1329</v>
      </c>
      <c r="D1444" s="2" t="s">
        <v>1395</v>
      </c>
      <c r="E1444" s="3"/>
    </row>
    <row r="1445" spans="1:5" ht="24.75" customHeight="1">
      <c r="A1445" s="2">
        <v>1443</v>
      </c>
      <c r="B1445" s="2" t="str">
        <f>"程引南"</f>
        <v>程引南</v>
      </c>
      <c r="C1445" s="2" t="s">
        <v>1329</v>
      </c>
      <c r="D1445" s="2" t="s">
        <v>1396</v>
      </c>
      <c r="E1445" s="3"/>
    </row>
    <row r="1446" spans="1:5" ht="24.75" customHeight="1">
      <c r="A1446" s="2">
        <v>1444</v>
      </c>
      <c r="B1446" s="2" t="str">
        <f>"靳亚萌"</f>
        <v>靳亚萌</v>
      </c>
      <c r="C1446" s="2" t="s">
        <v>1329</v>
      </c>
      <c r="D1446" s="2" t="s">
        <v>1397</v>
      </c>
      <c r="E1446" s="3"/>
    </row>
    <row r="1447" spans="1:5" ht="24.75" customHeight="1">
      <c r="A1447" s="2">
        <v>1445</v>
      </c>
      <c r="B1447" s="2" t="str">
        <f>"陈禄明"</f>
        <v>陈禄明</v>
      </c>
      <c r="C1447" s="2" t="s">
        <v>1329</v>
      </c>
      <c r="D1447" s="2" t="s">
        <v>1398</v>
      </c>
      <c r="E1447" s="3"/>
    </row>
    <row r="1448" spans="1:5" ht="24.75" customHeight="1">
      <c r="A1448" s="2">
        <v>1446</v>
      </c>
      <c r="B1448" s="2" t="str">
        <f>"符传辉"</f>
        <v>符传辉</v>
      </c>
      <c r="C1448" s="2" t="s">
        <v>1329</v>
      </c>
      <c r="D1448" s="2" t="s">
        <v>1399</v>
      </c>
      <c r="E1448" s="3"/>
    </row>
    <row r="1449" spans="1:5" ht="24.75" customHeight="1">
      <c r="A1449" s="2">
        <v>1447</v>
      </c>
      <c r="B1449" s="2" t="str">
        <f>"陈伟轩"</f>
        <v>陈伟轩</v>
      </c>
      <c r="C1449" s="2" t="s">
        <v>1329</v>
      </c>
      <c r="D1449" s="2" t="s">
        <v>1400</v>
      </c>
      <c r="E1449" s="3"/>
    </row>
    <row r="1450" spans="1:5" ht="24.75" customHeight="1">
      <c r="A1450" s="2">
        <v>1448</v>
      </c>
      <c r="B1450" s="2" t="str">
        <f>"冯学夫"</f>
        <v>冯学夫</v>
      </c>
      <c r="C1450" s="2" t="s">
        <v>1329</v>
      </c>
      <c r="D1450" s="2" t="s">
        <v>1401</v>
      </c>
      <c r="E1450" s="3"/>
    </row>
    <row r="1451" spans="1:5" ht="24.75" customHeight="1">
      <c r="A1451" s="2">
        <v>1449</v>
      </c>
      <c r="B1451" s="2" t="str">
        <f>"林志权"</f>
        <v>林志权</v>
      </c>
      <c r="C1451" s="2" t="s">
        <v>1329</v>
      </c>
      <c r="D1451" s="2" t="s">
        <v>1402</v>
      </c>
      <c r="E1451" s="3"/>
    </row>
    <row r="1452" spans="1:5" ht="24.75" customHeight="1">
      <c r="A1452" s="2">
        <v>1450</v>
      </c>
      <c r="B1452" s="2" t="str">
        <f>"陈礼乾"</f>
        <v>陈礼乾</v>
      </c>
      <c r="C1452" s="2" t="s">
        <v>1329</v>
      </c>
      <c r="D1452" s="2" t="s">
        <v>1403</v>
      </c>
      <c r="E1452" s="3"/>
    </row>
    <row r="1453" spans="1:5" ht="24.75" customHeight="1">
      <c r="A1453" s="2">
        <v>1451</v>
      </c>
      <c r="B1453" s="2" t="str">
        <f>"张天潇"</f>
        <v>张天潇</v>
      </c>
      <c r="C1453" s="2" t="s">
        <v>1329</v>
      </c>
      <c r="D1453" s="2" t="s">
        <v>1404</v>
      </c>
      <c r="E1453" s="3"/>
    </row>
    <row r="1454" spans="1:5" ht="24.75" customHeight="1">
      <c r="A1454" s="2">
        <v>1452</v>
      </c>
      <c r="B1454" s="2" t="str">
        <f>"韦龙泉"</f>
        <v>韦龙泉</v>
      </c>
      <c r="C1454" s="2" t="s">
        <v>1329</v>
      </c>
      <c r="D1454" s="2" t="s">
        <v>1405</v>
      </c>
      <c r="E1454" s="3"/>
    </row>
    <row r="1455" spans="1:5" ht="24.75" customHeight="1">
      <c r="A1455" s="2">
        <v>1453</v>
      </c>
      <c r="B1455" s="2" t="str">
        <f>"李海炳"</f>
        <v>李海炳</v>
      </c>
      <c r="C1455" s="2" t="s">
        <v>1329</v>
      </c>
      <c r="D1455" s="2" t="s">
        <v>1406</v>
      </c>
      <c r="E1455" s="3"/>
    </row>
    <row r="1456" spans="1:5" ht="24.75" customHeight="1">
      <c r="A1456" s="2">
        <v>1454</v>
      </c>
      <c r="B1456" s="2" t="str">
        <f>"蒙威任"</f>
        <v>蒙威任</v>
      </c>
      <c r="C1456" s="2" t="s">
        <v>1329</v>
      </c>
      <c r="D1456" s="2" t="s">
        <v>1407</v>
      </c>
      <c r="E1456" s="3"/>
    </row>
    <row r="1457" spans="1:5" ht="24.75" customHeight="1">
      <c r="A1457" s="2">
        <v>1455</v>
      </c>
      <c r="B1457" s="2" t="str">
        <f>"刘宏标"</f>
        <v>刘宏标</v>
      </c>
      <c r="C1457" s="2" t="s">
        <v>1329</v>
      </c>
      <c r="D1457" s="2" t="s">
        <v>1408</v>
      </c>
      <c r="E1457" s="3"/>
    </row>
    <row r="1458" spans="1:5" ht="24.75" customHeight="1">
      <c r="A1458" s="2">
        <v>1456</v>
      </c>
      <c r="B1458" s="2" t="str">
        <f>"邓凯夫"</f>
        <v>邓凯夫</v>
      </c>
      <c r="C1458" s="2" t="s">
        <v>1329</v>
      </c>
      <c r="D1458" s="2" t="s">
        <v>1409</v>
      </c>
      <c r="E1458" s="3"/>
    </row>
    <row r="1459" spans="1:5" ht="24.75" customHeight="1">
      <c r="A1459" s="2">
        <v>1457</v>
      </c>
      <c r="B1459" s="2" t="str">
        <f>"许煌"</f>
        <v>许煌</v>
      </c>
      <c r="C1459" s="2" t="s">
        <v>1329</v>
      </c>
      <c r="D1459" s="2" t="s">
        <v>1410</v>
      </c>
      <c r="E1459" s="3"/>
    </row>
    <row r="1460" spans="1:5" ht="24.75" customHeight="1">
      <c r="A1460" s="2">
        <v>1458</v>
      </c>
      <c r="B1460" s="2" t="str">
        <f>"莫儒慧"</f>
        <v>莫儒慧</v>
      </c>
      <c r="C1460" s="2" t="s">
        <v>1329</v>
      </c>
      <c r="D1460" s="2" t="s">
        <v>1411</v>
      </c>
      <c r="E1460" s="3"/>
    </row>
    <row r="1461" spans="1:5" ht="24.75" customHeight="1">
      <c r="A1461" s="2">
        <v>1459</v>
      </c>
      <c r="B1461" s="2" t="str">
        <f>"林扬繁"</f>
        <v>林扬繁</v>
      </c>
      <c r="C1461" s="2" t="s">
        <v>1329</v>
      </c>
      <c r="D1461" s="2" t="s">
        <v>1412</v>
      </c>
      <c r="E1461" s="3"/>
    </row>
    <row r="1462" spans="1:5" ht="24.75" customHeight="1">
      <c r="A1462" s="2">
        <v>1460</v>
      </c>
      <c r="B1462" s="2" t="str">
        <f>"陈玉彦"</f>
        <v>陈玉彦</v>
      </c>
      <c r="C1462" s="2" t="s">
        <v>1329</v>
      </c>
      <c r="D1462" s="2" t="s">
        <v>1413</v>
      </c>
      <c r="E1462" s="3"/>
    </row>
    <row r="1463" spans="1:5" ht="24.75" customHeight="1">
      <c r="A1463" s="2">
        <v>1461</v>
      </c>
      <c r="B1463" s="2" t="str">
        <f>"薛家兴"</f>
        <v>薛家兴</v>
      </c>
      <c r="C1463" s="2" t="s">
        <v>1329</v>
      </c>
      <c r="D1463" s="2" t="s">
        <v>1414</v>
      </c>
      <c r="E1463" s="3"/>
    </row>
    <row r="1464" spans="1:5" ht="24.75" customHeight="1">
      <c r="A1464" s="2">
        <v>1462</v>
      </c>
      <c r="B1464" s="2" t="str">
        <f>"陈晋"</f>
        <v>陈晋</v>
      </c>
      <c r="C1464" s="2" t="s">
        <v>1329</v>
      </c>
      <c r="D1464" s="2" t="s">
        <v>1415</v>
      </c>
      <c r="E1464" s="3"/>
    </row>
    <row r="1465" spans="1:5" ht="24.75" customHeight="1">
      <c r="A1465" s="2">
        <v>1463</v>
      </c>
      <c r="B1465" s="2" t="str">
        <f>"文旭"</f>
        <v>文旭</v>
      </c>
      <c r="C1465" s="2" t="s">
        <v>1329</v>
      </c>
      <c r="D1465" s="2" t="s">
        <v>1416</v>
      </c>
      <c r="E1465" s="3"/>
    </row>
    <row r="1466" spans="1:5" ht="24.75" customHeight="1">
      <c r="A1466" s="2">
        <v>1464</v>
      </c>
      <c r="B1466" s="2" t="str">
        <f>"刘森峰"</f>
        <v>刘森峰</v>
      </c>
      <c r="C1466" s="2" t="s">
        <v>1329</v>
      </c>
      <c r="D1466" s="2" t="s">
        <v>1417</v>
      </c>
      <c r="E1466" s="3"/>
    </row>
    <row r="1467" spans="1:5" ht="24.75" customHeight="1">
      <c r="A1467" s="2">
        <v>1465</v>
      </c>
      <c r="B1467" s="2" t="str">
        <f>"吴坤宝"</f>
        <v>吴坤宝</v>
      </c>
      <c r="C1467" s="2" t="s">
        <v>1329</v>
      </c>
      <c r="D1467" s="2" t="s">
        <v>1418</v>
      </c>
      <c r="E1467" s="3"/>
    </row>
    <row r="1468" spans="1:5" ht="24.75" customHeight="1">
      <c r="A1468" s="2">
        <v>1466</v>
      </c>
      <c r="B1468" s="2" t="str">
        <f>"张艺"</f>
        <v>张艺</v>
      </c>
      <c r="C1468" s="2" t="s">
        <v>1329</v>
      </c>
      <c r="D1468" s="2" t="s">
        <v>1419</v>
      </c>
      <c r="E1468" s="3"/>
    </row>
    <row r="1469" spans="1:5" ht="24.75" customHeight="1">
      <c r="A1469" s="2">
        <v>1467</v>
      </c>
      <c r="B1469" s="2" t="str">
        <f>"陈碧雪"</f>
        <v>陈碧雪</v>
      </c>
      <c r="C1469" s="2" t="s">
        <v>1329</v>
      </c>
      <c r="D1469" s="2" t="s">
        <v>1420</v>
      </c>
      <c r="E1469" s="3"/>
    </row>
    <row r="1470" spans="1:5" ht="24.75" customHeight="1">
      <c r="A1470" s="2">
        <v>1468</v>
      </c>
      <c r="B1470" s="2" t="str">
        <f>"黄思怡"</f>
        <v>黄思怡</v>
      </c>
      <c r="C1470" s="2" t="s">
        <v>1329</v>
      </c>
      <c r="D1470" s="2" t="s">
        <v>1421</v>
      </c>
      <c r="E1470" s="3"/>
    </row>
    <row r="1471" spans="1:5" ht="24.75" customHeight="1">
      <c r="A1471" s="2">
        <v>1469</v>
      </c>
      <c r="B1471" s="2" t="str">
        <f>"薛升宇"</f>
        <v>薛升宇</v>
      </c>
      <c r="C1471" s="2" t="s">
        <v>1329</v>
      </c>
      <c r="D1471" s="2" t="s">
        <v>1422</v>
      </c>
      <c r="E1471" s="3"/>
    </row>
    <row r="1472" spans="1:5" ht="24.75" customHeight="1">
      <c r="A1472" s="2">
        <v>1470</v>
      </c>
      <c r="B1472" s="2" t="str">
        <f>"李仁君"</f>
        <v>李仁君</v>
      </c>
      <c r="C1472" s="2" t="s">
        <v>1329</v>
      </c>
      <c r="D1472" s="2" t="s">
        <v>1423</v>
      </c>
      <c r="E1472" s="3"/>
    </row>
    <row r="1473" spans="1:5" ht="24.75" customHeight="1">
      <c r="A1473" s="2">
        <v>1471</v>
      </c>
      <c r="B1473" s="2" t="str">
        <f>"麦日浩"</f>
        <v>麦日浩</v>
      </c>
      <c r="C1473" s="2" t="s">
        <v>1329</v>
      </c>
      <c r="D1473" s="2" t="s">
        <v>1424</v>
      </c>
      <c r="E1473" s="3"/>
    </row>
    <row r="1474" spans="1:5" ht="24.75" customHeight="1">
      <c r="A1474" s="2">
        <v>1472</v>
      </c>
      <c r="B1474" s="2" t="str">
        <f>"符雪贤"</f>
        <v>符雪贤</v>
      </c>
      <c r="C1474" s="2" t="s">
        <v>1329</v>
      </c>
      <c r="D1474" s="2" t="s">
        <v>1425</v>
      </c>
      <c r="E1474" s="3"/>
    </row>
    <row r="1475" spans="1:5" ht="24.75" customHeight="1">
      <c r="A1475" s="2">
        <v>1473</v>
      </c>
      <c r="B1475" s="2" t="str">
        <f>"黄文龙"</f>
        <v>黄文龙</v>
      </c>
      <c r="C1475" s="2" t="s">
        <v>1329</v>
      </c>
      <c r="D1475" s="2" t="s">
        <v>1426</v>
      </c>
      <c r="E1475" s="3"/>
    </row>
    <row r="1476" spans="1:5" ht="24.75" customHeight="1">
      <c r="A1476" s="2">
        <v>1474</v>
      </c>
      <c r="B1476" s="2" t="str">
        <f>"符义泽"</f>
        <v>符义泽</v>
      </c>
      <c r="C1476" s="2" t="s">
        <v>1329</v>
      </c>
      <c r="D1476" s="2" t="s">
        <v>1427</v>
      </c>
      <c r="E1476" s="3"/>
    </row>
    <row r="1477" spans="1:5" ht="24.75" customHeight="1">
      <c r="A1477" s="2">
        <v>1475</v>
      </c>
      <c r="B1477" s="2" t="str">
        <f>"潘将"</f>
        <v>潘将</v>
      </c>
      <c r="C1477" s="2" t="s">
        <v>1329</v>
      </c>
      <c r="D1477" s="2" t="s">
        <v>1428</v>
      </c>
      <c r="E1477" s="3"/>
    </row>
    <row r="1478" spans="1:5" ht="24.75" customHeight="1">
      <c r="A1478" s="2">
        <v>1476</v>
      </c>
      <c r="B1478" s="2" t="str">
        <f>"黎纲"</f>
        <v>黎纲</v>
      </c>
      <c r="C1478" s="2" t="s">
        <v>1329</v>
      </c>
      <c r="D1478" s="2" t="s">
        <v>1429</v>
      </c>
      <c r="E1478" s="3"/>
    </row>
    <row r="1479" spans="1:5" ht="24.75" customHeight="1">
      <c r="A1479" s="2">
        <v>1477</v>
      </c>
      <c r="B1479" s="2" t="str">
        <f>"陈泰铭"</f>
        <v>陈泰铭</v>
      </c>
      <c r="C1479" s="2" t="s">
        <v>1329</v>
      </c>
      <c r="D1479" s="2" t="s">
        <v>1430</v>
      </c>
      <c r="E1479" s="3"/>
    </row>
    <row r="1480" spans="1:5" ht="24.75" customHeight="1">
      <c r="A1480" s="2">
        <v>1478</v>
      </c>
      <c r="B1480" s="2" t="str">
        <f>"李利平"</f>
        <v>李利平</v>
      </c>
      <c r="C1480" s="2" t="s">
        <v>1329</v>
      </c>
      <c r="D1480" s="2" t="s">
        <v>1431</v>
      </c>
      <c r="E1480" s="3"/>
    </row>
    <row r="1481" spans="1:5" ht="24.75" customHeight="1">
      <c r="A1481" s="2">
        <v>1479</v>
      </c>
      <c r="B1481" s="2" t="str">
        <f>"黄祺智"</f>
        <v>黄祺智</v>
      </c>
      <c r="C1481" s="2" t="s">
        <v>1329</v>
      </c>
      <c r="D1481" s="2" t="s">
        <v>1432</v>
      </c>
      <c r="E1481" s="3"/>
    </row>
    <row r="1482" spans="1:5" ht="24.75" customHeight="1">
      <c r="A1482" s="2">
        <v>1480</v>
      </c>
      <c r="B1482" s="2" t="str">
        <f>"吴诗富"</f>
        <v>吴诗富</v>
      </c>
      <c r="C1482" s="2" t="s">
        <v>1329</v>
      </c>
      <c r="D1482" s="2" t="s">
        <v>1433</v>
      </c>
      <c r="E1482" s="3"/>
    </row>
    <row r="1483" spans="1:5" ht="24.75" customHeight="1">
      <c r="A1483" s="2">
        <v>1481</v>
      </c>
      <c r="B1483" s="2" t="str">
        <f>"曾德蕾"</f>
        <v>曾德蕾</v>
      </c>
      <c r="C1483" s="2" t="s">
        <v>1329</v>
      </c>
      <c r="D1483" s="2" t="s">
        <v>1434</v>
      </c>
      <c r="E1483" s="3"/>
    </row>
    <row r="1484" spans="1:5" ht="24.75" customHeight="1">
      <c r="A1484" s="2">
        <v>1482</v>
      </c>
      <c r="B1484" s="2" t="str">
        <f>"陈健"</f>
        <v>陈健</v>
      </c>
      <c r="C1484" s="2" t="s">
        <v>1329</v>
      </c>
      <c r="D1484" s="2" t="s">
        <v>1435</v>
      </c>
      <c r="E1484" s="3"/>
    </row>
    <row r="1485" spans="1:5" ht="24.75" customHeight="1">
      <c r="A1485" s="2">
        <v>1483</v>
      </c>
      <c r="B1485" s="2" t="str">
        <f>"崔颖安"</f>
        <v>崔颖安</v>
      </c>
      <c r="C1485" s="2" t="s">
        <v>1329</v>
      </c>
      <c r="D1485" s="2" t="s">
        <v>1436</v>
      </c>
      <c r="E1485" s="3"/>
    </row>
    <row r="1486" spans="1:5" ht="24.75" customHeight="1">
      <c r="A1486" s="2">
        <v>1484</v>
      </c>
      <c r="B1486" s="2" t="str">
        <f>"陈科运"</f>
        <v>陈科运</v>
      </c>
      <c r="C1486" s="2" t="s">
        <v>1437</v>
      </c>
      <c r="D1486" s="2" t="s">
        <v>1438</v>
      </c>
      <c r="E1486" s="3"/>
    </row>
    <row r="1487" spans="1:5" ht="24.75" customHeight="1">
      <c r="A1487" s="2">
        <v>1485</v>
      </c>
      <c r="B1487" s="2" t="str">
        <f>"林泽藩"</f>
        <v>林泽藩</v>
      </c>
      <c r="C1487" s="2" t="s">
        <v>1437</v>
      </c>
      <c r="D1487" s="2" t="s">
        <v>1439</v>
      </c>
      <c r="E1487" s="3"/>
    </row>
    <row r="1488" spans="1:5" ht="24.75" customHeight="1">
      <c r="A1488" s="2">
        <v>1486</v>
      </c>
      <c r="B1488" s="2" t="str">
        <f>"陈浩帆"</f>
        <v>陈浩帆</v>
      </c>
      <c r="C1488" s="2" t="s">
        <v>1437</v>
      </c>
      <c r="D1488" s="2" t="s">
        <v>1440</v>
      </c>
      <c r="E1488" s="3"/>
    </row>
    <row r="1489" spans="1:5" ht="24.75" customHeight="1">
      <c r="A1489" s="2">
        <v>1487</v>
      </c>
      <c r="B1489" s="2" t="str">
        <f>"王方宇"</f>
        <v>王方宇</v>
      </c>
      <c r="C1489" s="2" t="s">
        <v>1437</v>
      </c>
      <c r="D1489" s="2" t="s">
        <v>1441</v>
      </c>
      <c r="E1489" s="3"/>
    </row>
    <row r="1490" spans="1:5" ht="24.75" customHeight="1">
      <c r="A1490" s="2">
        <v>1488</v>
      </c>
      <c r="B1490" s="2" t="str">
        <f>"何昌瑜"</f>
        <v>何昌瑜</v>
      </c>
      <c r="C1490" s="2" t="s">
        <v>1437</v>
      </c>
      <c r="D1490" s="2" t="s">
        <v>1442</v>
      </c>
      <c r="E1490" s="3"/>
    </row>
    <row r="1491" spans="1:5" ht="24.75" customHeight="1">
      <c r="A1491" s="2">
        <v>1489</v>
      </c>
      <c r="B1491" s="2" t="str">
        <f>"王文豪"</f>
        <v>王文豪</v>
      </c>
      <c r="C1491" s="2" t="s">
        <v>1437</v>
      </c>
      <c r="D1491" s="2" t="s">
        <v>1443</v>
      </c>
      <c r="E1491" s="3"/>
    </row>
    <row r="1492" spans="1:5" ht="24.75" customHeight="1">
      <c r="A1492" s="2">
        <v>1490</v>
      </c>
      <c r="B1492" s="2" t="str">
        <f>"王剑"</f>
        <v>王剑</v>
      </c>
      <c r="C1492" s="2" t="s">
        <v>1437</v>
      </c>
      <c r="D1492" s="2" t="s">
        <v>1444</v>
      </c>
      <c r="E1492" s="3"/>
    </row>
    <row r="1493" spans="1:5" ht="24.75" customHeight="1">
      <c r="A1493" s="2">
        <v>1491</v>
      </c>
      <c r="B1493" s="2" t="str">
        <f>"周臣垚"</f>
        <v>周臣垚</v>
      </c>
      <c r="C1493" s="2" t="s">
        <v>1437</v>
      </c>
      <c r="D1493" s="2" t="s">
        <v>1445</v>
      </c>
      <c r="E1493" s="3"/>
    </row>
    <row r="1494" spans="1:5" ht="24.75" customHeight="1">
      <c r="A1494" s="2">
        <v>1492</v>
      </c>
      <c r="B1494" s="2" t="str">
        <f>"刘奥强"</f>
        <v>刘奥强</v>
      </c>
      <c r="C1494" s="2" t="s">
        <v>1437</v>
      </c>
      <c r="D1494" s="2" t="s">
        <v>1446</v>
      </c>
      <c r="E1494" s="3"/>
    </row>
    <row r="1495" spans="1:5" ht="24.75" customHeight="1">
      <c r="A1495" s="2">
        <v>1493</v>
      </c>
      <c r="B1495" s="2" t="str">
        <f>"李效廷"</f>
        <v>李效廷</v>
      </c>
      <c r="C1495" s="2" t="s">
        <v>1437</v>
      </c>
      <c r="D1495" s="2" t="s">
        <v>1447</v>
      </c>
      <c r="E1495" s="3"/>
    </row>
    <row r="1496" spans="1:5" ht="24.75" customHeight="1">
      <c r="A1496" s="2">
        <v>1494</v>
      </c>
      <c r="B1496" s="2" t="str">
        <f>"曾酉凡"</f>
        <v>曾酉凡</v>
      </c>
      <c r="C1496" s="2" t="s">
        <v>1437</v>
      </c>
      <c r="D1496" s="2" t="s">
        <v>1448</v>
      </c>
      <c r="E1496" s="3"/>
    </row>
    <row r="1497" spans="1:5" ht="24.75" customHeight="1">
      <c r="A1497" s="2">
        <v>1495</v>
      </c>
      <c r="B1497" s="2" t="str">
        <f>"王小丽"</f>
        <v>王小丽</v>
      </c>
      <c r="C1497" s="2" t="s">
        <v>1437</v>
      </c>
      <c r="D1497" s="2" t="s">
        <v>1449</v>
      </c>
      <c r="E1497" s="3"/>
    </row>
    <row r="1498" spans="1:5" ht="24.75" customHeight="1">
      <c r="A1498" s="2">
        <v>1496</v>
      </c>
      <c r="B1498" s="2" t="str">
        <f>"林方杰"</f>
        <v>林方杰</v>
      </c>
      <c r="C1498" s="2" t="s">
        <v>1437</v>
      </c>
      <c r="D1498" s="2" t="s">
        <v>179</v>
      </c>
      <c r="E1498" s="3"/>
    </row>
    <row r="1499" spans="1:5" ht="24.75" customHeight="1">
      <c r="A1499" s="2">
        <v>1497</v>
      </c>
      <c r="B1499" s="2" t="str">
        <f>"符广清"</f>
        <v>符广清</v>
      </c>
      <c r="C1499" s="2" t="s">
        <v>1437</v>
      </c>
      <c r="D1499" s="2" t="s">
        <v>1450</v>
      </c>
      <c r="E1499" s="3"/>
    </row>
    <row r="1500" spans="1:5" ht="24.75" customHeight="1">
      <c r="A1500" s="2">
        <v>1498</v>
      </c>
      <c r="B1500" s="2" t="str">
        <f>"石志伟"</f>
        <v>石志伟</v>
      </c>
      <c r="C1500" s="2" t="s">
        <v>1437</v>
      </c>
      <c r="D1500" s="2" t="s">
        <v>1451</v>
      </c>
      <c r="E1500" s="3"/>
    </row>
    <row r="1501" spans="1:5" ht="24.75" customHeight="1">
      <c r="A1501" s="2">
        <v>1499</v>
      </c>
      <c r="B1501" s="2" t="str">
        <f>"王佛乐"</f>
        <v>王佛乐</v>
      </c>
      <c r="C1501" s="2" t="s">
        <v>1437</v>
      </c>
      <c r="D1501" s="2" t="s">
        <v>1452</v>
      </c>
      <c r="E1501" s="3"/>
    </row>
    <row r="1502" spans="1:5" ht="24.75" customHeight="1">
      <c r="A1502" s="2">
        <v>1500</v>
      </c>
      <c r="B1502" s="2" t="str">
        <f>"邓曜文"</f>
        <v>邓曜文</v>
      </c>
      <c r="C1502" s="2" t="s">
        <v>1437</v>
      </c>
      <c r="D1502" s="2" t="s">
        <v>1453</v>
      </c>
      <c r="E1502" s="3"/>
    </row>
    <row r="1503" spans="1:5" ht="24.75" customHeight="1">
      <c r="A1503" s="2">
        <v>1501</v>
      </c>
      <c r="B1503" s="2" t="str">
        <f>"吴华发"</f>
        <v>吴华发</v>
      </c>
      <c r="C1503" s="2" t="s">
        <v>1437</v>
      </c>
      <c r="D1503" s="2" t="s">
        <v>1454</v>
      </c>
      <c r="E1503" s="3"/>
    </row>
    <row r="1504" spans="1:5" ht="24.75" customHeight="1">
      <c r="A1504" s="2">
        <v>1502</v>
      </c>
      <c r="B1504" s="2" t="str">
        <f>"陈言鑫"</f>
        <v>陈言鑫</v>
      </c>
      <c r="C1504" s="2" t="s">
        <v>1437</v>
      </c>
      <c r="D1504" s="2" t="s">
        <v>1455</v>
      </c>
      <c r="E1504" s="3"/>
    </row>
    <row r="1505" spans="1:5" ht="24.75" customHeight="1">
      <c r="A1505" s="2">
        <v>1503</v>
      </c>
      <c r="B1505" s="2" t="str">
        <f>"郑慕华"</f>
        <v>郑慕华</v>
      </c>
      <c r="C1505" s="2" t="s">
        <v>1456</v>
      </c>
      <c r="D1505" s="2" t="s">
        <v>1457</v>
      </c>
      <c r="E1505" s="3"/>
    </row>
    <row r="1506" spans="1:5" ht="24.75" customHeight="1">
      <c r="A1506" s="2">
        <v>1504</v>
      </c>
      <c r="B1506" s="2" t="str">
        <f>"吴花丽"</f>
        <v>吴花丽</v>
      </c>
      <c r="C1506" s="2" t="s">
        <v>1456</v>
      </c>
      <c r="D1506" s="2" t="s">
        <v>1458</v>
      </c>
      <c r="E1506" s="3"/>
    </row>
    <row r="1507" spans="1:5" ht="24.75" customHeight="1">
      <c r="A1507" s="2">
        <v>1505</v>
      </c>
      <c r="B1507" s="2" t="str">
        <f>"黎灵璞"</f>
        <v>黎灵璞</v>
      </c>
      <c r="C1507" s="2" t="s">
        <v>1456</v>
      </c>
      <c r="D1507" s="2" t="s">
        <v>1459</v>
      </c>
      <c r="E1507" s="3"/>
    </row>
    <row r="1508" spans="1:5" ht="24.75" customHeight="1">
      <c r="A1508" s="2">
        <v>1506</v>
      </c>
      <c r="B1508" s="2" t="str">
        <f>"王其星"</f>
        <v>王其星</v>
      </c>
      <c r="C1508" s="2" t="s">
        <v>1456</v>
      </c>
      <c r="D1508" s="2" t="s">
        <v>1460</v>
      </c>
      <c r="E1508" s="3"/>
    </row>
    <row r="1509" spans="1:5" ht="24.75" customHeight="1">
      <c r="A1509" s="2">
        <v>1507</v>
      </c>
      <c r="B1509" s="2" t="str">
        <f>"符诗慧"</f>
        <v>符诗慧</v>
      </c>
      <c r="C1509" s="2" t="s">
        <v>1456</v>
      </c>
      <c r="D1509" s="2" t="s">
        <v>1461</v>
      </c>
      <c r="E1509" s="3"/>
    </row>
    <row r="1510" spans="1:5" ht="24.75" customHeight="1">
      <c r="A1510" s="2">
        <v>1508</v>
      </c>
      <c r="B1510" s="2" t="str">
        <f>"王莹"</f>
        <v>王莹</v>
      </c>
      <c r="C1510" s="2" t="s">
        <v>1456</v>
      </c>
      <c r="D1510" s="2" t="s">
        <v>1462</v>
      </c>
      <c r="E1510" s="3"/>
    </row>
    <row r="1511" spans="1:5" ht="24.75" customHeight="1">
      <c r="A1511" s="2">
        <v>1509</v>
      </c>
      <c r="B1511" s="2" t="str">
        <f>"许茉"</f>
        <v>许茉</v>
      </c>
      <c r="C1511" s="2" t="s">
        <v>1456</v>
      </c>
      <c r="D1511" s="2" t="s">
        <v>1463</v>
      </c>
      <c r="E1511" s="3"/>
    </row>
    <row r="1512" spans="1:5" ht="24.75" customHeight="1">
      <c r="A1512" s="2">
        <v>1510</v>
      </c>
      <c r="B1512" s="2" t="str">
        <f>"俞灏泽"</f>
        <v>俞灏泽</v>
      </c>
      <c r="C1512" s="2" t="s">
        <v>1456</v>
      </c>
      <c r="D1512" s="2" t="s">
        <v>1464</v>
      </c>
      <c r="E1512" s="3"/>
    </row>
    <row r="1513" spans="1:5" ht="24.75" customHeight="1">
      <c r="A1513" s="2">
        <v>1511</v>
      </c>
      <c r="B1513" s="2" t="str">
        <f>"方俪桥"</f>
        <v>方俪桥</v>
      </c>
      <c r="C1513" s="2" t="s">
        <v>1456</v>
      </c>
      <c r="D1513" s="2" t="s">
        <v>1465</v>
      </c>
      <c r="E1513" s="3"/>
    </row>
    <row r="1514" spans="1:5" ht="24.75" customHeight="1">
      <c r="A1514" s="2">
        <v>1512</v>
      </c>
      <c r="B1514" s="2" t="str">
        <f>"简怡君"</f>
        <v>简怡君</v>
      </c>
      <c r="C1514" s="2" t="s">
        <v>1456</v>
      </c>
      <c r="D1514" s="2" t="s">
        <v>1466</v>
      </c>
      <c r="E1514" s="3"/>
    </row>
    <row r="1515" spans="1:5" ht="24.75" customHeight="1">
      <c r="A1515" s="2">
        <v>1513</v>
      </c>
      <c r="B1515" s="2" t="str">
        <f>"刘志宽"</f>
        <v>刘志宽</v>
      </c>
      <c r="C1515" s="2" t="s">
        <v>1456</v>
      </c>
      <c r="D1515" s="2" t="s">
        <v>1467</v>
      </c>
      <c r="E1515" s="3"/>
    </row>
    <row r="1516" spans="1:5" ht="24.75" customHeight="1">
      <c r="A1516" s="2">
        <v>1514</v>
      </c>
      <c r="B1516" s="2" t="str">
        <f>"徐超"</f>
        <v>徐超</v>
      </c>
      <c r="C1516" s="2" t="s">
        <v>1456</v>
      </c>
      <c r="D1516" s="2" t="s">
        <v>1468</v>
      </c>
      <c r="E1516" s="3"/>
    </row>
    <row r="1517" spans="1:5" ht="24.75" customHeight="1">
      <c r="A1517" s="2">
        <v>1515</v>
      </c>
      <c r="B1517" s="2" t="str">
        <f>"耿涛"</f>
        <v>耿涛</v>
      </c>
      <c r="C1517" s="2" t="s">
        <v>1456</v>
      </c>
      <c r="D1517" s="2" t="s">
        <v>1469</v>
      </c>
      <c r="E1517" s="3"/>
    </row>
    <row r="1518" spans="1:5" ht="24.75" customHeight="1">
      <c r="A1518" s="2">
        <v>1516</v>
      </c>
      <c r="B1518" s="2" t="str">
        <f>"吴小诺"</f>
        <v>吴小诺</v>
      </c>
      <c r="C1518" s="2" t="s">
        <v>1456</v>
      </c>
      <c r="D1518" s="2" t="s">
        <v>1470</v>
      </c>
      <c r="E1518" s="3"/>
    </row>
    <row r="1519" spans="1:5" ht="24.75" customHeight="1">
      <c r="A1519" s="2">
        <v>1517</v>
      </c>
      <c r="B1519" s="2" t="str">
        <f>"吴林直"</f>
        <v>吴林直</v>
      </c>
      <c r="C1519" s="2" t="s">
        <v>1456</v>
      </c>
      <c r="D1519" s="2" t="s">
        <v>1291</v>
      </c>
      <c r="E1519" s="3"/>
    </row>
    <row r="1520" spans="1:5" ht="24.75" customHeight="1">
      <c r="A1520" s="2">
        <v>1518</v>
      </c>
      <c r="B1520" s="2" t="str">
        <f>"吴仁刚"</f>
        <v>吴仁刚</v>
      </c>
      <c r="C1520" s="2" t="s">
        <v>1456</v>
      </c>
      <c r="D1520" s="2" t="s">
        <v>1471</v>
      </c>
      <c r="E1520" s="3"/>
    </row>
    <row r="1521" spans="1:5" ht="24.75" customHeight="1">
      <c r="A1521" s="2">
        <v>1519</v>
      </c>
      <c r="B1521" s="2" t="str">
        <f>"夏文帅"</f>
        <v>夏文帅</v>
      </c>
      <c r="C1521" s="2" t="s">
        <v>1456</v>
      </c>
      <c r="D1521" s="2" t="s">
        <v>1472</v>
      </c>
      <c r="E1521" s="3"/>
    </row>
    <row r="1522" spans="1:5" ht="24.75" customHeight="1">
      <c r="A1522" s="2">
        <v>1520</v>
      </c>
      <c r="B1522" s="2" t="str">
        <f>"马光束"</f>
        <v>马光束</v>
      </c>
      <c r="C1522" s="2" t="s">
        <v>1456</v>
      </c>
      <c r="D1522" s="2" t="s">
        <v>1473</v>
      </c>
      <c r="E1522" s="3"/>
    </row>
    <row r="1523" spans="1:5" ht="24.75" customHeight="1">
      <c r="A1523" s="2">
        <v>1521</v>
      </c>
      <c r="B1523" s="2" t="str">
        <f>"张正媛"</f>
        <v>张正媛</v>
      </c>
      <c r="C1523" s="2" t="s">
        <v>1474</v>
      </c>
      <c r="D1523" s="2" t="s">
        <v>1475</v>
      </c>
      <c r="E1523" s="3"/>
    </row>
    <row r="1524" spans="1:5" ht="24.75" customHeight="1">
      <c r="A1524" s="2">
        <v>1522</v>
      </c>
      <c r="B1524" s="2" t="str">
        <f>"代镒莹"</f>
        <v>代镒莹</v>
      </c>
      <c r="C1524" s="2" t="s">
        <v>1474</v>
      </c>
      <c r="D1524" s="2" t="s">
        <v>1476</v>
      </c>
      <c r="E1524" s="3"/>
    </row>
    <row r="1525" spans="1:5" ht="24.75" customHeight="1">
      <c r="A1525" s="2">
        <v>1523</v>
      </c>
      <c r="B1525" s="2" t="str">
        <f>"钟易汝"</f>
        <v>钟易汝</v>
      </c>
      <c r="C1525" s="2" t="s">
        <v>1474</v>
      </c>
      <c r="D1525" s="2" t="s">
        <v>1477</v>
      </c>
      <c r="E1525" s="3"/>
    </row>
    <row r="1526" spans="1:5" ht="24.75" customHeight="1">
      <c r="A1526" s="2">
        <v>1524</v>
      </c>
      <c r="B1526" s="2" t="str">
        <f>"曾雅菲"</f>
        <v>曾雅菲</v>
      </c>
      <c r="C1526" s="2" t="s">
        <v>1474</v>
      </c>
      <c r="D1526" s="2" t="s">
        <v>293</v>
      </c>
      <c r="E1526" s="3"/>
    </row>
    <row r="1527" spans="1:5" ht="24.75" customHeight="1">
      <c r="A1527" s="2">
        <v>1525</v>
      </c>
      <c r="B1527" s="2" t="str">
        <f>"陈艳"</f>
        <v>陈艳</v>
      </c>
      <c r="C1527" s="2" t="s">
        <v>1474</v>
      </c>
      <c r="D1527" s="2" t="s">
        <v>1478</v>
      </c>
      <c r="E1527" s="3"/>
    </row>
    <row r="1528" spans="1:5" ht="24.75" customHeight="1">
      <c r="A1528" s="2">
        <v>1526</v>
      </c>
      <c r="B1528" s="2" t="str">
        <f>"刘云涛"</f>
        <v>刘云涛</v>
      </c>
      <c r="C1528" s="2" t="s">
        <v>1474</v>
      </c>
      <c r="D1528" s="2" t="s">
        <v>1479</v>
      </c>
      <c r="E1528" s="3"/>
    </row>
    <row r="1529" spans="1:5" ht="24.75" customHeight="1">
      <c r="A1529" s="2">
        <v>1527</v>
      </c>
      <c r="B1529" s="2" t="str">
        <f>"黄群"</f>
        <v>黄群</v>
      </c>
      <c r="C1529" s="2" t="s">
        <v>1474</v>
      </c>
      <c r="D1529" s="2" t="s">
        <v>1480</v>
      </c>
      <c r="E1529" s="3"/>
    </row>
    <row r="1530" spans="1:5" ht="24.75" customHeight="1">
      <c r="A1530" s="2">
        <v>1528</v>
      </c>
      <c r="B1530" s="2" t="str">
        <f>"林晓彬"</f>
        <v>林晓彬</v>
      </c>
      <c r="C1530" s="2" t="s">
        <v>1474</v>
      </c>
      <c r="D1530" s="2" t="s">
        <v>1481</v>
      </c>
      <c r="E1530" s="3"/>
    </row>
    <row r="1531" spans="1:5" ht="24.75" customHeight="1">
      <c r="A1531" s="2">
        <v>1529</v>
      </c>
      <c r="B1531" s="2" t="str">
        <f>"羊美华"</f>
        <v>羊美华</v>
      </c>
      <c r="C1531" s="2" t="s">
        <v>1474</v>
      </c>
      <c r="D1531" s="2" t="s">
        <v>1482</v>
      </c>
      <c r="E1531" s="3"/>
    </row>
    <row r="1532" spans="1:5" ht="24.75" customHeight="1">
      <c r="A1532" s="2">
        <v>1530</v>
      </c>
      <c r="B1532" s="2" t="str">
        <f>"邱玲"</f>
        <v>邱玲</v>
      </c>
      <c r="C1532" s="2" t="s">
        <v>1474</v>
      </c>
      <c r="D1532" s="2" t="s">
        <v>1483</v>
      </c>
      <c r="E1532" s="3"/>
    </row>
    <row r="1533" spans="1:5" ht="24.75" customHeight="1">
      <c r="A1533" s="2">
        <v>1531</v>
      </c>
      <c r="B1533" s="2" t="str">
        <f>"羊英瑛"</f>
        <v>羊英瑛</v>
      </c>
      <c r="C1533" s="2" t="s">
        <v>1474</v>
      </c>
      <c r="D1533" s="2" t="s">
        <v>1484</v>
      </c>
      <c r="E1533" s="3"/>
    </row>
    <row r="1534" spans="1:5" ht="24.75" customHeight="1">
      <c r="A1534" s="2">
        <v>1532</v>
      </c>
      <c r="B1534" s="2" t="str">
        <f>"王燕馨"</f>
        <v>王燕馨</v>
      </c>
      <c r="C1534" s="2" t="s">
        <v>1474</v>
      </c>
      <c r="D1534" s="2" t="s">
        <v>1485</v>
      </c>
      <c r="E1534" s="3"/>
    </row>
    <row r="1535" spans="1:5" ht="24.75" customHeight="1">
      <c r="A1535" s="2">
        <v>1533</v>
      </c>
      <c r="B1535" s="2" t="str">
        <f>"王必侯"</f>
        <v>王必侯</v>
      </c>
      <c r="C1535" s="2" t="s">
        <v>1474</v>
      </c>
      <c r="D1535" s="2" t="s">
        <v>1139</v>
      </c>
      <c r="E1535" s="3"/>
    </row>
    <row r="1536" spans="1:5" ht="24.75" customHeight="1">
      <c r="A1536" s="2">
        <v>1534</v>
      </c>
      <c r="B1536" s="2" t="str">
        <f>"钟圣泉"</f>
        <v>钟圣泉</v>
      </c>
      <c r="C1536" s="2" t="s">
        <v>1474</v>
      </c>
      <c r="D1536" s="2" t="s">
        <v>1486</v>
      </c>
      <c r="E1536" s="3"/>
    </row>
    <row r="1537" spans="1:5" ht="24.75" customHeight="1">
      <c r="A1537" s="2">
        <v>1535</v>
      </c>
      <c r="B1537" s="2" t="str">
        <f>"张慧蓥"</f>
        <v>张慧蓥</v>
      </c>
      <c r="C1537" s="2" t="s">
        <v>1474</v>
      </c>
      <c r="D1537" s="2" t="s">
        <v>1487</v>
      </c>
      <c r="E1537" s="3"/>
    </row>
    <row r="1538" spans="1:5" ht="24.75" customHeight="1">
      <c r="A1538" s="2">
        <v>1536</v>
      </c>
      <c r="B1538" s="2" t="str">
        <f>"高源"</f>
        <v>高源</v>
      </c>
      <c r="C1538" s="2" t="s">
        <v>1474</v>
      </c>
      <c r="D1538" s="2" t="s">
        <v>1488</v>
      </c>
      <c r="E1538" s="3"/>
    </row>
    <row r="1539" spans="1:5" ht="24.75" customHeight="1">
      <c r="A1539" s="2">
        <v>1537</v>
      </c>
      <c r="B1539" s="2" t="str">
        <f>"谢应翠"</f>
        <v>谢应翠</v>
      </c>
      <c r="C1539" s="2" t="s">
        <v>1474</v>
      </c>
      <c r="D1539" s="2" t="s">
        <v>1489</v>
      </c>
      <c r="E1539" s="3"/>
    </row>
    <row r="1540" spans="1:5" ht="24.75" customHeight="1">
      <c r="A1540" s="2">
        <v>1538</v>
      </c>
      <c r="B1540" s="2" t="str">
        <f>"郑建丽"</f>
        <v>郑建丽</v>
      </c>
      <c r="C1540" s="2" t="s">
        <v>1474</v>
      </c>
      <c r="D1540" s="2" t="s">
        <v>1490</v>
      </c>
      <c r="E1540" s="3"/>
    </row>
    <row r="1541" spans="1:5" ht="24.75" customHeight="1">
      <c r="A1541" s="2">
        <v>1539</v>
      </c>
      <c r="B1541" s="2" t="str">
        <f>"金万姜"</f>
        <v>金万姜</v>
      </c>
      <c r="C1541" s="2" t="s">
        <v>1491</v>
      </c>
      <c r="D1541" s="2" t="s">
        <v>1492</v>
      </c>
      <c r="E1541" s="3"/>
    </row>
    <row r="1542" spans="1:5" ht="24.75" customHeight="1">
      <c r="A1542" s="2">
        <v>1540</v>
      </c>
      <c r="B1542" s="2" t="str">
        <f>"张博莲"</f>
        <v>张博莲</v>
      </c>
      <c r="C1542" s="2" t="s">
        <v>1491</v>
      </c>
      <c r="D1542" s="2" t="s">
        <v>1493</v>
      </c>
      <c r="E1542" s="3"/>
    </row>
    <row r="1543" spans="1:5" ht="24.75" customHeight="1">
      <c r="A1543" s="2">
        <v>1541</v>
      </c>
      <c r="B1543" s="2" t="str">
        <f>"韦吉烨"</f>
        <v>韦吉烨</v>
      </c>
      <c r="C1543" s="2" t="s">
        <v>1491</v>
      </c>
      <c r="D1543" s="2" t="s">
        <v>1494</v>
      </c>
      <c r="E1543" s="3"/>
    </row>
    <row r="1544" spans="1:5" ht="24.75" customHeight="1">
      <c r="A1544" s="2">
        <v>1542</v>
      </c>
      <c r="B1544" s="2" t="str">
        <f>"赵媛媛"</f>
        <v>赵媛媛</v>
      </c>
      <c r="C1544" s="2" t="s">
        <v>1491</v>
      </c>
      <c r="D1544" s="2" t="s">
        <v>1495</v>
      </c>
      <c r="E1544" s="3"/>
    </row>
    <row r="1545" spans="1:5" ht="24.75" customHeight="1">
      <c r="A1545" s="2">
        <v>1543</v>
      </c>
      <c r="B1545" s="2" t="str">
        <f>"陈淑娩"</f>
        <v>陈淑娩</v>
      </c>
      <c r="C1545" s="2" t="s">
        <v>1491</v>
      </c>
      <c r="D1545" s="2" t="s">
        <v>1496</v>
      </c>
      <c r="E1545" s="3"/>
    </row>
    <row r="1546" spans="1:5" ht="24.75" customHeight="1">
      <c r="A1546" s="2">
        <v>1544</v>
      </c>
      <c r="B1546" s="2" t="str">
        <f>"符春玲"</f>
        <v>符春玲</v>
      </c>
      <c r="C1546" s="2" t="s">
        <v>1491</v>
      </c>
      <c r="D1546" s="2" t="s">
        <v>1497</v>
      </c>
      <c r="E1546" s="3"/>
    </row>
    <row r="1547" spans="1:5" ht="24.75" customHeight="1">
      <c r="A1547" s="2">
        <v>1545</v>
      </c>
      <c r="B1547" s="2" t="str">
        <f>"马丽少"</f>
        <v>马丽少</v>
      </c>
      <c r="C1547" s="2" t="s">
        <v>1491</v>
      </c>
      <c r="D1547" s="2" t="s">
        <v>1498</v>
      </c>
      <c r="E1547" s="3"/>
    </row>
    <row r="1548" spans="1:5" ht="24.75" customHeight="1">
      <c r="A1548" s="2">
        <v>1546</v>
      </c>
      <c r="B1548" s="2" t="str">
        <f>"毛莎莎"</f>
        <v>毛莎莎</v>
      </c>
      <c r="C1548" s="2" t="s">
        <v>1491</v>
      </c>
      <c r="D1548" s="2" t="s">
        <v>1499</v>
      </c>
      <c r="E1548" s="3"/>
    </row>
    <row r="1549" spans="1:5" ht="24.75" customHeight="1">
      <c r="A1549" s="2">
        <v>1547</v>
      </c>
      <c r="B1549" s="2" t="str">
        <f>"王雅芳"</f>
        <v>王雅芳</v>
      </c>
      <c r="C1549" s="2" t="s">
        <v>1500</v>
      </c>
      <c r="D1549" s="2" t="s">
        <v>427</v>
      </c>
      <c r="E1549" s="3"/>
    </row>
    <row r="1550" spans="1:5" ht="24.75" customHeight="1">
      <c r="A1550" s="2">
        <v>1548</v>
      </c>
      <c r="B1550" s="2" t="str">
        <f>"许洋洋"</f>
        <v>许洋洋</v>
      </c>
      <c r="C1550" s="2" t="s">
        <v>1500</v>
      </c>
      <c r="D1550" s="2" t="s">
        <v>1501</v>
      </c>
      <c r="E1550" s="3"/>
    </row>
    <row r="1551" spans="1:5" ht="24.75" customHeight="1">
      <c r="A1551" s="2">
        <v>1549</v>
      </c>
      <c r="B1551" s="2" t="str">
        <f>"梁莲花"</f>
        <v>梁莲花</v>
      </c>
      <c r="C1551" s="2" t="s">
        <v>1500</v>
      </c>
      <c r="D1551" s="2" t="s">
        <v>1502</v>
      </c>
      <c r="E1551" s="3"/>
    </row>
    <row r="1552" spans="1:5" ht="24.75" customHeight="1">
      <c r="A1552" s="2">
        <v>1550</v>
      </c>
      <c r="B1552" s="2" t="str">
        <f>"王彬彬"</f>
        <v>王彬彬</v>
      </c>
      <c r="C1552" s="2" t="s">
        <v>1500</v>
      </c>
      <c r="D1552" s="2" t="s">
        <v>357</v>
      </c>
      <c r="E1552" s="3"/>
    </row>
    <row r="1553" spans="1:5" ht="24.75" customHeight="1">
      <c r="A1553" s="2">
        <v>1551</v>
      </c>
      <c r="B1553" s="2" t="str">
        <f>"林美肖"</f>
        <v>林美肖</v>
      </c>
      <c r="C1553" s="2" t="s">
        <v>1500</v>
      </c>
      <c r="D1553" s="2" t="s">
        <v>1503</v>
      </c>
      <c r="E1553" s="3"/>
    </row>
    <row r="1554" spans="1:5" ht="24.75" customHeight="1">
      <c r="A1554" s="2">
        <v>1552</v>
      </c>
      <c r="B1554" s="2" t="str">
        <f>"符书娇"</f>
        <v>符书娇</v>
      </c>
      <c r="C1554" s="2" t="s">
        <v>1500</v>
      </c>
      <c r="D1554" s="2" t="s">
        <v>1504</v>
      </c>
      <c r="E1554" s="3"/>
    </row>
    <row r="1555" spans="1:5" ht="24.75" customHeight="1">
      <c r="A1555" s="2">
        <v>1553</v>
      </c>
      <c r="B1555" s="2" t="str">
        <f>"孙瑞文"</f>
        <v>孙瑞文</v>
      </c>
      <c r="C1555" s="2" t="s">
        <v>1500</v>
      </c>
      <c r="D1555" s="2" t="s">
        <v>1505</v>
      </c>
      <c r="E1555" s="3"/>
    </row>
    <row r="1556" spans="1:5" ht="24.75" customHeight="1">
      <c r="A1556" s="2">
        <v>1554</v>
      </c>
      <c r="B1556" s="2" t="str">
        <f>"黄小娟"</f>
        <v>黄小娟</v>
      </c>
      <c r="C1556" s="2" t="s">
        <v>1500</v>
      </c>
      <c r="D1556" s="2" t="s">
        <v>1506</v>
      </c>
      <c r="E1556" s="3"/>
    </row>
    <row r="1557" spans="1:5" ht="24.75" customHeight="1">
      <c r="A1557" s="2">
        <v>1555</v>
      </c>
      <c r="B1557" s="2" t="str">
        <f>"陈福义"</f>
        <v>陈福义</v>
      </c>
      <c r="C1557" s="2" t="s">
        <v>1507</v>
      </c>
      <c r="D1557" s="2" t="s">
        <v>1508</v>
      </c>
      <c r="E1557" s="3"/>
    </row>
    <row r="1558" spans="1:5" ht="24.75" customHeight="1">
      <c r="A1558" s="2">
        <v>1556</v>
      </c>
      <c r="B1558" s="2" t="str">
        <f>"黎带桃"</f>
        <v>黎带桃</v>
      </c>
      <c r="C1558" s="2" t="s">
        <v>1507</v>
      </c>
      <c r="D1558" s="2" t="s">
        <v>1509</v>
      </c>
      <c r="E1558" s="3"/>
    </row>
    <row r="1559" spans="1:5" ht="24.75" customHeight="1">
      <c r="A1559" s="2">
        <v>1557</v>
      </c>
      <c r="B1559" s="2" t="str">
        <f>"李毅妹"</f>
        <v>李毅妹</v>
      </c>
      <c r="C1559" s="2" t="s">
        <v>1507</v>
      </c>
      <c r="D1559" s="2" t="s">
        <v>1510</v>
      </c>
      <c r="E1559" s="3"/>
    </row>
    <row r="1560" spans="1:5" ht="24.75" customHeight="1">
      <c r="A1560" s="2">
        <v>1558</v>
      </c>
      <c r="B1560" s="2" t="str">
        <f>"吴定韬"</f>
        <v>吴定韬</v>
      </c>
      <c r="C1560" s="2" t="s">
        <v>1507</v>
      </c>
      <c r="D1560" s="2" t="s">
        <v>1511</v>
      </c>
      <c r="E1560" s="3"/>
    </row>
    <row r="1561" spans="1:5" ht="24.75" customHeight="1">
      <c r="A1561" s="2">
        <v>1559</v>
      </c>
      <c r="B1561" s="2" t="str">
        <f>"李万丽"</f>
        <v>李万丽</v>
      </c>
      <c r="C1561" s="2" t="s">
        <v>1507</v>
      </c>
      <c r="D1561" s="2" t="s">
        <v>1512</v>
      </c>
      <c r="E1561" s="3"/>
    </row>
    <row r="1562" spans="1:5" ht="24.75" customHeight="1">
      <c r="A1562" s="2">
        <v>1560</v>
      </c>
      <c r="B1562" s="2" t="str">
        <f>"杨学新"</f>
        <v>杨学新</v>
      </c>
      <c r="C1562" s="2" t="s">
        <v>1513</v>
      </c>
      <c r="D1562" s="2" t="s">
        <v>1514</v>
      </c>
      <c r="E1562" s="3"/>
    </row>
    <row r="1563" spans="1:5" ht="24.75" customHeight="1">
      <c r="A1563" s="2">
        <v>1561</v>
      </c>
      <c r="B1563" s="2" t="str">
        <f>"王发慧"</f>
        <v>王发慧</v>
      </c>
      <c r="C1563" s="2" t="s">
        <v>1513</v>
      </c>
      <c r="D1563" s="2" t="s">
        <v>1515</v>
      </c>
      <c r="E1563" s="3"/>
    </row>
    <row r="1564" spans="1:5" ht="24.75" customHeight="1">
      <c r="A1564" s="2">
        <v>1562</v>
      </c>
      <c r="B1564" s="2" t="str">
        <f>"李淑芝"</f>
        <v>李淑芝</v>
      </c>
      <c r="C1564" s="2" t="s">
        <v>1513</v>
      </c>
      <c r="D1564" s="2" t="s">
        <v>1516</v>
      </c>
      <c r="E1564" s="3"/>
    </row>
    <row r="1565" spans="1:5" ht="24.75" customHeight="1">
      <c r="A1565" s="2">
        <v>1563</v>
      </c>
      <c r="B1565" s="2" t="str">
        <f>"吴开吉"</f>
        <v>吴开吉</v>
      </c>
      <c r="C1565" s="2" t="s">
        <v>1513</v>
      </c>
      <c r="D1565" s="2" t="s">
        <v>1517</v>
      </c>
      <c r="E1565" s="3"/>
    </row>
    <row r="1566" spans="1:5" ht="24.75" customHeight="1">
      <c r="A1566" s="2">
        <v>1564</v>
      </c>
      <c r="B1566" s="2" t="str">
        <f>"王春政"</f>
        <v>王春政</v>
      </c>
      <c r="C1566" s="2" t="s">
        <v>1513</v>
      </c>
      <c r="D1566" s="2" t="s">
        <v>1518</v>
      </c>
      <c r="E1566" s="3"/>
    </row>
    <row r="1567" spans="1:5" ht="24.75" customHeight="1">
      <c r="A1567" s="2">
        <v>1565</v>
      </c>
      <c r="B1567" s="2" t="str">
        <f>"李宇"</f>
        <v>李宇</v>
      </c>
      <c r="C1567" s="2" t="s">
        <v>1513</v>
      </c>
      <c r="D1567" s="2" t="s">
        <v>1519</v>
      </c>
      <c r="E1567" s="3"/>
    </row>
    <row r="1568" spans="1:5" ht="24.75" customHeight="1">
      <c r="A1568" s="2">
        <v>1566</v>
      </c>
      <c r="B1568" s="2" t="str">
        <f>"张俊道"</f>
        <v>张俊道</v>
      </c>
      <c r="C1568" s="2" t="s">
        <v>1513</v>
      </c>
      <c r="D1568" s="2" t="s">
        <v>1520</v>
      </c>
      <c r="E1568" s="3"/>
    </row>
    <row r="1569" spans="1:5" ht="24.75" customHeight="1">
      <c r="A1569" s="2">
        <v>1567</v>
      </c>
      <c r="B1569" s="2" t="str">
        <f>"吴光灵"</f>
        <v>吴光灵</v>
      </c>
      <c r="C1569" s="2" t="s">
        <v>1513</v>
      </c>
      <c r="D1569" s="2" t="s">
        <v>1521</v>
      </c>
      <c r="E1569" s="3"/>
    </row>
    <row r="1570" spans="1:5" ht="24.75" customHeight="1">
      <c r="A1570" s="2">
        <v>1568</v>
      </c>
      <c r="B1570" s="2" t="str">
        <f>"羊玉秋"</f>
        <v>羊玉秋</v>
      </c>
      <c r="C1570" s="2" t="s">
        <v>1513</v>
      </c>
      <c r="D1570" s="2" t="s">
        <v>1522</v>
      </c>
      <c r="E1570" s="3"/>
    </row>
    <row r="1571" spans="1:5" ht="24.75" customHeight="1">
      <c r="A1571" s="2">
        <v>1569</v>
      </c>
      <c r="B1571" s="2" t="str">
        <f>"黄宁祥"</f>
        <v>黄宁祥</v>
      </c>
      <c r="C1571" s="2" t="s">
        <v>1513</v>
      </c>
      <c r="D1571" s="2" t="s">
        <v>1523</v>
      </c>
      <c r="E1571" s="3"/>
    </row>
    <row r="1572" spans="1:5" ht="24.75" customHeight="1">
      <c r="A1572" s="2">
        <v>1570</v>
      </c>
      <c r="B1572" s="2" t="str">
        <f>"杨寿星"</f>
        <v>杨寿星</v>
      </c>
      <c r="C1572" s="2" t="s">
        <v>1513</v>
      </c>
      <c r="D1572" s="2" t="s">
        <v>1524</v>
      </c>
      <c r="E1572" s="3"/>
    </row>
    <row r="1573" spans="1:5" ht="24.75" customHeight="1">
      <c r="A1573" s="2">
        <v>1571</v>
      </c>
      <c r="B1573" s="2" t="str">
        <f>"苏海锋"</f>
        <v>苏海锋</v>
      </c>
      <c r="C1573" s="2" t="s">
        <v>1513</v>
      </c>
      <c r="D1573" s="2" t="s">
        <v>1525</v>
      </c>
      <c r="E1573" s="3"/>
    </row>
    <row r="1574" spans="1:5" ht="24.75" customHeight="1">
      <c r="A1574" s="2">
        <v>1572</v>
      </c>
      <c r="B1574" s="2" t="str">
        <f>"吴卓华"</f>
        <v>吴卓华</v>
      </c>
      <c r="C1574" s="2" t="s">
        <v>1513</v>
      </c>
      <c r="D1574" s="2" t="s">
        <v>1526</v>
      </c>
      <c r="E1574" s="3"/>
    </row>
    <row r="1575" spans="1:5" ht="24.75" customHeight="1">
      <c r="A1575" s="2">
        <v>1573</v>
      </c>
      <c r="B1575" s="2" t="str">
        <f>"麦凌志"</f>
        <v>麦凌志</v>
      </c>
      <c r="C1575" s="2" t="s">
        <v>1513</v>
      </c>
      <c r="D1575" s="2" t="s">
        <v>1527</v>
      </c>
      <c r="E1575" s="3"/>
    </row>
    <row r="1576" spans="1:5" ht="24.75" customHeight="1">
      <c r="A1576" s="2">
        <v>1574</v>
      </c>
      <c r="B1576" s="2" t="str">
        <f>"高鑫"</f>
        <v>高鑫</v>
      </c>
      <c r="C1576" s="2" t="s">
        <v>1513</v>
      </c>
      <c r="D1576" s="2" t="s">
        <v>1528</v>
      </c>
      <c r="E1576" s="3"/>
    </row>
    <row r="1577" spans="1:5" ht="24.75" customHeight="1">
      <c r="A1577" s="2">
        <v>1575</v>
      </c>
      <c r="B1577" s="2" t="str">
        <f>"林明智"</f>
        <v>林明智</v>
      </c>
      <c r="C1577" s="2" t="s">
        <v>1513</v>
      </c>
      <c r="D1577" s="2" t="s">
        <v>1529</v>
      </c>
      <c r="E1577" s="3"/>
    </row>
    <row r="1578" spans="1:5" ht="24.75" customHeight="1">
      <c r="A1578" s="2">
        <v>1576</v>
      </c>
      <c r="B1578" s="2" t="str">
        <f>"周家华"</f>
        <v>周家华</v>
      </c>
      <c r="C1578" s="2" t="s">
        <v>1513</v>
      </c>
      <c r="D1578" s="2" t="s">
        <v>1530</v>
      </c>
      <c r="E1578" s="3"/>
    </row>
    <row r="1579" spans="1:5" ht="24.75" customHeight="1">
      <c r="A1579" s="2">
        <v>1577</v>
      </c>
      <c r="B1579" s="2" t="str">
        <f>"王茜茜"</f>
        <v>王茜茜</v>
      </c>
      <c r="C1579" s="2" t="s">
        <v>1513</v>
      </c>
      <c r="D1579" s="2" t="s">
        <v>1531</v>
      </c>
      <c r="E1579" s="3"/>
    </row>
    <row r="1580" spans="1:5" ht="24.75" customHeight="1">
      <c r="A1580" s="2">
        <v>1578</v>
      </c>
      <c r="B1580" s="2" t="str">
        <f>"王彬吉"</f>
        <v>王彬吉</v>
      </c>
      <c r="C1580" s="2" t="s">
        <v>1513</v>
      </c>
      <c r="D1580" s="2" t="s">
        <v>1532</v>
      </c>
      <c r="E1580" s="3"/>
    </row>
    <row r="1581" spans="1:5" ht="24.75" customHeight="1">
      <c r="A1581" s="2">
        <v>1579</v>
      </c>
      <c r="B1581" s="2" t="str">
        <f>"李坤义"</f>
        <v>李坤义</v>
      </c>
      <c r="C1581" s="2" t="s">
        <v>1513</v>
      </c>
      <c r="D1581" s="2" t="s">
        <v>75</v>
      </c>
      <c r="E1581" s="3"/>
    </row>
    <row r="1582" spans="1:5" ht="24.75" customHeight="1">
      <c r="A1582" s="2">
        <v>1580</v>
      </c>
      <c r="B1582" s="2" t="str">
        <f>"羊斯振"</f>
        <v>羊斯振</v>
      </c>
      <c r="C1582" s="2" t="s">
        <v>1513</v>
      </c>
      <c r="D1582" s="2" t="s">
        <v>1533</v>
      </c>
      <c r="E1582" s="3"/>
    </row>
    <row r="1583" spans="1:5" ht="24.75" customHeight="1">
      <c r="A1583" s="2">
        <v>1581</v>
      </c>
      <c r="B1583" s="2" t="str">
        <f>"吴子勇"</f>
        <v>吴子勇</v>
      </c>
      <c r="C1583" s="2" t="s">
        <v>1513</v>
      </c>
      <c r="D1583" s="2" t="s">
        <v>1534</v>
      </c>
      <c r="E1583" s="3"/>
    </row>
    <row r="1584" spans="1:5" ht="24.75" customHeight="1">
      <c r="A1584" s="2">
        <v>1582</v>
      </c>
      <c r="B1584" s="2" t="str">
        <f>"吉清鸿"</f>
        <v>吉清鸿</v>
      </c>
      <c r="C1584" s="2" t="s">
        <v>1513</v>
      </c>
      <c r="D1584" s="2" t="s">
        <v>1535</v>
      </c>
      <c r="E1584" s="3"/>
    </row>
    <row r="1585" spans="1:5" ht="24.75" customHeight="1">
      <c r="A1585" s="2">
        <v>1583</v>
      </c>
      <c r="B1585" s="2" t="str">
        <f>"孙一博"</f>
        <v>孙一博</v>
      </c>
      <c r="C1585" s="2" t="s">
        <v>1513</v>
      </c>
      <c r="D1585" s="2" t="s">
        <v>1536</v>
      </c>
      <c r="E1585" s="3"/>
    </row>
    <row r="1586" spans="1:5" ht="24.75" customHeight="1">
      <c r="A1586" s="2">
        <v>1584</v>
      </c>
      <c r="B1586" s="2" t="str">
        <f>"阳牧然"</f>
        <v>阳牧然</v>
      </c>
      <c r="C1586" s="2" t="s">
        <v>1513</v>
      </c>
      <c r="D1586" s="2" t="s">
        <v>1537</v>
      </c>
      <c r="E1586" s="3"/>
    </row>
    <row r="1587" spans="1:5" ht="24.75" customHeight="1">
      <c r="A1587" s="2">
        <v>1585</v>
      </c>
      <c r="B1587" s="2" t="str">
        <f>"吴文深"</f>
        <v>吴文深</v>
      </c>
      <c r="C1587" s="2" t="s">
        <v>1513</v>
      </c>
      <c r="D1587" s="2" t="s">
        <v>1538</v>
      </c>
      <c r="E1587" s="3"/>
    </row>
    <row r="1588" spans="1:5" ht="24.75" customHeight="1">
      <c r="A1588" s="2">
        <v>1586</v>
      </c>
      <c r="B1588" s="2" t="str">
        <f>"李日泉"</f>
        <v>李日泉</v>
      </c>
      <c r="C1588" s="2" t="s">
        <v>1513</v>
      </c>
      <c r="D1588" s="2" t="s">
        <v>1539</v>
      </c>
      <c r="E1588" s="3"/>
    </row>
    <row r="1589" spans="1:5" ht="24.75" customHeight="1">
      <c r="A1589" s="2">
        <v>1587</v>
      </c>
      <c r="B1589" s="2" t="str">
        <f>"丁鸿骄"</f>
        <v>丁鸿骄</v>
      </c>
      <c r="C1589" s="2" t="s">
        <v>1513</v>
      </c>
      <c r="D1589" s="2" t="s">
        <v>1540</v>
      </c>
      <c r="E1589" s="3"/>
    </row>
    <row r="1590" spans="1:5" ht="24.75" customHeight="1">
      <c r="A1590" s="2">
        <v>1588</v>
      </c>
      <c r="B1590" s="2" t="str">
        <f>"黎海辉"</f>
        <v>黎海辉</v>
      </c>
      <c r="C1590" s="2" t="s">
        <v>1513</v>
      </c>
      <c r="D1590" s="2" t="s">
        <v>1541</v>
      </c>
      <c r="E1590" s="3"/>
    </row>
    <row r="1591" spans="1:5" ht="24.75" customHeight="1">
      <c r="A1591" s="2">
        <v>1589</v>
      </c>
      <c r="B1591" s="2" t="str">
        <f>"郭衍国"</f>
        <v>郭衍国</v>
      </c>
      <c r="C1591" s="2" t="s">
        <v>1513</v>
      </c>
      <c r="D1591" s="2" t="s">
        <v>1542</v>
      </c>
      <c r="E1591" s="3"/>
    </row>
    <row r="1592" spans="1:5" ht="24.75" customHeight="1">
      <c r="A1592" s="2">
        <v>1590</v>
      </c>
      <c r="B1592" s="2" t="str">
        <f>"任媛媛"</f>
        <v>任媛媛</v>
      </c>
      <c r="C1592" s="2" t="s">
        <v>1513</v>
      </c>
      <c r="D1592" s="2" t="s">
        <v>1543</v>
      </c>
      <c r="E1592" s="3"/>
    </row>
    <row r="1593" spans="1:5" ht="24.75" customHeight="1">
      <c r="A1593" s="2">
        <v>1591</v>
      </c>
      <c r="B1593" s="2" t="str">
        <f>"李国道"</f>
        <v>李国道</v>
      </c>
      <c r="C1593" s="2" t="s">
        <v>1513</v>
      </c>
      <c r="D1593" s="2" t="s">
        <v>1544</v>
      </c>
      <c r="E1593" s="3"/>
    </row>
    <row r="1594" spans="1:5" ht="24.75" customHeight="1">
      <c r="A1594" s="2">
        <v>1592</v>
      </c>
      <c r="B1594" s="2" t="str">
        <f>"吴海鹏"</f>
        <v>吴海鹏</v>
      </c>
      <c r="C1594" s="2" t="s">
        <v>1513</v>
      </c>
      <c r="D1594" s="2" t="s">
        <v>661</v>
      </c>
      <c r="E1594" s="3"/>
    </row>
    <row r="1595" spans="1:5" ht="24.75" customHeight="1">
      <c r="A1595" s="2">
        <v>1593</v>
      </c>
      <c r="B1595" s="2" t="str">
        <f>"林作厚"</f>
        <v>林作厚</v>
      </c>
      <c r="C1595" s="2" t="s">
        <v>1513</v>
      </c>
      <c r="D1595" s="2" t="s">
        <v>1545</v>
      </c>
      <c r="E1595" s="3"/>
    </row>
    <row r="1596" spans="1:5" ht="24.75" customHeight="1">
      <c r="A1596" s="2">
        <v>1594</v>
      </c>
      <c r="B1596" s="2" t="str">
        <f>"陈川通"</f>
        <v>陈川通</v>
      </c>
      <c r="C1596" s="2" t="s">
        <v>1513</v>
      </c>
      <c r="D1596" s="2" t="s">
        <v>1546</v>
      </c>
      <c r="E1596" s="3"/>
    </row>
    <row r="1597" spans="1:5" ht="24.75" customHeight="1">
      <c r="A1597" s="2">
        <v>1595</v>
      </c>
      <c r="B1597" s="2" t="str">
        <f>"潘灵涓"</f>
        <v>潘灵涓</v>
      </c>
      <c r="C1597" s="2" t="s">
        <v>1513</v>
      </c>
      <c r="D1597" s="2" t="s">
        <v>1547</v>
      </c>
      <c r="E1597" s="3"/>
    </row>
    <row r="1598" spans="1:5" ht="24.75" customHeight="1">
      <c r="A1598" s="2">
        <v>1596</v>
      </c>
      <c r="B1598" s="2" t="str">
        <f>"羊丽红"</f>
        <v>羊丽红</v>
      </c>
      <c r="C1598" s="2" t="s">
        <v>1513</v>
      </c>
      <c r="D1598" s="2" t="s">
        <v>1548</v>
      </c>
      <c r="E1598" s="3"/>
    </row>
    <row r="1599" spans="1:5" ht="24.75" customHeight="1">
      <c r="A1599" s="2">
        <v>1597</v>
      </c>
      <c r="B1599" s="2" t="str">
        <f>"李有钦"</f>
        <v>李有钦</v>
      </c>
      <c r="C1599" s="2" t="s">
        <v>1513</v>
      </c>
      <c r="D1599" s="2" t="s">
        <v>1549</v>
      </c>
      <c r="E1599" s="3"/>
    </row>
    <row r="1600" spans="1:5" ht="24.75" customHeight="1">
      <c r="A1600" s="2">
        <v>1598</v>
      </c>
      <c r="B1600" s="2" t="str">
        <f>"潘露扬"</f>
        <v>潘露扬</v>
      </c>
      <c r="C1600" s="2" t="s">
        <v>1513</v>
      </c>
      <c r="D1600" s="2" t="s">
        <v>1550</v>
      </c>
      <c r="E1600" s="3"/>
    </row>
    <row r="1601" spans="1:5" ht="24.75" customHeight="1">
      <c r="A1601" s="2">
        <v>1599</v>
      </c>
      <c r="B1601" s="2" t="str">
        <f>"赵鸿伟"</f>
        <v>赵鸿伟</v>
      </c>
      <c r="C1601" s="2" t="s">
        <v>1513</v>
      </c>
      <c r="D1601" s="2" t="s">
        <v>1551</v>
      </c>
      <c r="E1601" s="3"/>
    </row>
    <row r="1602" spans="1:5" ht="24.75" customHeight="1">
      <c r="A1602" s="2">
        <v>1600</v>
      </c>
      <c r="B1602" s="2" t="str">
        <f>"王季科"</f>
        <v>王季科</v>
      </c>
      <c r="C1602" s="2" t="s">
        <v>1513</v>
      </c>
      <c r="D1602" s="2" t="s">
        <v>1552</v>
      </c>
      <c r="E1602" s="3"/>
    </row>
    <row r="1603" spans="1:5" ht="24.75" customHeight="1">
      <c r="A1603" s="2">
        <v>1601</v>
      </c>
      <c r="B1603" s="2" t="str">
        <f>"李宏斌"</f>
        <v>李宏斌</v>
      </c>
      <c r="C1603" s="2" t="s">
        <v>1513</v>
      </c>
      <c r="D1603" s="2" t="s">
        <v>1553</v>
      </c>
      <c r="E1603" s="3"/>
    </row>
    <row r="1604" spans="1:5" ht="24.75" customHeight="1">
      <c r="A1604" s="2">
        <v>1602</v>
      </c>
      <c r="B1604" s="2" t="str">
        <f>"蔡栋"</f>
        <v>蔡栋</v>
      </c>
      <c r="C1604" s="2" t="s">
        <v>1513</v>
      </c>
      <c r="D1604" s="2" t="s">
        <v>1554</v>
      </c>
      <c r="E1604" s="3"/>
    </row>
    <row r="1605" spans="1:5" ht="24.75" customHeight="1">
      <c r="A1605" s="2">
        <v>1603</v>
      </c>
      <c r="B1605" s="2" t="str">
        <f>"梁才丽"</f>
        <v>梁才丽</v>
      </c>
      <c r="C1605" s="2" t="s">
        <v>1513</v>
      </c>
      <c r="D1605" s="2" t="s">
        <v>1555</v>
      </c>
      <c r="E1605" s="3"/>
    </row>
    <row r="1606" spans="1:5" ht="24.75" customHeight="1">
      <c r="A1606" s="2">
        <v>1604</v>
      </c>
      <c r="B1606" s="2" t="str">
        <f>"张锦彬"</f>
        <v>张锦彬</v>
      </c>
      <c r="C1606" s="2" t="s">
        <v>1513</v>
      </c>
      <c r="D1606" s="2" t="s">
        <v>1556</v>
      </c>
      <c r="E1606" s="3"/>
    </row>
    <row r="1607" spans="1:5" ht="24.75" customHeight="1">
      <c r="A1607" s="2">
        <v>1605</v>
      </c>
      <c r="B1607" s="2" t="str">
        <f>"陈雄福"</f>
        <v>陈雄福</v>
      </c>
      <c r="C1607" s="2" t="s">
        <v>1513</v>
      </c>
      <c r="D1607" s="2" t="s">
        <v>1557</v>
      </c>
      <c r="E1607" s="3"/>
    </row>
    <row r="1608" spans="1:5" ht="24.75" customHeight="1">
      <c r="A1608" s="2">
        <v>1606</v>
      </c>
      <c r="B1608" s="2" t="str">
        <f>"王惠娟"</f>
        <v>王惠娟</v>
      </c>
      <c r="C1608" s="2" t="s">
        <v>1513</v>
      </c>
      <c r="D1608" s="2" t="s">
        <v>1558</v>
      </c>
      <c r="E1608" s="3"/>
    </row>
    <row r="1609" spans="1:5" ht="24.75" customHeight="1">
      <c r="A1609" s="2">
        <v>1607</v>
      </c>
      <c r="B1609" s="2" t="str">
        <f>"汪则旭"</f>
        <v>汪则旭</v>
      </c>
      <c r="C1609" s="2" t="s">
        <v>1513</v>
      </c>
      <c r="D1609" s="2" t="s">
        <v>1559</v>
      </c>
      <c r="E1609" s="3"/>
    </row>
    <row r="1610" spans="1:5" ht="24.75" customHeight="1">
      <c r="A1610" s="2">
        <v>1608</v>
      </c>
      <c r="B1610" s="2" t="str">
        <f>"陈伟"</f>
        <v>陈伟</v>
      </c>
      <c r="C1610" s="2" t="s">
        <v>1513</v>
      </c>
      <c r="D1610" s="2" t="s">
        <v>268</v>
      </c>
      <c r="E1610" s="3"/>
    </row>
    <row r="1611" spans="1:5" ht="24.75" customHeight="1">
      <c r="A1611" s="2">
        <v>1609</v>
      </c>
      <c r="B1611" s="2" t="str">
        <f>"黄权圣"</f>
        <v>黄权圣</v>
      </c>
      <c r="C1611" s="2" t="s">
        <v>1513</v>
      </c>
      <c r="D1611" s="2" t="s">
        <v>1560</v>
      </c>
      <c r="E1611" s="3"/>
    </row>
    <row r="1612" spans="1:5" ht="24.75" customHeight="1">
      <c r="A1612" s="2">
        <v>1610</v>
      </c>
      <c r="B1612" s="2" t="str">
        <f>"麦明才"</f>
        <v>麦明才</v>
      </c>
      <c r="C1612" s="2" t="s">
        <v>1513</v>
      </c>
      <c r="D1612" s="2" t="s">
        <v>1561</v>
      </c>
      <c r="E1612" s="3"/>
    </row>
    <row r="1613" spans="1:5" ht="24.75" customHeight="1">
      <c r="A1613" s="2">
        <v>1611</v>
      </c>
      <c r="B1613" s="2" t="str">
        <f>"韦海波"</f>
        <v>韦海波</v>
      </c>
      <c r="C1613" s="2" t="s">
        <v>1513</v>
      </c>
      <c r="D1613" s="2" t="s">
        <v>1562</v>
      </c>
      <c r="E1613" s="3"/>
    </row>
    <row r="1614" spans="1:5" ht="24.75" customHeight="1">
      <c r="A1614" s="2">
        <v>1612</v>
      </c>
      <c r="B1614" s="2" t="str">
        <f>"林鸿文"</f>
        <v>林鸿文</v>
      </c>
      <c r="C1614" s="2" t="s">
        <v>1513</v>
      </c>
      <c r="D1614" s="2" t="s">
        <v>1563</v>
      </c>
      <c r="E1614" s="3"/>
    </row>
    <row r="1615" spans="1:5" ht="24.75" customHeight="1">
      <c r="A1615" s="2">
        <v>1613</v>
      </c>
      <c r="B1615" s="2" t="str">
        <f>"薛公祝"</f>
        <v>薛公祝</v>
      </c>
      <c r="C1615" s="2" t="s">
        <v>1513</v>
      </c>
      <c r="D1615" s="2" t="s">
        <v>1564</v>
      </c>
      <c r="E1615" s="3"/>
    </row>
    <row r="1616" spans="1:5" ht="24.75" customHeight="1">
      <c r="A1616" s="2">
        <v>1614</v>
      </c>
      <c r="B1616" s="2" t="str">
        <f>"施俊杉"</f>
        <v>施俊杉</v>
      </c>
      <c r="C1616" s="2" t="s">
        <v>1513</v>
      </c>
      <c r="D1616" s="2" t="s">
        <v>1565</v>
      </c>
      <c r="E1616" s="3"/>
    </row>
    <row r="1617" spans="1:5" ht="24.75" customHeight="1">
      <c r="A1617" s="2">
        <v>1615</v>
      </c>
      <c r="B1617" s="2" t="str">
        <f>"陈博强"</f>
        <v>陈博强</v>
      </c>
      <c r="C1617" s="2" t="s">
        <v>1513</v>
      </c>
      <c r="D1617" s="2" t="s">
        <v>1566</v>
      </c>
      <c r="E1617" s="3"/>
    </row>
    <row r="1618" spans="1:5" ht="24.75" customHeight="1">
      <c r="A1618" s="2">
        <v>1616</v>
      </c>
      <c r="B1618" s="2" t="str">
        <f>"李通"</f>
        <v>李通</v>
      </c>
      <c r="C1618" s="2" t="s">
        <v>1513</v>
      </c>
      <c r="D1618" s="2" t="s">
        <v>1567</v>
      </c>
      <c r="E1618" s="3"/>
    </row>
    <row r="1619" spans="1:5" ht="24.75" customHeight="1">
      <c r="A1619" s="2">
        <v>1617</v>
      </c>
      <c r="B1619" s="2" t="str">
        <f>"石冰冰"</f>
        <v>石冰冰</v>
      </c>
      <c r="C1619" s="2" t="s">
        <v>1513</v>
      </c>
      <c r="D1619" s="2" t="s">
        <v>1568</v>
      </c>
      <c r="E1619" s="3"/>
    </row>
    <row r="1620" spans="1:5" ht="24.75" customHeight="1">
      <c r="A1620" s="2">
        <v>1618</v>
      </c>
      <c r="B1620" s="2" t="str">
        <f>"苏定民"</f>
        <v>苏定民</v>
      </c>
      <c r="C1620" s="2" t="s">
        <v>1513</v>
      </c>
      <c r="D1620" s="2" t="s">
        <v>1569</v>
      </c>
      <c r="E1620" s="3"/>
    </row>
    <row r="1621" spans="1:5" ht="24.75" customHeight="1">
      <c r="A1621" s="2">
        <v>1619</v>
      </c>
      <c r="B1621" s="2" t="str">
        <f>"黄常远"</f>
        <v>黄常远</v>
      </c>
      <c r="C1621" s="2" t="s">
        <v>1513</v>
      </c>
      <c r="D1621" s="2" t="s">
        <v>1374</v>
      </c>
      <c r="E1621" s="3"/>
    </row>
    <row r="1622" spans="1:5" ht="24.75" customHeight="1">
      <c r="A1622" s="2">
        <v>1620</v>
      </c>
      <c r="B1622" s="2" t="str">
        <f>"符泽平"</f>
        <v>符泽平</v>
      </c>
      <c r="C1622" s="2" t="s">
        <v>1513</v>
      </c>
      <c r="D1622" s="2" t="s">
        <v>1570</v>
      </c>
      <c r="E1622" s="3"/>
    </row>
    <row r="1623" spans="1:5" ht="24.75" customHeight="1">
      <c r="A1623" s="2">
        <v>1621</v>
      </c>
      <c r="B1623" s="2" t="str">
        <f>"孙智超"</f>
        <v>孙智超</v>
      </c>
      <c r="C1623" s="2" t="s">
        <v>1513</v>
      </c>
      <c r="D1623" s="2" t="s">
        <v>1571</v>
      </c>
      <c r="E1623" s="3"/>
    </row>
    <row r="1624" spans="1:5" ht="24.75" customHeight="1">
      <c r="A1624" s="2">
        <v>1622</v>
      </c>
      <c r="B1624" s="2" t="str">
        <f>"王康彬"</f>
        <v>王康彬</v>
      </c>
      <c r="C1624" s="2" t="s">
        <v>1513</v>
      </c>
      <c r="D1624" s="2" t="s">
        <v>1572</v>
      </c>
      <c r="E1624" s="3"/>
    </row>
    <row r="1625" spans="1:5" ht="24.75" customHeight="1">
      <c r="A1625" s="2">
        <v>1623</v>
      </c>
      <c r="B1625" s="2" t="str">
        <f>"谢浩笔"</f>
        <v>谢浩笔</v>
      </c>
      <c r="C1625" s="2" t="s">
        <v>1513</v>
      </c>
      <c r="D1625" s="2" t="s">
        <v>1573</v>
      </c>
      <c r="E1625" s="3"/>
    </row>
    <row r="1626" spans="1:5" ht="24.75" customHeight="1">
      <c r="A1626" s="2">
        <v>1624</v>
      </c>
      <c r="B1626" s="2" t="str">
        <f>"胡博豪"</f>
        <v>胡博豪</v>
      </c>
      <c r="C1626" s="2" t="s">
        <v>1513</v>
      </c>
      <c r="D1626" s="2" t="s">
        <v>1574</v>
      </c>
      <c r="E1626" s="3"/>
    </row>
    <row r="1627" spans="1:5" ht="24.75" customHeight="1">
      <c r="A1627" s="2">
        <v>1625</v>
      </c>
      <c r="B1627" s="2" t="str">
        <f>"王勇衡"</f>
        <v>王勇衡</v>
      </c>
      <c r="C1627" s="2" t="s">
        <v>1513</v>
      </c>
      <c r="D1627" s="2" t="s">
        <v>1575</v>
      </c>
      <c r="E1627" s="3"/>
    </row>
    <row r="1628" spans="1:5" ht="24.75" customHeight="1">
      <c r="A1628" s="2">
        <v>1626</v>
      </c>
      <c r="B1628" s="2" t="str">
        <f>"周景东"</f>
        <v>周景东</v>
      </c>
      <c r="C1628" s="2" t="s">
        <v>1513</v>
      </c>
      <c r="D1628" s="2" t="s">
        <v>1508</v>
      </c>
      <c r="E1628" s="3"/>
    </row>
    <row r="1629" spans="1:5" ht="24.75" customHeight="1">
      <c r="A1629" s="2">
        <v>1627</v>
      </c>
      <c r="B1629" s="2" t="str">
        <f>"唐壮虎"</f>
        <v>唐壮虎</v>
      </c>
      <c r="C1629" s="2" t="s">
        <v>1513</v>
      </c>
      <c r="D1629" s="2" t="s">
        <v>1576</v>
      </c>
      <c r="E1629" s="3"/>
    </row>
    <row r="1630" spans="1:5" ht="24.75" customHeight="1">
      <c r="A1630" s="2">
        <v>1628</v>
      </c>
      <c r="B1630" s="2" t="str">
        <f>"符泽琼"</f>
        <v>符泽琼</v>
      </c>
      <c r="C1630" s="2" t="s">
        <v>1577</v>
      </c>
      <c r="D1630" s="2" t="s">
        <v>1578</v>
      </c>
      <c r="E1630" s="3"/>
    </row>
    <row r="1631" spans="1:5" ht="24.75" customHeight="1">
      <c r="A1631" s="2">
        <v>1629</v>
      </c>
      <c r="B1631" s="2" t="str">
        <f>"羊金养"</f>
        <v>羊金养</v>
      </c>
      <c r="C1631" s="2" t="s">
        <v>1577</v>
      </c>
      <c r="D1631" s="2" t="s">
        <v>1579</v>
      </c>
      <c r="E1631" s="3"/>
    </row>
    <row r="1632" spans="1:5" ht="24.75" customHeight="1">
      <c r="A1632" s="2">
        <v>1630</v>
      </c>
      <c r="B1632" s="2" t="str">
        <f>"陈娟玲"</f>
        <v>陈娟玲</v>
      </c>
      <c r="C1632" s="2" t="s">
        <v>1577</v>
      </c>
      <c r="D1632" s="2" t="s">
        <v>1580</v>
      </c>
      <c r="E1632" s="3"/>
    </row>
    <row r="1633" spans="1:5" ht="24.75" customHeight="1">
      <c r="A1633" s="2">
        <v>1631</v>
      </c>
      <c r="B1633" s="2" t="str">
        <f>"王艳"</f>
        <v>王艳</v>
      </c>
      <c r="C1633" s="2" t="s">
        <v>1577</v>
      </c>
      <c r="D1633" s="2" t="s">
        <v>1581</v>
      </c>
      <c r="E1633" s="3"/>
    </row>
    <row r="1634" spans="1:5" ht="24.75" customHeight="1">
      <c r="A1634" s="2">
        <v>1632</v>
      </c>
      <c r="B1634" s="2" t="str">
        <f>"羊立腾"</f>
        <v>羊立腾</v>
      </c>
      <c r="C1634" s="2" t="s">
        <v>1577</v>
      </c>
      <c r="D1634" s="2" t="s">
        <v>1582</v>
      </c>
      <c r="E1634" s="3"/>
    </row>
    <row r="1635" spans="1:5" ht="24.75" customHeight="1">
      <c r="A1635" s="2">
        <v>1633</v>
      </c>
      <c r="B1635" s="2" t="str">
        <f>"符民茹"</f>
        <v>符民茹</v>
      </c>
      <c r="C1635" s="2" t="s">
        <v>1577</v>
      </c>
      <c r="D1635" s="2" t="s">
        <v>1583</v>
      </c>
      <c r="E1635" s="3"/>
    </row>
    <row r="1636" spans="1:5" ht="24.75" customHeight="1">
      <c r="A1636" s="2">
        <v>1634</v>
      </c>
      <c r="B1636" s="2" t="str">
        <f>"黄世杰"</f>
        <v>黄世杰</v>
      </c>
      <c r="C1636" s="2" t="s">
        <v>1577</v>
      </c>
      <c r="D1636" s="2" t="s">
        <v>1584</v>
      </c>
      <c r="E1636" s="3"/>
    </row>
    <row r="1637" spans="1:5" ht="24.75" customHeight="1">
      <c r="A1637" s="2">
        <v>1635</v>
      </c>
      <c r="B1637" s="2" t="str">
        <f>"吴海明"</f>
        <v>吴海明</v>
      </c>
      <c r="C1637" s="2" t="s">
        <v>1577</v>
      </c>
      <c r="D1637" s="2" t="s">
        <v>1585</v>
      </c>
      <c r="E1637" s="3"/>
    </row>
    <row r="1638" spans="1:5" ht="24.75" customHeight="1">
      <c r="A1638" s="2">
        <v>1636</v>
      </c>
      <c r="B1638" s="2" t="str">
        <f>"陈佳佳"</f>
        <v>陈佳佳</v>
      </c>
      <c r="C1638" s="2" t="s">
        <v>1577</v>
      </c>
      <c r="D1638" s="2" t="s">
        <v>1586</v>
      </c>
      <c r="E1638" s="3"/>
    </row>
    <row r="1639" spans="1:5" ht="24.75" customHeight="1">
      <c r="A1639" s="2">
        <v>1637</v>
      </c>
      <c r="B1639" s="2" t="str">
        <f>"陈金煌"</f>
        <v>陈金煌</v>
      </c>
      <c r="C1639" s="2" t="s">
        <v>1577</v>
      </c>
      <c r="D1639" s="2" t="s">
        <v>1587</v>
      </c>
      <c r="E1639" s="3"/>
    </row>
    <row r="1640" spans="1:5" ht="24.75" customHeight="1">
      <c r="A1640" s="2">
        <v>1638</v>
      </c>
      <c r="B1640" s="2" t="str">
        <f>"周春伶"</f>
        <v>周春伶</v>
      </c>
      <c r="C1640" s="2" t="s">
        <v>1577</v>
      </c>
      <c r="D1640" s="2" t="s">
        <v>1588</v>
      </c>
      <c r="E1640" s="3"/>
    </row>
    <row r="1641" spans="1:5" ht="24.75" customHeight="1">
      <c r="A1641" s="2">
        <v>1639</v>
      </c>
      <c r="B1641" s="2" t="str">
        <f>"林云"</f>
        <v>林云</v>
      </c>
      <c r="C1641" s="2" t="s">
        <v>1589</v>
      </c>
      <c r="D1641" s="2" t="s">
        <v>1590</v>
      </c>
      <c r="E1641" s="3"/>
    </row>
    <row r="1642" spans="1:5" ht="24.75" customHeight="1">
      <c r="A1642" s="2">
        <v>1640</v>
      </c>
      <c r="B1642" s="2" t="str">
        <f>"黎石王"</f>
        <v>黎石王</v>
      </c>
      <c r="C1642" s="2" t="s">
        <v>1589</v>
      </c>
      <c r="D1642" s="2" t="s">
        <v>1591</v>
      </c>
      <c r="E1642" s="3"/>
    </row>
    <row r="1643" spans="1:5" ht="24.75" customHeight="1">
      <c r="A1643" s="2">
        <v>1641</v>
      </c>
      <c r="B1643" s="2" t="str">
        <f>"符颖飞"</f>
        <v>符颖飞</v>
      </c>
      <c r="C1643" s="2" t="s">
        <v>1589</v>
      </c>
      <c r="D1643" s="2" t="s">
        <v>1592</v>
      </c>
      <c r="E1643" s="3"/>
    </row>
    <row r="1644" spans="1:5" ht="24.75" customHeight="1">
      <c r="A1644" s="2">
        <v>1642</v>
      </c>
      <c r="B1644" s="2" t="str">
        <f>"吴宏健"</f>
        <v>吴宏健</v>
      </c>
      <c r="C1644" s="2" t="s">
        <v>1589</v>
      </c>
      <c r="D1644" s="2" t="s">
        <v>1593</v>
      </c>
      <c r="E1644" s="3"/>
    </row>
    <row r="1645" spans="1:5" ht="24.75" customHeight="1">
      <c r="A1645" s="2">
        <v>1643</v>
      </c>
      <c r="B1645" s="2" t="str">
        <f>"朱秀妹"</f>
        <v>朱秀妹</v>
      </c>
      <c r="C1645" s="2" t="s">
        <v>1589</v>
      </c>
      <c r="D1645" s="2" t="s">
        <v>1594</v>
      </c>
      <c r="E1645" s="3"/>
    </row>
    <row r="1646" spans="1:5" ht="24.75" customHeight="1">
      <c r="A1646" s="2">
        <v>1644</v>
      </c>
      <c r="B1646" s="2" t="str">
        <f>"羊必富"</f>
        <v>羊必富</v>
      </c>
      <c r="C1646" s="2" t="s">
        <v>1589</v>
      </c>
      <c r="D1646" s="2" t="s">
        <v>1595</v>
      </c>
      <c r="E1646" s="3"/>
    </row>
    <row r="1647" spans="1:5" ht="24.75" customHeight="1">
      <c r="A1647" s="2">
        <v>1645</v>
      </c>
      <c r="B1647" s="2" t="str">
        <f>"陈斌"</f>
        <v>陈斌</v>
      </c>
      <c r="C1647" s="2" t="s">
        <v>1589</v>
      </c>
      <c r="D1647" s="2" t="s">
        <v>1596</v>
      </c>
      <c r="E1647" s="3"/>
    </row>
    <row r="1648" spans="1:5" ht="24.75" customHeight="1">
      <c r="A1648" s="2">
        <v>1646</v>
      </c>
      <c r="B1648" s="2" t="str">
        <f>"郭瑞直"</f>
        <v>郭瑞直</v>
      </c>
      <c r="C1648" s="2" t="s">
        <v>1589</v>
      </c>
      <c r="D1648" s="2" t="s">
        <v>1597</v>
      </c>
      <c r="E1648" s="3"/>
    </row>
    <row r="1649" spans="1:5" ht="24.75" customHeight="1">
      <c r="A1649" s="2">
        <v>1647</v>
      </c>
      <c r="B1649" s="2" t="str">
        <f>"林彦潮"</f>
        <v>林彦潮</v>
      </c>
      <c r="C1649" s="2" t="s">
        <v>1589</v>
      </c>
      <c r="D1649" s="2" t="s">
        <v>1598</v>
      </c>
      <c r="E1649" s="3"/>
    </row>
    <row r="1650" spans="1:5" ht="24.75" customHeight="1">
      <c r="A1650" s="2">
        <v>1648</v>
      </c>
      <c r="B1650" s="2" t="str">
        <f>"黄昌睿"</f>
        <v>黄昌睿</v>
      </c>
      <c r="C1650" s="2" t="s">
        <v>1589</v>
      </c>
      <c r="D1650" s="2" t="s">
        <v>1599</v>
      </c>
      <c r="E1650" s="3"/>
    </row>
    <row r="1651" spans="1:5" ht="24.75" customHeight="1">
      <c r="A1651" s="2">
        <v>1649</v>
      </c>
      <c r="B1651" s="2" t="str">
        <f>"李伟毅"</f>
        <v>李伟毅</v>
      </c>
      <c r="C1651" s="2" t="s">
        <v>1589</v>
      </c>
      <c r="D1651" s="2" t="s">
        <v>1600</v>
      </c>
      <c r="E1651" s="3"/>
    </row>
    <row r="1652" spans="1:5" ht="24.75" customHeight="1">
      <c r="A1652" s="2">
        <v>1650</v>
      </c>
      <c r="B1652" s="2" t="str">
        <f>"孙贤杰"</f>
        <v>孙贤杰</v>
      </c>
      <c r="C1652" s="2" t="s">
        <v>1589</v>
      </c>
      <c r="D1652" s="2" t="s">
        <v>1601</v>
      </c>
      <c r="E1652" s="3"/>
    </row>
    <row r="1653" spans="1:5" ht="24.75" customHeight="1">
      <c r="A1653" s="2">
        <v>1651</v>
      </c>
      <c r="B1653" s="2" t="str">
        <f>"吕航"</f>
        <v>吕航</v>
      </c>
      <c r="C1653" s="2" t="s">
        <v>1589</v>
      </c>
      <c r="D1653" s="2" t="s">
        <v>1602</v>
      </c>
      <c r="E1653" s="3"/>
    </row>
    <row r="1654" spans="1:5" ht="24.75" customHeight="1">
      <c r="A1654" s="2">
        <v>1652</v>
      </c>
      <c r="B1654" s="2" t="str">
        <f>"林靖程"</f>
        <v>林靖程</v>
      </c>
      <c r="C1654" s="2" t="s">
        <v>1589</v>
      </c>
      <c r="D1654" s="2" t="s">
        <v>1603</v>
      </c>
      <c r="E1654" s="3"/>
    </row>
    <row r="1655" spans="1:5" ht="24.75" customHeight="1">
      <c r="A1655" s="2">
        <v>1653</v>
      </c>
      <c r="B1655" s="2" t="str">
        <f>"李造良"</f>
        <v>李造良</v>
      </c>
      <c r="C1655" s="2" t="s">
        <v>1589</v>
      </c>
      <c r="D1655" s="2" t="s">
        <v>1604</v>
      </c>
      <c r="E1655" s="3"/>
    </row>
    <row r="1656" spans="1:5" ht="24.75" customHeight="1">
      <c r="A1656" s="2">
        <v>1654</v>
      </c>
      <c r="B1656" s="2" t="str">
        <f>"张耀智"</f>
        <v>张耀智</v>
      </c>
      <c r="C1656" s="2" t="s">
        <v>1589</v>
      </c>
      <c r="D1656" s="2" t="s">
        <v>1452</v>
      </c>
      <c r="E1656" s="3"/>
    </row>
    <row r="1657" spans="1:5" ht="24.75" customHeight="1">
      <c r="A1657" s="2">
        <v>1655</v>
      </c>
      <c r="B1657" s="2" t="str">
        <f>"钟瑞彪"</f>
        <v>钟瑞彪</v>
      </c>
      <c r="C1657" s="2" t="s">
        <v>1589</v>
      </c>
      <c r="D1657" s="2" t="s">
        <v>1605</v>
      </c>
      <c r="E1657" s="3"/>
    </row>
    <row r="1658" spans="1:5" ht="24.75" customHeight="1">
      <c r="A1658" s="2">
        <v>1656</v>
      </c>
      <c r="B1658" s="2" t="str">
        <f>"吴愈亮"</f>
        <v>吴愈亮</v>
      </c>
      <c r="C1658" s="2" t="s">
        <v>1589</v>
      </c>
      <c r="D1658" s="2" t="s">
        <v>1606</v>
      </c>
      <c r="E1658" s="3"/>
    </row>
    <row r="1659" spans="1:5" ht="24.75" customHeight="1">
      <c r="A1659" s="2">
        <v>1657</v>
      </c>
      <c r="B1659" s="2" t="str">
        <f>"王少华"</f>
        <v>王少华</v>
      </c>
      <c r="C1659" s="2" t="s">
        <v>1589</v>
      </c>
      <c r="D1659" s="2" t="s">
        <v>1607</v>
      </c>
      <c r="E1659" s="3"/>
    </row>
    <row r="1660" spans="1:5" ht="24.75" customHeight="1">
      <c r="A1660" s="2">
        <v>1658</v>
      </c>
      <c r="B1660" s="2" t="str">
        <f>"符启为"</f>
        <v>符启为</v>
      </c>
      <c r="C1660" s="2" t="s">
        <v>1589</v>
      </c>
      <c r="D1660" s="2" t="s">
        <v>1608</v>
      </c>
      <c r="E1660" s="3"/>
    </row>
    <row r="1661" spans="1:5" ht="24.75" customHeight="1">
      <c r="A1661" s="2">
        <v>1659</v>
      </c>
      <c r="B1661" s="2" t="str">
        <f>"孙瑞聪"</f>
        <v>孙瑞聪</v>
      </c>
      <c r="C1661" s="2" t="s">
        <v>1589</v>
      </c>
      <c r="D1661" s="2" t="s">
        <v>1609</v>
      </c>
      <c r="E1661" s="3"/>
    </row>
    <row r="1662" spans="1:5" ht="24.75" customHeight="1">
      <c r="A1662" s="2">
        <v>1660</v>
      </c>
      <c r="B1662" s="2" t="str">
        <f>"郭万博"</f>
        <v>郭万博</v>
      </c>
      <c r="C1662" s="2" t="s">
        <v>1589</v>
      </c>
      <c r="D1662" s="2" t="s">
        <v>1610</v>
      </c>
      <c r="E1662" s="3"/>
    </row>
    <row r="1663" spans="1:5" ht="24.75" customHeight="1">
      <c r="A1663" s="2">
        <v>1661</v>
      </c>
      <c r="B1663" s="2" t="str">
        <f>"吴宇"</f>
        <v>吴宇</v>
      </c>
      <c r="C1663" s="2" t="s">
        <v>1589</v>
      </c>
      <c r="D1663" s="2" t="s">
        <v>1611</v>
      </c>
      <c r="E1663" s="3"/>
    </row>
    <row r="1664" spans="1:5" ht="24.75" customHeight="1">
      <c r="A1664" s="2">
        <v>1662</v>
      </c>
      <c r="B1664" s="2" t="str">
        <f>"薛彩虹"</f>
        <v>薛彩虹</v>
      </c>
      <c r="C1664" s="2" t="s">
        <v>1589</v>
      </c>
      <c r="D1664" s="2" t="s">
        <v>1612</v>
      </c>
      <c r="E1664" s="3"/>
    </row>
    <row r="1665" spans="1:5" ht="24.75" customHeight="1">
      <c r="A1665" s="2">
        <v>1663</v>
      </c>
      <c r="B1665" s="2" t="str">
        <f>"黄豪雄"</f>
        <v>黄豪雄</v>
      </c>
      <c r="C1665" s="2" t="s">
        <v>1589</v>
      </c>
      <c r="D1665" s="2" t="s">
        <v>1613</v>
      </c>
      <c r="E1665" s="3"/>
    </row>
    <row r="1666" spans="1:5" ht="24.75" customHeight="1">
      <c r="A1666" s="2">
        <v>1664</v>
      </c>
      <c r="B1666" s="2" t="str">
        <f>"符大优"</f>
        <v>符大优</v>
      </c>
      <c r="C1666" s="2" t="s">
        <v>1589</v>
      </c>
      <c r="D1666" s="2" t="s">
        <v>1614</v>
      </c>
      <c r="E1666" s="3"/>
    </row>
    <row r="1667" spans="1:5" ht="24.75" customHeight="1">
      <c r="A1667" s="2">
        <v>1665</v>
      </c>
      <c r="B1667" s="2" t="str">
        <f>"吴宗睦"</f>
        <v>吴宗睦</v>
      </c>
      <c r="C1667" s="2" t="s">
        <v>1615</v>
      </c>
      <c r="D1667" s="2" t="s">
        <v>1606</v>
      </c>
      <c r="E1667" s="3"/>
    </row>
    <row r="1668" spans="1:5" ht="24.75" customHeight="1">
      <c r="A1668" s="2">
        <v>1666</v>
      </c>
      <c r="B1668" s="2" t="str">
        <f>"程非"</f>
        <v>程非</v>
      </c>
      <c r="C1668" s="2" t="s">
        <v>1615</v>
      </c>
      <c r="D1668" s="2" t="s">
        <v>1616</v>
      </c>
      <c r="E1668" s="3"/>
    </row>
    <row r="1669" spans="1:5" ht="24.75" customHeight="1">
      <c r="A1669" s="2">
        <v>1667</v>
      </c>
      <c r="B1669" s="2" t="str">
        <f>"王健男"</f>
        <v>王健男</v>
      </c>
      <c r="C1669" s="2" t="s">
        <v>1615</v>
      </c>
      <c r="D1669" s="2" t="s">
        <v>1617</v>
      </c>
      <c r="E1669" s="3"/>
    </row>
    <row r="1670" spans="1:5" ht="24.75" customHeight="1">
      <c r="A1670" s="2">
        <v>1668</v>
      </c>
      <c r="B1670" s="2" t="str">
        <f>"王先知"</f>
        <v>王先知</v>
      </c>
      <c r="C1670" s="2" t="s">
        <v>1615</v>
      </c>
      <c r="D1670" s="2" t="s">
        <v>1618</v>
      </c>
      <c r="E1670" s="3"/>
    </row>
    <row r="1671" spans="1:5" ht="24.75" customHeight="1">
      <c r="A1671" s="2">
        <v>1669</v>
      </c>
      <c r="B1671" s="2" t="str">
        <f>"羊青"</f>
        <v>羊青</v>
      </c>
      <c r="C1671" s="2" t="s">
        <v>1615</v>
      </c>
      <c r="D1671" s="2" t="s">
        <v>1619</v>
      </c>
      <c r="E1671" s="3"/>
    </row>
    <row r="1672" spans="1:5" ht="24.75" customHeight="1">
      <c r="A1672" s="2">
        <v>1670</v>
      </c>
      <c r="B1672" s="2" t="str">
        <f>"谭孟思"</f>
        <v>谭孟思</v>
      </c>
      <c r="C1672" s="2" t="s">
        <v>1615</v>
      </c>
      <c r="D1672" s="2" t="s">
        <v>1620</v>
      </c>
      <c r="E1672" s="3"/>
    </row>
    <row r="1673" spans="1:5" ht="24.75" customHeight="1">
      <c r="A1673" s="2">
        <v>1671</v>
      </c>
      <c r="B1673" s="2" t="str">
        <f>"杨耀宗"</f>
        <v>杨耀宗</v>
      </c>
      <c r="C1673" s="2" t="s">
        <v>1615</v>
      </c>
      <c r="D1673" s="2" t="s">
        <v>220</v>
      </c>
      <c r="E1673" s="3"/>
    </row>
    <row r="1674" spans="1:5" ht="24.75" customHeight="1">
      <c r="A1674" s="2">
        <v>1672</v>
      </c>
      <c r="B1674" s="2" t="str">
        <f>"马弘宇"</f>
        <v>马弘宇</v>
      </c>
      <c r="C1674" s="2" t="s">
        <v>1615</v>
      </c>
      <c r="D1674" s="2" t="s">
        <v>1621</v>
      </c>
      <c r="E1674" s="3"/>
    </row>
    <row r="1675" spans="1:5" ht="24.75" customHeight="1">
      <c r="A1675" s="2">
        <v>1673</v>
      </c>
      <c r="B1675" s="2" t="str">
        <f>"王小强"</f>
        <v>王小强</v>
      </c>
      <c r="C1675" s="2" t="s">
        <v>1615</v>
      </c>
      <c r="D1675" s="2" t="s">
        <v>1622</v>
      </c>
      <c r="E1675" s="3"/>
    </row>
    <row r="1676" spans="1:5" ht="24.75" customHeight="1">
      <c r="A1676" s="2">
        <v>1674</v>
      </c>
      <c r="B1676" s="2" t="str">
        <f>"黄祥翔"</f>
        <v>黄祥翔</v>
      </c>
      <c r="C1676" s="2" t="s">
        <v>1615</v>
      </c>
      <c r="D1676" s="2" t="s">
        <v>1623</v>
      </c>
      <c r="E1676" s="3"/>
    </row>
    <row r="1677" spans="1:5" ht="24.75" customHeight="1">
      <c r="A1677" s="2">
        <v>1675</v>
      </c>
      <c r="B1677" s="2" t="str">
        <f>"何纯康"</f>
        <v>何纯康</v>
      </c>
      <c r="C1677" s="2" t="s">
        <v>1615</v>
      </c>
      <c r="D1677" s="2" t="s">
        <v>1551</v>
      </c>
      <c r="E1677" s="3"/>
    </row>
    <row r="1678" spans="1:5" ht="24.75" customHeight="1">
      <c r="A1678" s="2">
        <v>1676</v>
      </c>
      <c r="B1678" s="2" t="str">
        <f>"陈振豪"</f>
        <v>陈振豪</v>
      </c>
      <c r="C1678" s="2" t="s">
        <v>1615</v>
      </c>
      <c r="D1678" s="2" t="s">
        <v>1624</v>
      </c>
      <c r="E1678" s="3"/>
    </row>
    <row r="1679" spans="1:5" ht="24.75" customHeight="1">
      <c r="A1679" s="2">
        <v>1677</v>
      </c>
      <c r="B1679" s="2" t="str">
        <f>"何兴侬"</f>
        <v>何兴侬</v>
      </c>
      <c r="C1679" s="2" t="s">
        <v>1615</v>
      </c>
      <c r="D1679" s="2" t="s">
        <v>1625</v>
      </c>
      <c r="E1679" s="3"/>
    </row>
    <row r="1680" spans="1:5" ht="24.75" customHeight="1">
      <c r="A1680" s="2">
        <v>1678</v>
      </c>
      <c r="B1680" s="2" t="str">
        <f>"吴荣盛"</f>
        <v>吴荣盛</v>
      </c>
      <c r="C1680" s="2" t="s">
        <v>1615</v>
      </c>
      <c r="D1680" s="2" t="s">
        <v>1626</v>
      </c>
      <c r="E1680" s="3"/>
    </row>
    <row r="1681" spans="1:5" ht="24.75" customHeight="1">
      <c r="A1681" s="2">
        <v>1679</v>
      </c>
      <c r="B1681" s="2" t="str">
        <f>"吴李保"</f>
        <v>吴李保</v>
      </c>
      <c r="C1681" s="2" t="s">
        <v>1615</v>
      </c>
      <c r="D1681" s="2" t="s">
        <v>897</v>
      </c>
      <c r="E1681" s="3"/>
    </row>
    <row r="1682" spans="1:5" ht="24.75" customHeight="1">
      <c r="A1682" s="2">
        <v>1680</v>
      </c>
      <c r="B1682" s="2" t="str">
        <f>"黄冠武"</f>
        <v>黄冠武</v>
      </c>
      <c r="C1682" s="2" t="s">
        <v>1615</v>
      </c>
      <c r="D1682" s="2" t="s">
        <v>1627</v>
      </c>
      <c r="E1682" s="3"/>
    </row>
    <row r="1683" spans="1:5" ht="24.75" customHeight="1">
      <c r="A1683" s="2">
        <v>1681</v>
      </c>
      <c r="B1683" s="2" t="str">
        <f>"朱胤荣"</f>
        <v>朱胤荣</v>
      </c>
      <c r="C1683" s="2" t="s">
        <v>1615</v>
      </c>
      <c r="D1683" s="2" t="s">
        <v>1628</v>
      </c>
      <c r="E1683" s="3"/>
    </row>
    <row r="1684" spans="1:5" ht="24.75" customHeight="1">
      <c r="A1684" s="2">
        <v>1682</v>
      </c>
      <c r="B1684" s="2" t="str">
        <f>"谢于松"</f>
        <v>谢于松</v>
      </c>
      <c r="C1684" s="2" t="s">
        <v>1615</v>
      </c>
      <c r="D1684" s="2" t="s">
        <v>1629</v>
      </c>
      <c r="E1684" s="3"/>
    </row>
    <row r="1685" spans="1:5" ht="24.75" customHeight="1">
      <c r="A1685" s="2">
        <v>1683</v>
      </c>
      <c r="B1685" s="2" t="str">
        <f>"王恩渊"</f>
        <v>王恩渊</v>
      </c>
      <c r="C1685" s="2" t="s">
        <v>1615</v>
      </c>
      <c r="D1685" s="2" t="s">
        <v>1630</v>
      </c>
      <c r="E1685" s="3"/>
    </row>
    <row r="1686" spans="1:5" ht="24.75" customHeight="1">
      <c r="A1686" s="2">
        <v>1684</v>
      </c>
      <c r="B1686" s="2" t="str">
        <f>"吴明亮"</f>
        <v>吴明亮</v>
      </c>
      <c r="C1686" s="2" t="s">
        <v>1615</v>
      </c>
      <c r="D1686" s="2" t="s">
        <v>1631</v>
      </c>
      <c r="E1686" s="3"/>
    </row>
    <row r="1687" spans="1:5" ht="24.75" customHeight="1">
      <c r="A1687" s="2">
        <v>1685</v>
      </c>
      <c r="B1687" s="2" t="str">
        <f>"曾良政"</f>
        <v>曾良政</v>
      </c>
      <c r="C1687" s="2" t="s">
        <v>1615</v>
      </c>
      <c r="D1687" s="2" t="s">
        <v>1632</v>
      </c>
      <c r="E1687" s="3"/>
    </row>
    <row r="1688" spans="1:5" ht="24.75" customHeight="1">
      <c r="A1688" s="2">
        <v>1686</v>
      </c>
      <c r="B1688" s="2" t="str">
        <f>"牛晓峰"</f>
        <v>牛晓峰</v>
      </c>
      <c r="C1688" s="2" t="s">
        <v>1615</v>
      </c>
      <c r="D1688" s="2" t="s">
        <v>1633</v>
      </c>
      <c r="E1688" s="3"/>
    </row>
    <row r="1689" spans="1:5" ht="24.75" customHeight="1">
      <c r="A1689" s="2">
        <v>1687</v>
      </c>
      <c r="B1689" s="2" t="str">
        <f>"钟高登"</f>
        <v>钟高登</v>
      </c>
      <c r="C1689" s="2" t="s">
        <v>1615</v>
      </c>
      <c r="D1689" s="2" t="s">
        <v>1634</v>
      </c>
      <c r="E1689" s="3"/>
    </row>
    <row r="1690" spans="1:5" ht="24.75" customHeight="1">
      <c r="A1690" s="2">
        <v>1688</v>
      </c>
      <c r="B1690" s="2" t="str">
        <f>"王少妮"</f>
        <v>王少妮</v>
      </c>
      <c r="C1690" s="2" t="s">
        <v>1615</v>
      </c>
      <c r="D1690" s="2" t="s">
        <v>1635</v>
      </c>
      <c r="E1690" s="3"/>
    </row>
    <row r="1691" spans="1:5" ht="24.75" customHeight="1">
      <c r="A1691" s="2">
        <v>1689</v>
      </c>
      <c r="B1691" s="2" t="str">
        <f>"汪克毅"</f>
        <v>汪克毅</v>
      </c>
      <c r="C1691" s="2" t="s">
        <v>1615</v>
      </c>
      <c r="D1691" s="2" t="s">
        <v>1636</v>
      </c>
      <c r="E1691" s="3"/>
    </row>
    <row r="1692" spans="1:5" ht="24.75" customHeight="1">
      <c r="A1692" s="2">
        <v>1690</v>
      </c>
      <c r="B1692" s="2" t="str">
        <f>"王圣乐"</f>
        <v>王圣乐</v>
      </c>
      <c r="C1692" s="2" t="s">
        <v>1615</v>
      </c>
      <c r="D1692" s="2" t="s">
        <v>1637</v>
      </c>
      <c r="E1692" s="3"/>
    </row>
    <row r="1693" spans="1:5" ht="24.75" customHeight="1">
      <c r="A1693" s="2">
        <v>1691</v>
      </c>
      <c r="B1693" s="2" t="str">
        <f>"赵航"</f>
        <v>赵航</v>
      </c>
      <c r="C1693" s="2" t="s">
        <v>1615</v>
      </c>
      <c r="D1693" s="2" t="s">
        <v>1638</v>
      </c>
      <c r="E1693" s="3"/>
    </row>
    <row r="1694" spans="1:5" ht="24.75" customHeight="1">
      <c r="A1694" s="2">
        <v>1692</v>
      </c>
      <c r="B1694" s="2" t="str">
        <f>"王英任"</f>
        <v>王英任</v>
      </c>
      <c r="C1694" s="2" t="s">
        <v>1615</v>
      </c>
      <c r="D1694" s="2" t="s">
        <v>1639</v>
      </c>
      <c r="E1694" s="3"/>
    </row>
    <row r="1695" spans="1:5" ht="24.75" customHeight="1">
      <c r="A1695" s="2">
        <v>1693</v>
      </c>
      <c r="B1695" s="2" t="str">
        <f>"高磊"</f>
        <v>高磊</v>
      </c>
      <c r="C1695" s="2" t="s">
        <v>1615</v>
      </c>
      <c r="D1695" s="2" t="s">
        <v>1640</v>
      </c>
      <c r="E1695" s="3"/>
    </row>
    <row r="1696" spans="1:5" ht="24.75" customHeight="1">
      <c r="A1696" s="2">
        <v>1694</v>
      </c>
      <c r="B1696" s="2" t="str">
        <f>"叶子伟"</f>
        <v>叶子伟</v>
      </c>
      <c r="C1696" s="2" t="s">
        <v>1615</v>
      </c>
      <c r="D1696" s="2" t="s">
        <v>1641</v>
      </c>
      <c r="E1696" s="3"/>
    </row>
    <row r="1697" spans="1:5" ht="24.75" customHeight="1">
      <c r="A1697" s="2">
        <v>1695</v>
      </c>
      <c r="B1697" s="2" t="str">
        <f>"路焘"</f>
        <v>路焘</v>
      </c>
      <c r="C1697" s="2" t="s">
        <v>1615</v>
      </c>
      <c r="D1697" s="2" t="s">
        <v>1642</v>
      </c>
      <c r="E1697" s="3"/>
    </row>
    <row r="1698" spans="1:5" ht="24.75" customHeight="1">
      <c r="A1698" s="2">
        <v>1696</v>
      </c>
      <c r="B1698" s="2" t="str">
        <f>"陈立坚"</f>
        <v>陈立坚</v>
      </c>
      <c r="C1698" s="2" t="s">
        <v>1615</v>
      </c>
      <c r="D1698" s="2" t="s">
        <v>1643</v>
      </c>
      <c r="E1698" s="3"/>
    </row>
    <row r="1699" spans="1:5" ht="24.75" customHeight="1">
      <c r="A1699" s="2">
        <v>1697</v>
      </c>
      <c r="B1699" s="2" t="str">
        <f>"刘向南"</f>
        <v>刘向南</v>
      </c>
      <c r="C1699" s="2" t="s">
        <v>1615</v>
      </c>
      <c r="D1699" s="2" t="s">
        <v>1644</v>
      </c>
      <c r="E1699" s="3"/>
    </row>
    <row r="1700" spans="1:5" ht="24.75" customHeight="1">
      <c r="A1700" s="2">
        <v>1698</v>
      </c>
      <c r="B1700" s="2" t="str">
        <f>"唐觉雄"</f>
        <v>唐觉雄</v>
      </c>
      <c r="C1700" s="2" t="s">
        <v>1615</v>
      </c>
      <c r="D1700" s="2" t="s">
        <v>1645</v>
      </c>
      <c r="E1700" s="3"/>
    </row>
    <row r="1701" spans="1:5" ht="24.75" customHeight="1">
      <c r="A1701" s="2">
        <v>1699</v>
      </c>
      <c r="B1701" s="2" t="str">
        <f>"王开政"</f>
        <v>王开政</v>
      </c>
      <c r="C1701" s="2" t="s">
        <v>1615</v>
      </c>
      <c r="D1701" s="2" t="s">
        <v>1646</v>
      </c>
      <c r="E1701" s="3"/>
    </row>
    <row r="1702" spans="1:5" ht="24.75" customHeight="1">
      <c r="A1702" s="2">
        <v>1700</v>
      </c>
      <c r="B1702" s="2" t="str">
        <f>"陈强"</f>
        <v>陈强</v>
      </c>
      <c r="C1702" s="2" t="s">
        <v>1615</v>
      </c>
      <c r="D1702" s="2" t="s">
        <v>1647</v>
      </c>
      <c r="E1702" s="3"/>
    </row>
    <row r="1703" spans="1:5" ht="24.75" customHeight="1">
      <c r="A1703" s="2">
        <v>1701</v>
      </c>
      <c r="B1703" s="2" t="str">
        <f>"韦道威"</f>
        <v>韦道威</v>
      </c>
      <c r="C1703" s="2" t="s">
        <v>1615</v>
      </c>
      <c r="D1703" s="2" t="s">
        <v>1648</v>
      </c>
      <c r="E1703" s="3"/>
    </row>
    <row r="1704" spans="1:5" ht="24.75" customHeight="1">
      <c r="A1704" s="2">
        <v>1702</v>
      </c>
      <c r="B1704" s="2" t="str">
        <f>"何健良"</f>
        <v>何健良</v>
      </c>
      <c r="C1704" s="2" t="s">
        <v>1615</v>
      </c>
      <c r="D1704" s="2" t="s">
        <v>1649</v>
      </c>
      <c r="E1704" s="3"/>
    </row>
    <row r="1705" spans="1:5" ht="24.75" customHeight="1">
      <c r="A1705" s="2">
        <v>1703</v>
      </c>
      <c r="B1705" s="2" t="str">
        <f>"唐有礼"</f>
        <v>唐有礼</v>
      </c>
      <c r="C1705" s="2" t="s">
        <v>1615</v>
      </c>
      <c r="D1705" s="2" t="s">
        <v>1650</v>
      </c>
      <c r="E1705" s="3"/>
    </row>
    <row r="1706" spans="1:5" ht="24.75" customHeight="1">
      <c r="A1706" s="2">
        <v>1704</v>
      </c>
      <c r="B1706" s="2" t="str">
        <f>"陈波"</f>
        <v>陈波</v>
      </c>
      <c r="C1706" s="2" t="s">
        <v>1615</v>
      </c>
      <c r="D1706" s="2" t="s">
        <v>1651</v>
      </c>
      <c r="E1706" s="3"/>
    </row>
    <row r="1707" spans="1:5" ht="24.75" customHeight="1">
      <c r="A1707" s="2">
        <v>1705</v>
      </c>
      <c r="B1707" s="2" t="str">
        <f>"王秋忠"</f>
        <v>王秋忠</v>
      </c>
      <c r="C1707" s="2" t="s">
        <v>1615</v>
      </c>
      <c r="D1707" s="2" t="s">
        <v>1652</v>
      </c>
      <c r="E1707" s="3"/>
    </row>
    <row r="1708" spans="1:5" ht="24.75" customHeight="1">
      <c r="A1708" s="2">
        <v>1706</v>
      </c>
      <c r="B1708" s="2" t="str">
        <f>"文秀泰"</f>
        <v>文秀泰</v>
      </c>
      <c r="C1708" s="2" t="s">
        <v>1615</v>
      </c>
      <c r="D1708" s="2" t="s">
        <v>1653</v>
      </c>
      <c r="E1708" s="3"/>
    </row>
    <row r="1709" spans="1:5" ht="24.75" customHeight="1">
      <c r="A1709" s="2">
        <v>1707</v>
      </c>
      <c r="B1709" s="2" t="str">
        <f>"羊伟丁"</f>
        <v>羊伟丁</v>
      </c>
      <c r="C1709" s="2" t="s">
        <v>1615</v>
      </c>
      <c r="D1709" s="2" t="s">
        <v>1654</v>
      </c>
      <c r="E1709" s="3"/>
    </row>
    <row r="1710" spans="1:5" ht="24.75" customHeight="1">
      <c r="A1710" s="2">
        <v>1708</v>
      </c>
      <c r="B1710" s="2" t="str">
        <f>"张亚琼"</f>
        <v>张亚琼</v>
      </c>
      <c r="C1710" s="2" t="s">
        <v>1615</v>
      </c>
      <c r="D1710" s="2" t="s">
        <v>1655</v>
      </c>
      <c r="E1710" s="3"/>
    </row>
    <row r="1711" spans="1:5" ht="24.75" customHeight="1">
      <c r="A1711" s="2">
        <v>1709</v>
      </c>
      <c r="B1711" s="2" t="str">
        <f>"刘友谋"</f>
        <v>刘友谋</v>
      </c>
      <c r="C1711" s="2" t="s">
        <v>1615</v>
      </c>
      <c r="D1711" s="2" t="s">
        <v>1656</v>
      </c>
      <c r="E1711" s="3"/>
    </row>
    <row r="1712" spans="1:5" ht="24.75" customHeight="1">
      <c r="A1712" s="2">
        <v>1710</v>
      </c>
      <c r="B1712" s="2" t="str">
        <f>"吴丽娇"</f>
        <v>吴丽娇</v>
      </c>
      <c r="C1712" s="2" t="s">
        <v>1615</v>
      </c>
      <c r="D1712" s="2" t="s">
        <v>1657</v>
      </c>
      <c r="E1712" s="3"/>
    </row>
    <row r="1713" spans="1:5" ht="24.75" customHeight="1">
      <c r="A1713" s="2">
        <v>1711</v>
      </c>
      <c r="B1713" s="2" t="str">
        <f>"许旭东"</f>
        <v>许旭东</v>
      </c>
      <c r="C1713" s="2" t="s">
        <v>1615</v>
      </c>
      <c r="D1713" s="2" t="s">
        <v>1658</v>
      </c>
      <c r="E1713" s="3"/>
    </row>
    <row r="1714" spans="1:5" ht="24.75" customHeight="1">
      <c r="A1714" s="2">
        <v>1712</v>
      </c>
      <c r="B1714" s="2" t="str">
        <f>"谭常烜"</f>
        <v>谭常烜</v>
      </c>
      <c r="C1714" s="2" t="s">
        <v>1615</v>
      </c>
      <c r="D1714" s="2" t="s">
        <v>89</v>
      </c>
      <c r="E1714" s="3"/>
    </row>
    <row r="1715" spans="1:5" ht="24.75" customHeight="1">
      <c r="A1715" s="2">
        <v>1713</v>
      </c>
      <c r="B1715" s="2" t="str">
        <f>"文丽丹"</f>
        <v>文丽丹</v>
      </c>
      <c r="C1715" s="2" t="s">
        <v>1615</v>
      </c>
      <c r="D1715" s="2" t="s">
        <v>1659</v>
      </c>
      <c r="E1715" s="3"/>
    </row>
    <row r="1716" spans="1:5" ht="24.75" customHeight="1">
      <c r="A1716" s="2">
        <v>1714</v>
      </c>
      <c r="B1716" s="2" t="str">
        <f>"符发振"</f>
        <v>符发振</v>
      </c>
      <c r="C1716" s="2" t="s">
        <v>1615</v>
      </c>
      <c r="D1716" s="2" t="s">
        <v>1650</v>
      </c>
      <c r="E1716" s="3"/>
    </row>
    <row r="1717" spans="1:5" ht="24.75" customHeight="1">
      <c r="A1717" s="2">
        <v>1715</v>
      </c>
      <c r="B1717" s="2" t="str">
        <f>"黎加爱"</f>
        <v>黎加爱</v>
      </c>
      <c r="C1717" s="2" t="s">
        <v>1615</v>
      </c>
      <c r="D1717" s="2" t="s">
        <v>1660</v>
      </c>
      <c r="E1717" s="3"/>
    </row>
    <row r="1718" spans="1:5" ht="24.75" customHeight="1">
      <c r="A1718" s="2">
        <v>1716</v>
      </c>
      <c r="B1718" s="2" t="str">
        <f>"符帝慧"</f>
        <v>符帝慧</v>
      </c>
      <c r="C1718" s="2" t="s">
        <v>1615</v>
      </c>
      <c r="D1718" s="2" t="s">
        <v>1661</v>
      </c>
      <c r="E1718" s="3"/>
    </row>
    <row r="1719" spans="1:5" ht="24.75" customHeight="1">
      <c r="A1719" s="2">
        <v>1717</v>
      </c>
      <c r="B1719" s="2" t="str">
        <f>"黄义"</f>
        <v>黄义</v>
      </c>
      <c r="C1719" s="2" t="s">
        <v>1615</v>
      </c>
      <c r="D1719" s="2" t="s">
        <v>1662</v>
      </c>
      <c r="E1719" s="3"/>
    </row>
    <row r="1720" spans="1:5" ht="24.75" customHeight="1">
      <c r="A1720" s="2">
        <v>1718</v>
      </c>
      <c r="B1720" s="2" t="str">
        <f>"黄金勇"</f>
        <v>黄金勇</v>
      </c>
      <c r="C1720" s="2" t="s">
        <v>1615</v>
      </c>
      <c r="D1720" s="2" t="s">
        <v>1663</v>
      </c>
      <c r="E1720" s="3"/>
    </row>
    <row r="1721" spans="1:5" ht="24.75" customHeight="1">
      <c r="A1721" s="2">
        <v>1719</v>
      </c>
      <c r="B1721" s="2" t="str">
        <f>"李芳继"</f>
        <v>李芳继</v>
      </c>
      <c r="C1721" s="2" t="s">
        <v>1615</v>
      </c>
      <c r="D1721" s="2" t="s">
        <v>1664</v>
      </c>
      <c r="E1721" s="3"/>
    </row>
    <row r="1722" spans="1:5" ht="24.75" customHeight="1">
      <c r="A1722" s="2">
        <v>1720</v>
      </c>
      <c r="B1722" s="2" t="str">
        <f>"陈涛峰"</f>
        <v>陈涛峰</v>
      </c>
      <c r="C1722" s="2" t="s">
        <v>1615</v>
      </c>
      <c r="D1722" s="2" t="s">
        <v>1159</v>
      </c>
      <c r="E1722" s="3"/>
    </row>
    <row r="1723" spans="1:5" ht="24.75" customHeight="1">
      <c r="A1723" s="2">
        <v>1721</v>
      </c>
      <c r="B1723" s="2" t="str">
        <f>"吴地春"</f>
        <v>吴地春</v>
      </c>
      <c r="C1723" s="2" t="s">
        <v>1615</v>
      </c>
      <c r="D1723" s="2" t="s">
        <v>1665</v>
      </c>
      <c r="E1723" s="3"/>
    </row>
    <row r="1724" spans="1:5" ht="24.75" customHeight="1">
      <c r="A1724" s="2">
        <v>1722</v>
      </c>
      <c r="B1724" s="2" t="str">
        <f>"邢维旦"</f>
        <v>邢维旦</v>
      </c>
      <c r="C1724" s="2" t="s">
        <v>1615</v>
      </c>
      <c r="D1724" s="2" t="s">
        <v>1666</v>
      </c>
      <c r="E1724" s="3"/>
    </row>
    <row r="1725" spans="1:5" ht="24.75" customHeight="1">
      <c r="A1725" s="2">
        <v>1723</v>
      </c>
      <c r="B1725" s="2" t="str">
        <f>"符修宇"</f>
        <v>符修宇</v>
      </c>
      <c r="C1725" s="2" t="s">
        <v>1615</v>
      </c>
      <c r="D1725" s="2" t="s">
        <v>1667</v>
      </c>
      <c r="E1725" s="3"/>
    </row>
    <row r="1726" spans="1:5" ht="24.75" customHeight="1">
      <c r="A1726" s="2">
        <v>1724</v>
      </c>
      <c r="B1726" s="2" t="str">
        <f>"文宏"</f>
        <v>文宏</v>
      </c>
      <c r="C1726" s="2" t="s">
        <v>1615</v>
      </c>
      <c r="D1726" s="2" t="s">
        <v>1668</v>
      </c>
      <c r="E1726" s="3"/>
    </row>
    <row r="1727" spans="1:5" ht="24.75" customHeight="1">
      <c r="A1727" s="2">
        <v>1725</v>
      </c>
      <c r="B1727" s="2" t="str">
        <f>"吴有仁"</f>
        <v>吴有仁</v>
      </c>
      <c r="C1727" s="2" t="s">
        <v>1615</v>
      </c>
      <c r="D1727" s="2" t="s">
        <v>1669</v>
      </c>
      <c r="E1727" s="3"/>
    </row>
    <row r="1728" spans="1:5" ht="24.75" customHeight="1">
      <c r="A1728" s="2">
        <v>1726</v>
      </c>
      <c r="B1728" s="2" t="str">
        <f>"何其立"</f>
        <v>何其立</v>
      </c>
      <c r="C1728" s="2" t="s">
        <v>1615</v>
      </c>
      <c r="D1728" s="2" t="s">
        <v>1670</v>
      </c>
      <c r="E1728" s="3"/>
    </row>
    <row r="1729" spans="1:5" ht="24.75" customHeight="1">
      <c r="A1729" s="2">
        <v>1727</v>
      </c>
      <c r="B1729" s="2" t="str">
        <f>"陈俊光"</f>
        <v>陈俊光</v>
      </c>
      <c r="C1729" s="2" t="s">
        <v>1615</v>
      </c>
      <c r="D1729" s="2" t="s">
        <v>1671</v>
      </c>
      <c r="E1729" s="3"/>
    </row>
    <row r="1730" spans="1:5" ht="24.75" customHeight="1">
      <c r="A1730" s="2">
        <v>1728</v>
      </c>
      <c r="B1730" s="2" t="str">
        <f>"郑朝谦"</f>
        <v>郑朝谦</v>
      </c>
      <c r="C1730" s="2" t="s">
        <v>1615</v>
      </c>
      <c r="D1730" s="2" t="s">
        <v>1672</v>
      </c>
      <c r="E1730" s="3"/>
    </row>
    <row r="1731" spans="1:5" ht="24.75" customHeight="1">
      <c r="A1731" s="2">
        <v>1729</v>
      </c>
      <c r="B1731" s="2" t="str">
        <f>"吉家俊"</f>
        <v>吉家俊</v>
      </c>
      <c r="C1731" s="2" t="s">
        <v>1615</v>
      </c>
      <c r="D1731" s="2" t="s">
        <v>1673</v>
      </c>
      <c r="E1731" s="3"/>
    </row>
    <row r="1732" spans="1:5" ht="24.75" customHeight="1">
      <c r="A1732" s="2">
        <v>1730</v>
      </c>
      <c r="B1732" s="2" t="str">
        <f>"孙如凯"</f>
        <v>孙如凯</v>
      </c>
      <c r="C1732" s="2" t="s">
        <v>1615</v>
      </c>
      <c r="D1732" s="2" t="s">
        <v>1674</v>
      </c>
      <c r="E1732" s="3"/>
    </row>
    <row r="1733" spans="1:5" ht="24.75" customHeight="1">
      <c r="A1733" s="2">
        <v>1731</v>
      </c>
      <c r="B1733" s="2" t="str">
        <f>"李子骥"</f>
        <v>李子骥</v>
      </c>
      <c r="C1733" s="2" t="s">
        <v>1615</v>
      </c>
      <c r="D1733" s="2" t="s">
        <v>1675</v>
      </c>
      <c r="E1733" s="3"/>
    </row>
    <row r="1734" spans="1:5" ht="24.75" customHeight="1">
      <c r="A1734" s="2">
        <v>1732</v>
      </c>
      <c r="B1734" s="2" t="str">
        <f>"徐必兴"</f>
        <v>徐必兴</v>
      </c>
      <c r="C1734" s="2" t="s">
        <v>1615</v>
      </c>
      <c r="D1734" s="2" t="s">
        <v>1676</v>
      </c>
      <c r="E1734" s="3"/>
    </row>
    <row r="1735" spans="1:5" ht="24.75" customHeight="1">
      <c r="A1735" s="2">
        <v>1733</v>
      </c>
      <c r="B1735" s="2" t="str">
        <f>"何长亮"</f>
        <v>何长亮</v>
      </c>
      <c r="C1735" s="2" t="s">
        <v>1615</v>
      </c>
      <c r="D1735" s="2" t="s">
        <v>1677</v>
      </c>
      <c r="E1735" s="3"/>
    </row>
    <row r="1736" spans="1:5" ht="24.75" customHeight="1">
      <c r="A1736" s="2">
        <v>1734</v>
      </c>
      <c r="B1736" s="2" t="str">
        <f>"林绍学"</f>
        <v>林绍学</v>
      </c>
      <c r="C1736" s="2" t="s">
        <v>1615</v>
      </c>
      <c r="D1736" s="2" t="s">
        <v>1267</v>
      </c>
      <c r="E1736" s="3"/>
    </row>
    <row r="1737" spans="1:5" ht="24.75" customHeight="1">
      <c r="A1737" s="2">
        <v>1735</v>
      </c>
      <c r="B1737" s="2" t="str">
        <f>"陈益海"</f>
        <v>陈益海</v>
      </c>
      <c r="C1737" s="2" t="s">
        <v>1615</v>
      </c>
      <c r="D1737" s="2" t="s">
        <v>1678</v>
      </c>
      <c r="E1737" s="3"/>
    </row>
    <row r="1738" spans="1:5" ht="24.75" customHeight="1">
      <c r="A1738" s="2">
        <v>1736</v>
      </c>
      <c r="B1738" s="2" t="str">
        <f>"文保宗"</f>
        <v>文保宗</v>
      </c>
      <c r="C1738" s="2" t="s">
        <v>1615</v>
      </c>
      <c r="D1738" s="2" t="s">
        <v>1679</v>
      </c>
      <c r="E1738" s="3"/>
    </row>
    <row r="1739" spans="1:5" ht="24.75" customHeight="1">
      <c r="A1739" s="2">
        <v>1737</v>
      </c>
      <c r="B1739" s="2" t="str">
        <f>"陈传军"</f>
        <v>陈传军</v>
      </c>
      <c r="C1739" s="2" t="s">
        <v>1615</v>
      </c>
      <c r="D1739" s="2" t="s">
        <v>1680</v>
      </c>
      <c r="E1739" s="3"/>
    </row>
    <row r="1740" spans="1:5" ht="24.75" customHeight="1">
      <c r="A1740" s="2">
        <v>1738</v>
      </c>
      <c r="B1740" s="2" t="str">
        <f>"陈浩琳"</f>
        <v>陈浩琳</v>
      </c>
      <c r="C1740" s="2" t="s">
        <v>1615</v>
      </c>
      <c r="D1740" s="2" t="s">
        <v>1681</v>
      </c>
      <c r="E1740" s="3"/>
    </row>
    <row r="1741" spans="1:5" ht="24.75" customHeight="1">
      <c r="A1741" s="2">
        <v>1739</v>
      </c>
      <c r="B1741" s="2" t="str">
        <f>"高元宽"</f>
        <v>高元宽</v>
      </c>
      <c r="C1741" s="2" t="s">
        <v>1615</v>
      </c>
      <c r="D1741" s="2" t="s">
        <v>1682</v>
      </c>
      <c r="E1741" s="3"/>
    </row>
    <row r="1742" spans="1:5" ht="24.75" customHeight="1">
      <c r="A1742" s="2">
        <v>1740</v>
      </c>
      <c r="B1742" s="2" t="str">
        <f>"唐山弟"</f>
        <v>唐山弟</v>
      </c>
      <c r="C1742" s="2" t="s">
        <v>1615</v>
      </c>
      <c r="D1742" s="2" t="s">
        <v>1683</v>
      </c>
      <c r="E1742" s="3"/>
    </row>
    <row r="1743" spans="1:5" ht="24.75" customHeight="1">
      <c r="A1743" s="2">
        <v>1741</v>
      </c>
      <c r="B1743" s="2" t="str">
        <f>"王如玲"</f>
        <v>王如玲</v>
      </c>
      <c r="C1743" s="2" t="s">
        <v>1615</v>
      </c>
      <c r="D1743" s="2" t="s">
        <v>1684</v>
      </c>
      <c r="E1743" s="3"/>
    </row>
    <row r="1744" spans="1:5" ht="24.75" customHeight="1">
      <c r="A1744" s="2">
        <v>1742</v>
      </c>
      <c r="B1744" s="2" t="str">
        <f>"文周彬"</f>
        <v>文周彬</v>
      </c>
      <c r="C1744" s="2" t="s">
        <v>1615</v>
      </c>
      <c r="D1744" s="2" t="s">
        <v>1685</v>
      </c>
      <c r="E1744" s="3"/>
    </row>
    <row r="1745" spans="1:5" ht="24.75" customHeight="1">
      <c r="A1745" s="2">
        <v>1743</v>
      </c>
      <c r="B1745" s="2" t="str">
        <f>"戴晓慧"</f>
        <v>戴晓慧</v>
      </c>
      <c r="C1745" s="2" t="s">
        <v>1615</v>
      </c>
      <c r="D1745" s="2" t="s">
        <v>1686</v>
      </c>
      <c r="E1745" s="3"/>
    </row>
    <row r="1746" spans="1:5" ht="24.75" customHeight="1">
      <c r="A1746" s="2">
        <v>1744</v>
      </c>
      <c r="B1746" s="2" t="str">
        <f>"李斌"</f>
        <v>李斌</v>
      </c>
      <c r="C1746" s="2" t="s">
        <v>1615</v>
      </c>
      <c r="D1746" s="2" t="s">
        <v>1687</v>
      </c>
      <c r="E1746" s="3"/>
    </row>
    <row r="1747" spans="1:5" ht="24.75" customHeight="1">
      <c r="A1747" s="2">
        <v>1745</v>
      </c>
      <c r="B1747" s="2" t="str">
        <f>"高新虎"</f>
        <v>高新虎</v>
      </c>
      <c r="C1747" s="2" t="s">
        <v>1615</v>
      </c>
      <c r="D1747" s="2" t="s">
        <v>1688</v>
      </c>
      <c r="E1747" s="3"/>
    </row>
    <row r="1748" spans="1:5" ht="24.75" customHeight="1">
      <c r="A1748" s="2">
        <v>1746</v>
      </c>
      <c r="B1748" s="2" t="str">
        <f>"李道年"</f>
        <v>李道年</v>
      </c>
      <c r="C1748" s="2" t="s">
        <v>1615</v>
      </c>
      <c r="D1748" s="2" t="s">
        <v>1689</v>
      </c>
      <c r="E1748" s="3"/>
    </row>
    <row r="1749" spans="1:5" ht="24.75" customHeight="1">
      <c r="A1749" s="2">
        <v>1747</v>
      </c>
      <c r="B1749" s="2" t="str">
        <f>"薛贵煌"</f>
        <v>薛贵煌</v>
      </c>
      <c r="C1749" s="2" t="s">
        <v>1615</v>
      </c>
      <c r="D1749" s="2" t="s">
        <v>1690</v>
      </c>
      <c r="E1749" s="3"/>
    </row>
    <row r="1750" spans="1:5" ht="24.75" customHeight="1">
      <c r="A1750" s="2">
        <v>1748</v>
      </c>
      <c r="B1750" s="2" t="str">
        <f>"陈仕波"</f>
        <v>陈仕波</v>
      </c>
      <c r="C1750" s="2" t="s">
        <v>1615</v>
      </c>
      <c r="D1750" s="2" t="s">
        <v>1691</v>
      </c>
      <c r="E1750" s="3"/>
    </row>
    <row r="1751" spans="1:5" ht="24.75" customHeight="1">
      <c r="A1751" s="2">
        <v>1749</v>
      </c>
      <c r="B1751" s="2" t="str">
        <f>"陈凯"</f>
        <v>陈凯</v>
      </c>
      <c r="C1751" s="2" t="s">
        <v>1615</v>
      </c>
      <c r="D1751" s="2" t="s">
        <v>1692</v>
      </c>
      <c r="E1751" s="3"/>
    </row>
    <row r="1752" spans="1:5" ht="24.75" customHeight="1">
      <c r="A1752" s="2">
        <v>1750</v>
      </c>
      <c r="B1752" s="2" t="str">
        <f>"符思敏"</f>
        <v>符思敏</v>
      </c>
      <c r="C1752" s="2" t="s">
        <v>1615</v>
      </c>
      <c r="D1752" s="2" t="s">
        <v>1693</v>
      </c>
      <c r="E1752" s="3"/>
    </row>
    <row r="1753" spans="1:5" ht="24.75" customHeight="1">
      <c r="A1753" s="2">
        <v>1751</v>
      </c>
      <c r="B1753" s="2" t="str">
        <f>"翁高晟"</f>
        <v>翁高晟</v>
      </c>
      <c r="C1753" s="2" t="s">
        <v>1615</v>
      </c>
      <c r="D1753" s="2" t="s">
        <v>1694</v>
      </c>
      <c r="E1753" s="3"/>
    </row>
    <row r="1754" spans="1:5" ht="24.75" customHeight="1">
      <c r="A1754" s="2">
        <v>1752</v>
      </c>
      <c r="B1754" s="2" t="str">
        <f>"黄逢桐"</f>
        <v>黄逢桐</v>
      </c>
      <c r="C1754" s="2" t="s">
        <v>1615</v>
      </c>
      <c r="D1754" s="2" t="s">
        <v>1695</v>
      </c>
      <c r="E1754" s="3"/>
    </row>
    <row r="1755" spans="1:5" ht="24.75" customHeight="1">
      <c r="A1755" s="2">
        <v>1753</v>
      </c>
      <c r="B1755" s="2" t="str">
        <f>"谢良玺"</f>
        <v>谢良玺</v>
      </c>
      <c r="C1755" s="2" t="s">
        <v>1615</v>
      </c>
      <c r="D1755" s="2" t="s">
        <v>1696</v>
      </c>
      <c r="E1755" s="3"/>
    </row>
    <row r="1756" spans="1:5" ht="24.75" customHeight="1">
      <c r="A1756" s="2">
        <v>1754</v>
      </c>
      <c r="B1756" s="2" t="str">
        <f>"黄开丽"</f>
        <v>黄开丽</v>
      </c>
      <c r="C1756" s="2" t="s">
        <v>1615</v>
      </c>
      <c r="D1756" s="2" t="s">
        <v>1697</v>
      </c>
      <c r="E1756" s="3"/>
    </row>
    <row r="1757" spans="1:5" ht="24.75" customHeight="1">
      <c r="A1757" s="2">
        <v>1755</v>
      </c>
      <c r="B1757" s="2" t="str">
        <f>"黎于伟"</f>
        <v>黎于伟</v>
      </c>
      <c r="C1757" s="2" t="s">
        <v>1615</v>
      </c>
      <c r="D1757" s="2" t="s">
        <v>1660</v>
      </c>
      <c r="E1757" s="3"/>
    </row>
    <row r="1758" spans="1:5" ht="24.75" customHeight="1">
      <c r="A1758" s="2">
        <v>1756</v>
      </c>
      <c r="B1758" s="2" t="str">
        <f>"李大育"</f>
        <v>李大育</v>
      </c>
      <c r="C1758" s="2" t="s">
        <v>1615</v>
      </c>
      <c r="D1758" s="2" t="s">
        <v>1698</v>
      </c>
      <c r="E1758" s="3"/>
    </row>
    <row r="1759" spans="1:5" ht="24.75" customHeight="1">
      <c r="A1759" s="2">
        <v>1757</v>
      </c>
      <c r="B1759" s="2" t="str">
        <f>"林新"</f>
        <v>林新</v>
      </c>
      <c r="C1759" s="2" t="s">
        <v>1615</v>
      </c>
      <c r="D1759" s="2" t="s">
        <v>1699</v>
      </c>
      <c r="E1759" s="3"/>
    </row>
    <row r="1760" spans="1:5" ht="24.75" customHeight="1">
      <c r="A1760" s="2">
        <v>1758</v>
      </c>
      <c r="B1760" s="2" t="str">
        <f>"刘雄"</f>
        <v>刘雄</v>
      </c>
      <c r="C1760" s="2" t="s">
        <v>1615</v>
      </c>
      <c r="D1760" s="2" t="s">
        <v>1700</v>
      </c>
      <c r="E1760" s="3"/>
    </row>
    <row r="1761" spans="1:5" ht="24.75" customHeight="1">
      <c r="A1761" s="2">
        <v>1759</v>
      </c>
      <c r="B1761" s="2" t="str">
        <f>"文保国"</f>
        <v>文保国</v>
      </c>
      <c r="C1761" s="2" t="s">
        <v>1615</v>
      </c>
      <c r="D1761" s="2" t="s">
        <v>1701</v>
      </c>
      <c r="E1761" s="3"/>
    </row>
    <row r="1762" spans="1:5" ht="24.75" customHeight="1">
      <c r="A1762" s="2">
        <v>1760</v>
      </c>
      <c r="B1762" s="2" t="str">
        <f>"颜苓芹"</f>
        <v>颜苓芹</v>
      </c>
      <c r="C1762" s="2" t="s">
        <v>1615</v>
      </c>
      <c r="D1762" s="2" t="s">
        <v>1702</v>
      </c>
      <c r="E1762" s="3"/>
    </row>
    <row r="1763" spans="1:5" ht="24.75" customHeight="1">
      <c r="A1763" s="2">
        <v>1761</v>
      </c>
      <c r="B1763" s="2" t="str">
        <f>"曾小东"</f>
        <v>曾小东</v>
      </c>
      <c r="C1763" s="2" t="s">
        <v>1615</v>
      </c>
      <c r="D1763" s="2" t="s">
        <v>1703</v>
      </c>
      <c r="E1763" s="3"/>
    </row>
    <row r="1764" spans="1:5" ht="24.75" customHeight="1">
      <c r="A1764" s="2">
        <v>1762</v>
      </c>
      <c r="B1764" s="2" t="str">
        <f>"白和早"</f>
        <v>白和早</v>
      </c>
      <c r="C1764" s="2" t="s">
        <v>1615</v>
      </c>
      <c r="D1764" s="2" t="s">
        <v>1704</v>
      </c>
      <c r="E1764" s="3"/>
    </row>
    <row r="1765" spans="1:5" ht="24.75" customHeight="1">
      <c r="A1765" s="2">
        <v>1763</v>
      </c>
      <c r="B1765" s="2" t="str">
        <f>"刘威"</f>
        <v>刘威</v>
      </c>
      <c r="C1765" s="2" t="s">
        <v>1615</v>
      </c>
      <c r="D1765" s="2" t="s">
        <v>1705</v>
      </c>
      <c r="E1765" s="3"/>
    </row>
    <row r="1766" spans="1:5" ht="24.75" customHeight="1">
      <c r="A1766" s="2">
        <v>1764</v>
      </c>
      <c r="B1766" s="2" t="str">
        <f>"蓝志华"</f>
        <v>蓝志华</v>
      </c>
      <c r="C1766" s="2" t="s">
        <v>1615</v>
      </c>
      <c r="D1766" s="2" t="s">
        <v>1706</v>
      </c>
      <c r="E1766" s="3"/>
    </row>
    <row r="1767" spans="1:5" ht="24.75" customHeight="1">
      <c r="A1767" s="2">
        <v>1765</v>
      </c>
      <c r="B1767" s="2" t="str">
        <f>"何锋"</f>
        <v>何锋</v>
      </c>
      <c r="C1767" s="2" t="s">
        <v>1615</v>
      </c>
      <c r="D1767" s="2" t="s">
        <v>1707</v>
      </c>
      <c r="E1767" s="3"/>
    </row>
    <row r="1768" spans="1:5" ht="24.75" customHeight="1">
      <c r="A1768" s="2">
        <v>1766</v>
      </c>
      <c r="B1768" s="2" t="str">
        <f>"周晓燕"</f>
        <v>周晓燕</v>
      </c>
      <c r="C1768" s="2" t="s">
        <v>1615</v>
      </c>
      <c r="D1768" s="2" t="s">
        <v>1708</v>
      </c>
      <c r="E1768" s="3"/>
    </row>
    <row r="1769" spans="1:5" ht="24.75" customHeight="1">
      <c r="A1769" s="2">
        <v>1767</v>
      </c>
      <c r="B1769" s="2" t="str">
        <f>"曾圣强"</f>
        <v>曾圣强</v>
      </c>
      <c r="C1769" s="2" t="s">
        <v>1615</v>
      </c>
      <c r="D1769" s="2" t="s">
        <v>1709</v>
      </c>
      <c r="E1769" s="3"/>
    </row>
    <row r="1770" spans="1:5" ht="24.75" customHeight="1">
      <c r="A1770" s="2">
        <v>1768</v>
      </c>
      <c r="B1770" s="2" t="str">
        <f>"汤立信"</f>
        <v>汤立信</v>
      </c>
      <c r="C1770" s="2" t="s">
        <v>1615</v>
      </c>
      <c r="D1770" s="2" t="s">
        <v>1710</v>
      </c>
      <c r="E1770" s="3"/>
    </row>
    <row r="1771" spans="1:5" ht="24.75" customHeight="1">
      <c r="A1771" s="2">
        <v>1769</v>
      </c>
      <c r="B1771" s="2" t="str">
        <f>"宋振霄"</f>
        <v>宋振霄</v>
      </c>
      <c r="C1771" s="2" t="s">
        <v>1615</v>
      </c>
      <c r="D1771" s="2" t="s">
        <v>1711</v>
      </c>
      <c r="E1771" s="3"/>
    </row>
    <row r="1772" spans="1:5" ht="24.75" customHeight="1">
      <c r="A1772" s="2">
        <v>1770</v>
      </c>
      <c r="B1772" s="2" t="str">
        <f>"张阿聪"</f>
        <v>张阿聪</v>
      </c>
      <c r="C1772" s="2" t="s">
        <v>1615</v>
      </c>
      <c r="D1772" s="2" t="s">
        <v>1712</v>
      </c>
      <c r="E1772" s="3"/>
    </row>
    <row r="1773" spans="1:5" ht="24.75" customHeight="1">
      <c r="A1773" s="2">
        <v>1771</v>
      </c>
      <c r="B1773" s="2" t="str">
        <f>"李智强"</f>
        <v>李智强</v>
      </c>
      <c r="C1773" s="2" t="s">
        <v>1615</v>
      </c>
      <c r="D1773" s="2" t="s">
        <v>1597</v>
      </c>
      <c r="E1773" s="3"/>
    </row>
    <row r="1774" spans="1:5" ht="24.75" customHeight="1">
      <c r="A1774" s="2">
        <v>1772</v>
      </c>
      <c r="B1774" s="2" t="str">
        <f>"文升吉"</f>
        <v>文升吉</v>
      </c>
      <c r="C1774" s="2" t="s">
        <v>1615</v>
      </c>
      <c r="D1774" s="2" t="s">
        <v>1713</v>
      </c>
      <c r="E1774" s="3"/>
    </row>
    <row r="1775" spans="1:5" ht="24.75" customHeight="1">
      <c r="A1775" s="2">
        <v>1773</v>
      </c>
      <c r="B1775" s="2" t="str">
        <f>"冯登明"</f>
        <v>冯登明</v>
      </c>
      <c r="C1775" s="2" t="s">
        <v>1615</v>
      </c>
      <c r="D1775" s="2" t="s">
        <v>1714</v>
      </c>
      <c r="E1775" s="3"/>
    </row>
    <row r="1776" spans="1:5" ht="24.75" customHeight="1">
      <c r="A1776" s="2">
        <v>1774</v>
      </c>
      <c r="B1776" s="2" t="str">
        <f>"符冠首"</f>
        <v>符冠首</v>
      </c>
      <c r="C1776" s="2" t="s">
        <v>1615</v>
      </c>
      <c r="D1776" s="2" t="s">
        <v>1715</v>
      </c>
      <c r="E1776" s="3"/>
    </row>
    <row r="1777" spans="1:5" ht="24.75" customHeight="1">
      <c r="A1777" s="2">
        <v>1775</v>
      </c>
      <c r="B1777" s="2" t="str">
        <f>"柯雨沁"</f>
        <v>柯雨沁</v>
      </c>
      <c r="C1777" s="2" t="s">
        <v>1716</v>
      </c>
      <c r="D1777" s="2" t="s">
        <v>1717</v>
      </c>
      <c r="E1777" s="3"/>
    </row>
    <row r="1778" spans="1:5" ht="24.75" customHeight="1">
      <c r="A1778" s="2">
        <v>1776</v>
      </c>
      <c r="B1778" s="2" t="str">
        <f>"苏颖娇"</f>
        <v>苏颖娇</v>
      </c>
      <c r="C1778" s="2" t="s">
        <v>1716</v>
      </c>
      <c r="D1778" s="2" t="s">
        <v>1211</v>
      </c>
      <c r="E1778" s="3"/>
    </row>
    <row r="1779" spans="1:5" ht="24.75" customHeight="1">
      <c r="A1779" s="2">
        <v>1777</v>
      </c>
      <c r="B1779" s="2" t="str">
        <f>"潘铭鸯"</f>
        <v>潘铭鸯</v>
      </c>
      <c r="C1779" s="2" t="s">
        <v>1716</v>
      </c>
      <c r="D1779" s="2" t="s">
        <v>278</v>
      </c>
      <c r="E1779" s="3"/>
    </row>
    <row r="1780" spans="1:5" ht="24.75" customHeight="1">
      <c r="A1780" s="2">
        <v>1778</v>
      </c>
      <c r="B1780" s="2" t="str">
        <f>"邓春蕊"</f>
        <v>邓春蕊</v>
      </c>
      <c r="C1780" s="2" t="s">
        <v>1716</v>
      </c>
      <c r="D1780" s="2" t="s">
        <v>1718</v>
      </c>
      <c r="E1780" s="3"/>
    </row>
    <row r="1781" spans="1:5" ht="24.75" customHeight="1">
      <c r="A1781" s="2">
        <v>1779</v>
      </c>
      <c r="B1781" s="2" t="str">
        <f>"胡小莲"</f>
        <v>胡小莲</v>
      </c>
      <c r="C1781" s="2" t="s">
        <v>1716</v>
      </c>
      <c r="D1781" s="2" t="s">
        <v>1719</v>
      </c>
      <c r="E1781" s="3"/>
    </row>
    <row r="1782" spans="1:5" ht="24.75" customHeight="1">
      <c r="A1782" s="2">
        <v>1780</v>
      </c>
      <c r="B1782" s="2" t="str">
        <f>"崔兰明"</f>
        <v>崔兰明</v>
      </c>
      <c r="C1782" s="2" t="s">
        <v>1716</v>
      </c>
      <c r="D1782" s="2" t="s">
        <v>1720</v>
      </c>
      <c r="E1782" s="3"/>
    </row>
    <row r="1783" spans="1:5" ht="24.75" customHeight="1">
      <c r="A1783" s="2">
        <v>1781</v>
      </c>
      <c r="B1783" s="2" t="str">
        <f>"王红妹"</f>
        <v>王红妹</v>
      </c>
      <c r="C1783" s="2" t="s">
        <v>1716</v>
      </c>
      <c r="D1783" s="2" t="s">
        <v>1721</v>
      </c>
      <c r="E1783" s="3"/>
    </row>
    <row r="1784" spans="1:5" ht="24.75" customHeight="1">
      <c r="A1784" s="2">
        <v>1782</v>
      </c>
      <c r="B1784" s="2" t="str">
        <f>"唐叶蓥"</f>
        <v>唐叶蓥</v>
      </c>
      <c r="C1784" s="2" t="s">
        <v>1716</v>
      </c>
      <c r="D1784" s="2" t="s">
        <v>479</v>
      </c>
      <c r="E1784" s="3"/>
    </row>
    <row r="1785" spans="1:5" ht="24.75" customHeight="1">
      <c r="A1785" s="2">
        <v>1783</v>
      </c>
      <c r="B1785" s="2" t="str">
        <f>"李雪"</f>
        <v>李雪</v>
      </c>
      <c r="C1785" s="2" t="s">
        <v>1716</v>
      </c>
      <c r="D1785" s="2" t="s">
        <v>1722</v>
      </c>
      <c r="E1785" s="3"/>
    </row>
    <row r="1786" spans="1:5" ht="24.75" customHeight="1">
      <c r="A1786" s="2">
        <v>1784</v>
      </c>
      <c r="B1786" s="2" t="str">
        <f>"邢艳冰"</f>
        <v>邢艳冰</v>
      </c>
      <c r="C1786" s="2" t="s">
        <v>1716</v>
      </c>
      <c r="D1786" s="2" t="s">
        <v>135</v>
      </c>
      <c r="E1786" s="3"/>
    </row>
    <row r="1787" spans="1:5" ht="24.75" customHeight="1">
      <c r="A1787" s="2">
        <v>1785</v>
      </c>
      <c r="B1787" s="2" t="str">
        <f>"王仁海"</f>
        <v>王仁海</v>
      </c>
      <c r="C1787" s="2" t="s">
        <v>1716</v>
      </c>
      <c r="D1787" s="2" t="s">
        <v>1723</v>
      </c>
      <c r="E1787" s="3"/>
    </row>
    <row r="1788" spans="1:5" ht="24.75" customHeight="1">
      <c r="A1788" s="2">
        <v>1786</v>
      </c>
      <c r="B1788" s="2" t="str">
        <f>"卢勇珍"</f>
        <v>卢勇珍</v>
      </c>
      <c r="C1788" s="2" t="s">
        <v>1716</v>
      </c>
      <c r="D1788" s="2" t="s">
        <v>1724</v>
      </c>
      <c r="E1788" s="3"/>
    </row>
    <row r="1789" spans="1:5" ht="24.75" customHeight="1">
      <c r="A1789" s="2">
        <v>1787</v>
      </c>
      <c r="B1789" s="2" t="str">
        <f>"李雪青"</f>
        <v>李雪青</v>
      </c>
      <c r="C1789" s="2" t="s">
        <v>1716</v>
      </c>
      <c r="D1789" s="2" t="s">
        <v>322</v>
      </c>
      <c r="E1789" s="3"/>
    </row>
    <row r="1790" spans="1:5" ht="24.75" customHeight="1">
      <c r="A1790" s="2">
        <v>1788</v>
      </c>
      <c r="B1790" s="2" t="str">
        <f>"杨芳"</f>
        <v>杨芳</v>
      </c>
      <c r="C1790" s="2" t="s">
        <v>1716</v>
      </c>
      <c r="D1790" s="2" t="s">
        <v>1725</v>
      </c>
      <c r="E1790" s="3"/>
    </row>
    <row r="1791" spans="1:5" ht="24.75" customHeight="1">
      <c r="A1791" s="2">
        <v>1789</v>
      </c>
      <c r="B1791" s="2" t="str">
        <f>"邱英"</f>
        <v>邱英</v>
      </c>
      <c r="C1791" s="2" t="s">
        <v>1716</v>
      </c>
      <c r="D1791" s="2" t="s">
        <v>1726</v>
      </c>
      <c r="E1791" s="3"/>
    </row>
    <row r="1792" spans="1:5" ht="24.75" customHeight="1">
      <c r="A1792" s="2">
        <v>1790</v>
      </c>
      <c r="B1792" s="2" t="str">
        <f>"辛锋"</f>
        <v>辛锋</v>
      </c>
      <c r="C1792" s="2" t="s">
        <v>1716</v>
      </c>
      <c r="D1792" s="2" t="s">
        <v>1727</v>
      </c>
      <c r="E1792" s="3"/>
    </row>
    <row r="1793" spans="1:5" ht="24.75" customHeight="1">
      <c r="A1793" s="2">
        <v>1791</v>
      </c>
      <c r="B1793" s="2" t="str">
        <f>"黄爱琳"</f>
        <v>黄爱琳</v>
      </c>
      <c r="C1793" s="2" t="s">
        <v>1716</v>
      </c>
      <c r="D1793" s="2" t="s">
        <v>1728</v>
      </c>
      <c r="E1793" s="3"/>
    </row>
    <row r="1794" spans="1:5" ht="24.75" customHeight="1">
      <c r="A1794" s="2">
        <v>1792</v>
      </c>
      <c r="B1794" s="2" t="str">
        <f>"郑莹莹"</f>
        <v>郑莹莹</v>
      </c>
      <c r="C1794" s="2" t="s">
        <v>1716</v>
      </c>
      <c r="D1794" s="2" t="s">
        <v>1729</v>
      </c>
      <c r="E1794" s="3"/>
    </row>
    <row r="1795" spans="1:5" ht="24.75" customHeight="1">
      <c r="A1795" s="2">
        <v>1793</v>
      </c>
      <c r="B1795" s="2" t="str">
        <f>"施苗苗"</f>
        <v>施苗苗</v>
      </c>
      <c r="C1795" s="2" t="s">
        <v>1716</v>
      </c>
      <c r="D1795" s="2" t="s">
        <v>823</v>
      </c>
      <c r="E1795" s="3"/>
    </row>
    <row r="1796" spans="1:5" ht="24.75" customHeight="1">
      <c r="A1796" s="2">
        <v>1794</v>
      </c>
      <c r="B1796" s="2" t="str">
        <f>"周文娇"</f>
        <v>周文娇</v>
      </c>
      <c r="C1796" s="2" t="s">
        <v>1716</v>
      </c>
      <c r="D1796" s="2" t="s">
        <v>188</v>
      </c>
      <c r="E1796" s="3"/>
    </row>
    <row r="1797" spans="1:5" ht="24.75" customHeight="1">
      <c r="A1797" s="2">
        <v>1795</v>
      </c>
      <c r="B1797" s="2" t="str">
        <f>"洪立群"</f>
        <v>洪立群</v>
      </c>
      <c r="C1797" s="2" t="s">
        <v>1716</v>
      </c>
      <c r="D1797" s="2" t="s">
        <v>1730</v>
      </c>
      <c r="E1797" s="3"/>
    </row>
    <row r="1798" spans="1:5" ht="24.75" customHeight="1">
      <c r="A1798" s="2">
        <v>1796</v>
      </c>
      <c r="B1798" s="2" t="str">
        <f>"李青蔚"</f>
        <v>李青蔚</v>
      </c>
      <c r="C1798" s="2" t="s">
        <v>1716</v>
      </c>
      <c r="D1798" s="2" t="s">
        <v>1731</v>
      </c>
      <c r="E1798" s="3"/>
    </row>
    <row r="1799" spans="1:5" ht="24.75" customHeight="1">
      <c r="A1799" s="2">
        <v>1797</v>
      </c>
      <c r="B1799" s="2" t="str">
        <f>"吴燕娟"</f>
        <v>吴燕娟</v>
      </c>
      <c r="C1799" s="2" t="s">
        <v>1716</v>
      </c>
      <c r="D1799" s="2" t="s">
        <v>1732</v>
      </c>
      <c r="E1799" s="3"/>
    </row>
    <row r="1800" spans="1:5" ht="24.75" customHeight="1">
      <c r="A1800" s="2">
        <v>1798</v>
      </c>
      <c r="B1800" s="2" t="str">
        <f>"俞书斌"</f>
        <v>俞书斌</v>
      </c>
      <c r="C1800" s="2" t="s">
        <v>1716</v>
      </c>
      <c r="D1800" s="2" t="s">
        <v>1733</v>
      </c>
      <c r="E1800" s="3"/>
    </row>
    <row r="1801" spans="1:5" ht="24.75" customHeight="1">
      <c r="A1801" s="2">
        <v>1799</v>
      </c>
      <c r="B1801" s="2" t="str">
        <f>"吕琼环"</f>
        <v>吕琼环</v>
      </c>
      <c r="C1801" s="2" t="s">
        <v>1716</v>
      </c>
      <c r="D1801" s="2" t="s">
        <v>1734</v>
      </c>
      <c r="E1801" s="3"/>
    </row>
    <row r="1802" spans="1:5" ht="24.75" customHeight="1">
      <c r="A1802" s="2">
        <v>1800</v>
      </c>
      <c r="B1802" s="2" t="str">
        <f>"张达鹤"</f>
        <v>张达鹤</v>
      </c>
      <c r="C1802" s="2" t="s">
        <v>1716</v>
      </c>
      <c r="D1802" s="2" t="s">
        <v>1735</v>
      </c>
      <c r="E1802" s="3"/>
    </row>
    <row r="1803" spans="1:5" ht="24.75" customHeight="1">
      <c r="A1803" s="2">
        <v>1801</v>
      </c>
      <c r="B1803" s="2" t="str">
        <f>"杨淀"</f>
        <v>杨淀</v>
      </c>
      <c r="C1803" s="2" t="s">
        <v>1716</v>
      </c>
      <c r="D1803" s="2" t="s">
        <v>1736</v>
      </c>
      <c r="E1803" s="3"/>
    </row>
    <row r="1804" spans="1:5" ht="24.75" customHeight="1">
      <c r="A1804" s="2">
        <v>1802</v>
      </c>
      <c r="B1804" s="2" t="str">
        <f>"李玉叶"</f>
        <v>李玉叶</v>
      </c>
      <c r="C1804" s="2" t="s">
        <v>1716</v>
      </c>
      <c r="D1804" s="2" t="s">
        <v>1737</v>
      </c>
      <c r="E1804" s="3"/>
    </row>
    <row r="1805" spans="1:5" ht="24.75" customHeight="1">
      <c r="A1805" s="2">
        <v>1803</v>
      </c>
      <c r="B1805" s="2" t="str">
        <f>"何梅贵"</f>
        <v>何梅贵</v>
      </c>
      <c r="C1805" s="2" t="s">
        <v>1716</v>
      </c>
      <c r="D1805" s="2" t="s">
        <v>1738</v>
      </c>
      <c r="E1805" s="3"/>
    </row>
    <row r="1806" spans="1:5" ht="24.75" customHeight="1">
      <c r="A1806" s="2">
        <v>1804</v>
      </c>
      <c r="B1806" s="2" t="str">
        <f>"于季琛"</f>
        <v>于季琛</v>
      </c>
      <c r="C1806" s="2" t="s">
        <v>1716</v>
      </c>
      <c r="D1806" s="2" t="s">
        <v>1739</v>
      </c>
      <c r="E1806" s="3"/>
    </row>
    <row r="1807" spans="1:5" ht="24.75" customHeight="1">
      <c r="A1807" s="2">
        <v>1805</v>
      </c>
      <c r="B1807" s="2" t="str">
        <f>"韩明轩"</f>
        <v>韩明轩</v>
      </c>
      <c r="C1807" s="2" t="s">
        <v>1716</v>
      </c>
      <c r="D1807" s="2" t="s">
        <v>1740</v>
      </c>
      <c r="E1807" s="3"/>
    </row>
    <row r="1808" spans="1:5" ht="24.75" customHeight="1">
      <c r="A1808" s="2">
        <v>1806</v>
      </c>
      <c r="B1808" s="2" t="str">
        <f>"王怡鸥"</f>
        <v>王怡鸥</v>
      </c>
      <c r="C1808" s="2" t="s">
        <v>1716</v>
      </c>
      <c r="D1808" s="2" t="s">
        <v>1741</v>
      </c>
      <c r="E1808" s="3"/>
    </row>
    <row r="1809" spans="1:5" ht="24.75" customHeight="1">
      <c r="A1809" s="2">
        <v>1807</v>
      </c>
      <c r="B1809" s="2" t="str">
        <f>"王芬"</f>
        <v>王芬</v>
      </c>
      <c r="C1809" s="2" t="s">
        <v>1716</v>
      </c>
      <c r="D1809" s="2" t="s">
        <v>1742</v>
      </c>
      <c r="E1809" s="3"/>
    </row>
    <row r="1810" spans="1:5" ht="24.75" customHeight="1">
      <c r="A1810" s="2">
        <v>1808</v>
      </c>
      <c r="B1810" s="2" t="str">
        <f>"王鸿宇"</f>
        <v>王鸿宇</v>
      </c>
      <c r="C1810" s="2" t="s">
        <v>1716</v>
      </c>
      <c r="D1810" s="2" t="s">
        <v>1743</v>
      </c>
      <c r="E1810" s="3"/>
    </row>
    <row r="1811" spans="1:5" ht="24.75" customHeight="1">
      <c r="A1811" s="2">
        <v>1809</v>
      </c>
      <c r="B1811" s="2" t="str">
        <f>"李隆强"</f>
        <v>李隆强</v>
      </c>
      <c r="C1811" s="2" t="s">
        <v>1716</v>
      </c>
      <c r="D1811" s="2" t="s">
        <v>1744</v>
      </c>
      <c r="E1811" s="3"/>
    </row>
    <row r="1812" spans="1:5" ht="24.75" customHeight="1">
      <c r="A1812" s="2">
        <v>1810</v>
      </c>
      <c r="B1812" s="2" t="str">
        <f>"王咸弟"</f>
        <v>王咸弟</v>
      </c>
      <c r="C1812" s="2" t="s">
        <v>1716</v>
      </c>
      <c r="D1812" s="2" t="s">
        <v>1745</v>
      </c>
      <c r="E1812" s="3"/>
    </row>
    <row r="1813" spans="1:5" ht="24.75" customHeight="1">
      <c r="A1813" s="2">
        <v>1811</v>
      </c>
      <c r="B1813" s="2" t="str">
        <f>"林紫愉"</f>
        <v>林紫愉</v>
      </c>
      <c r="C1813" s="2" t="s">
        <v>1716</v>
      </c>
      <c r="D1813" s="2" t="s">
        <v>1746</v>
      </c>
      <c r="E1813" s="3"/>
    </row>
    <row r="1814" spans="1:5" ht="24.75" customHeight="1">
      <c r="A1814" s="2">
        <v>1812</v>
      </c>
      <c r="B1814" s="2" t="str">
        <f>"龙登高"</f>
        <v>龙登高</v>
      </c>
      <c r="C1814" s="2" t="s">
        <v>1716</v>
      </c>
      <c r="D1814" s="2" t="s">
        <v>1747</v>
      </c>
      <c r="E1814" s="3"/>
    </row>
    <row r="1815" spans="1:5" ht="24.75" customHeight="1">
      <c r="A1815" s="2">
        <v>1813</v>
      </c>
      <c r="B1815" s="2" t="str">
        <f>"吴海青"</f>
        <v>吴海青</v>
      </c>
      <c r="C1815" s="2" t="s">
        <v>1716</v>
      </c>
      <c r="D1815" s="2" t="s">
        <v>1748</v>
      </c>
      <c r="E1815" s="3"/>
    </row>
    <row r="1816" spans="1:5" ht="24.75" customHeight="1">
      <c r="A1816" s="2">
        <v>1814</v>
      </c>
      <c r="B1816" s="2" t="str">
        <f>"黄裕莹"</f>
        <v>黄裕莹</v>
      </c>
      <c r="C1816" s="2" t="s">
        <v>1716</v>
      </c>
      <c r="D1816" s="2" t="s">
        <v>771</v>
      </c>
      <c r="E1816" s="3"/>
    </row>
    <row r="1817" spans="1:5" ht="24.75" customHeight="1">
      <c r="A1817" s="2">
        <v>1815</v>
      </c>
      <c r="B1817" s="2" t="str">
        <f>"辜创维"</f>
        <v>辜创维</v>
      </c>
      <c r="C1817" s="2" t="s">
        <v>1716</v>
      </c>
      <c r="D1817" s="2" t="s">
        <v>1749</v>
      </c>
      <c r="E1817" s="3"/>
    </row>
    <row r="1818" spans="1:5" ht="24.75" customHeight="1">
      <c r="A1818" s="2">
        <v>1816</v>
      </c>
      <c r="B1818" s="2" t="str">
        <f>"李爱基"</f>
        <v>李爱基</v>
      </c>
      <c r="C1818" s="2" t="s">
        <v>1716</v>
      </c>
      <c r="D1818" s="2" t="s">
        <v>1750</v>
      </c>
      <c r="E1818" s="3"/>
    </row>
    <row r="1819" spans="1:5" ht="24.75" customHeight="1">
      <c r="A1819" s="2">
        <v>1817</v>
      </c>
      <c r="B1819" s="2" t="str">
        <f>"李丽转"</f>
        <v>李丽转</v>
      </c>
      <c r="C1819" s="2" t="s">
        <v>1716</v>
      </c>
      <c r="D1819" s="2" t="s">
        <v>1751</v>
      </c>
      <c r="E1819" s="3"/>
    </row>
    <row r="1820" spans="1:5" ht="24.75" customHeight="1">
      <c r="A1820" s="2">
        <v>1818</v>
      </c>
      <c r="B1820" s="2" t="str">
        <f>"王德翔"</f>
        <v>王德翔</v>
      </c>
      <c r="C1820" s="2" t="s">
        <v>1716</v>
      </c>
      <c r="D1820" s="2" t="s">
        <v>1752</v>
      </c>
      <c r="E1820" s="3"/>
    </row>
    <row r="1821" spans="1:5" ht="24.75" customHeight="1">
      <c r="A1821" s="2">
        <v>1819</v>
      </c>
      <c r="B1821" s="2" t="str">
        <f>"钟滢"</f>
        <v>钟滢</v>
      </c>
      <c r="C1821" s="2" t="s">
        <v>1716</v>
      </c>
      <c r="D1821" s="2" t="s">
        <v>305</v>
      </c>
      <c r="E1821" s="3"/>
    </row>
    <row r="1822" spans="1:5" ht="24.75" customHeight="1">
      <c r="A1822" s="2">
        <v>1820</v>
      </c>
      <c r="B1822" s="2" t="str">
        <f>"王俊琼"</f>
        <v>王俊琼</v>
      </c>
      <c r="C1822" s="2" t="s">
        <v>1716</v>
      </c>
      <c r="D1822" s="2" t="s">
        <v>1753</v>
      </c>
      <c r="E1822" s="3"/>
    </row>
    <row r="1823" spans="1:5" ht="24.75" customHeight="1">
      <c r="A1823" s="2">
        <v>1821</v>
      </c>
      <c r="B1823" s="2" t="str">
        <f>"胡亚苦"</f>
        <v>胡亚苦</v>
      </c>
      <c r="C1823" s="2" t="s">
        <v>1716</v>
      </c>
      <c r="D1823" s="2" t="s">
        <v>1754</v>
      </c>
      <c r="E1823" s="3"/>
    </row>
    <row r="1824" spans="1:5" ht="24.75" customHeight="1">
      <c r="A1824" s="2">
        <v>1822</v>
      </c>
      <c r="B1824" s="2" t="str">
        <f>"王坤林"</f>
        <v>王坤林</v>
      </c>
      <c r="C1824" s="2" t="s">
        <v>1716</v>
      </c>
      <c r="D1824" s="2" t="s">
        <v>1755</v>
      </c>
      <c r="E1824" s="3"/>
    </row>
    <row r="1825" spans="1:5" ht="24.75" customHeight="1">
      <c r="A1825" s="2">
        <v>1823</v>
      </c>
      <c r="B1825" s="2" t="str">
        <f>"周经策"</f>
        <v>周经策</v>
      </c>
      <c r="C1825" s="2" t="s">
        <v>1716</v>
      </c>
      <c r="D1825" s="2" t="s">
        <v>1756</v>
      </c>
      <c r="E1825" s="3"/>
    </row>
    <row r="1826" spans="1:5" ht="24.75" customHeight="1">
      <c r="A1826" s="2">
        <v>1824</v>
      </c>
      <c r="B1826" s="2" t="str">
        <f>"孙贤艳"</f>
        <v>孙贤艳</v>
      </c>
      <c r="C1826" s="2" t="s">
        <v>1716</v>
      </c>
      <c r="D1826" s="2" t="s">
        <v>1757</v>
      </c>
      <c r="E1826" s="3"/>
    </row>
    <row r="1827" spans="1:5" ht="24.75" customHeight="1">
      <c r="A1827" s="2">
        <v>1825</v>
      </c>
      <c r="B1827" s="2" t="str">
        <f>"李丽"</f>
        <v>李丽</v>
      </c>
      <c r="C1827" s="2" t="s">
        <v>1716</v>
      </c>
      <c r="D1827" s="2" t="s">
        <v>1758</v>
      </c>
      <c r="E1827" s="3"/>
    </row>
    <row r="1828" spans="1:5" ht="24.75" customHeight="1">
      <c r="A1828" s="2">
        <v>1826</v>
      </c>
      <c r="B1828" s="2" t="str">
        <f>"高芳乾"</f>
        <v>高芳乾</v>
      </c>
      <c r="C1828" s="2" t="s">
        <v>1716</v>
      </c>
      <c r="D1828" s="2" t="s">
        <v>1759</v>
      </c>
      <c r="E1828" s="3"/>
    </row>
    <row r="1829" spans="1:5" ht="24.75" customHeight="1">
      <c r="A1829" s="2">
        <v>1827</v>
      </c>
      <c r="B1829" s="2" t="str">
        <f>"陈有锦"</f>
        <v>陈有锦</v>
      </c>
      <c r="C1829" s="2" t="s">
        <v>1716</v>
      </c>
      <c r="D1829" s="2" t="s">
        <v>1760</v>
      </c>
      <c r="E1829" s="3"/>
    </row>
    <row r="1830" spans="1:5" ht="24.75" customHeight="1">
      <c r="A1830" s="2">
        <v>1828</v>
      </c>
      <c r="B1830" s="2" t="str">
        <f>"刘牧歆"</f>
        <v>刘牧歆</v>
      </c>
      <c r="C1830" s="2" t="s">
        <v>1716</v>
      </c>
      <c r="D1830" s="2" t="s">
        <v>1761</v>
      </c>
      <c r="E1830" s="3"/>
    </row>
    <row r="1831" spans="1:5" ht="24.75" customHeight="1">
      <c r="A1831" s="2">
        <v>1829</v>
      </c>
      <c r="B1831" s="2" t="str">
        <f>"冯玉灵"</f>
        <v>冯玉灵</v>
      </c>
      <c r="C1831" s="2" t="s">
        <v>1716</v>
      </c>
      <c r="D1831" s="2" t="s">
        <v>1762</v>
      </c>
      <c r="E1831" s="3"/>
    </row>
    <row r="1832" spans="1:5" ht="24.75" customHeight="1">
      <c r="A1832" s="2">
        <v>1830</v>
      </c>
      <c r="B1832" s="2" t="str">
        <f>"蔡姝"</f>
        <v>蔡姝</v>
      </c>
      <c r="C1832" s="2" t="s">
        <v>1716</v>
      </c>
      <c r="D1832" s="2" t="s">
        <v>1763</v>
      </c>
      <c r="E1832" s="3"/>
    </row>
    <row r="1833" spans="1:5" ht="24.75" customHeight="1">
      <c r="A1833" s="2">
        <v>1831</v>
      </c>
      <c r="B1833" s="2" t="str">
        <f>"吴银悦"</f>
        <v>吴银悦</v>
      </c>
      <c r="C1833" s="2" t="s">
        <v>1716</v>
      </c>
      <c r="D1833" s="2" t="s">
        <v>1764</v>
      </c>
      <c r="E1833" s="3"/>
    </row>
    <row r="1834" spans="1:5" ht="24.75" customHeight="1">
      <c r="A1834" s="2">
        <v>1832</v>
      </c>
      <c r="B1834" s="2" t="str">
        <f>"邢春柔"</f>
        <v>邢春柔</v>
      </c>
      <c r="C1834" s="2" t="s">
        <v>1716</v>
      </c>
      <c r="D1834" s="2" t="s">
        <v>1765</v>
      </c>
      <c r="E1834" s="3"/>
    </row>
    <row r="1835" spans="1:5" ht="24.75" customHeight="1">
      <c r="A1835" s="2">
        <v>1833</v>
      </c>
      <c r="B1835" s="2" t="str">
        <f>"胡玉雯"</f>
        <v>胡玉雯</v>
      </c>
      <c r="C1835" s="2" t="s">
        <v>1716</v>
      </c>
      <c r="D1835" s="2" t="s">
        <v>1766</v>
      </c>
      <c r="E1835" s="3"/>
    </row>
    <row r="1836" spans="1:5" ht="24.75" customHeight="1">
      <c r="A1836" s="2">
        <v>1834</v>
      </c>
      <c r="B1836" s="2" t="str">
        <f>"李娜"</f>
        <v>李娜</v>
      </c>
      <c r="C1836" s="2" t="s">
        <v>1716</v>
      </c>
      <c r="D1836" s="2" t="s">
        <v>1767</v>
      </c>
      <c r="E1836" s="3"/>
    </row>
    <row r="1837" spans="1:5" ht="24.75" customHeight="1">
      <c r="A1837" s="2">
        <v>1835</v>
      </c>
      <c r="B1837" s="2" t="str">
        <f>"林道睿"</f>
        <v>林道睿</v>
      </c>
      <c r="C1837" s="2" t="s">
        <v>1716</v>
      </c>
      <c r="D1837" s="2" t="s">
        <v>1768</v>
      </c>
      <c r="E1837" s="3"/>
    </row>
    <row r="1838" spans="1:5" ht="24.75" customHeight="1">
      <c r="A1838" s="2">
        <v>1836</v>
      </c>
      <c r="B1838" s="2" t="str">
        <f>"王虹"</f>
        <v>王虹</v>
      </c>
      <c r="C1838" s="2" t="s">
        <v>1716</v>
      </c>
      <c r="D1838" s="2" t="s">
        <v>1769</v>
      </c>
      <c r="E1838" s="3"/>
    </row>
    <row r="1839" spans="1:5" ht="24.75" customHeight="1">
      <c r="A1839" s="2">
        <v>1837</v>
      </c>
      <c r="B1839" s="2" t="str">
        <f>"吴英"</f>
        <v>吴英</v>
      </c>
      <c r="C1839" s="2" t="s">
        <v>1716</v>
      </c>
      <c r="D1839" s="2" t="s">
        <v>1770</v>
      </c>
      <c r="E1839" s="3"/>
    </row>
    <row r="1840" spans="1:5" ht="24.75" customHeight="1">
      <c r="A1840" s="2">
        <v>1838</v>
      </c>
      <c r="B1840" s="2" t="str">
        <f>"王巩丽"</f>
        <v>王巩丽</v>
      </c>
      <c r="C1840" s="2" t="s">
        <v>1716</v>
      </c>
      <c r="D1840" s="2" t="s">
        <v>1771</v>
      </c>
      <c r="E1840" s="3"/>
    </row>
    <row r="1841" spans="1:5" ht="24.75" customHeight="1">
      <c r="A1841" s="2">
        <v>1839</v>
      </c>
      <c r="B1841" s="2" t="str">
        <f>"陈泽超"</f>
        <v>陈泽超</v>
      </c>
      <c r="C1841" s="2" t="s">
        <v>1716</v>
      </c>
      <c r="D1841" s="2" t="s">
        <v>1772</v>
      </c>
      <c r="E1841" s="3"/>
    </row>
    <row r="1842" spans="1:5" ht="24.75" customHeight="1">
      <c r="A1842" s="2">
        <v>1840</v>
      </c>
      <c r="B1842" s="2" t="str">
        <f>"王红"</f>
        <v>王红</v>
      </c>
      <c r="C1842" s="2" t="s">
        <v>1716</v>
      </c>
      <c r="D1842" s="2" t="s">
        <v>1773</v>
      </c>
      <c r="E1842" s="3"/>
    </row>
    <row r="1843" spans="1:5" ht="24.75" customHeight="1">
      <c r="A1843" s="2">
        <v>1841</v>
      </c>
      <c r="B1843" s="2" t="str">
        <f>"陈春霖"</f>
        <v>陈春霖</v>
      </c>
      <c r="C1843" s="2" t="s">
        <v>1716</v>
      </c>
      <c r="D1843" s="2" t="s">
        <v>1137</v>
      </c>
      <c r="E1843" s="3"/>
    </row>
    <row r="1844" spans="1:5" ht="24.75" customHeight="1">
      <c r="A1844" s="2">
        <v>1842</v>
      </c>
      <c r="B1844" s="2" t="str">
        <f>"林秀雅"</f>
        <v>林秀雅</v>
      </c>
      <c r="C1844" s="2" t="s">
        <v>1716</v>
      </c>
      <c r="D1844" s="2" t="s">
        <v>1774</v>
      </c>
      <c r="E1844" s="3"/>
    </row>
    <row r="1845" spans="1:5" ht="24.75" customHeight="1">
      <c r="A1845" s="2">
        <v>1843</v>
      </c>
      <c r="B1845" s="2" t="str">
        <f>"王慧卿"</f>
        <v>王慧卿</v>
      </c>
      <c r="C1845" s="2" t="s">
        <v>1716</v>
      </c>
      <c r="D1845" s="2" t="s">
        <v>1775</v>
      </c>
      <c r="E1845" s="3"/>
    </row>
    <row r="1846" spans="1:5" ht="24.75" customHeight="1">
      <c r="A1846" s="2">
        <v>1844</v>
      </c>
      <c r="B1846" s="2" t="str">
        <f>"陈婷"</f>
        <v>陈婷</v>
      </c>
      <c r="C1846" s="2" t="s">
        <v>1716</v>
      </c>
      <c r="D1846" s="2" t="s">
        <v>437</v>
      </c>
      <c r="E1846" s="3"/>
    </row>
    <row r="1847" spans="1:5" ht="24.75" customHeight="1">
      <c r="A1847" s="2">
        <v>1845</v>
      </c>
      <c r="B1847" s="2" t="str">
        <f>"廖翌妍"</f>
        <v>廖翌妍</v>
      </c>
      <c r="C1847" s="2" t="s">
        <v>1716</v>
      </c>
      <c r="D1847" s="2" t="s">
        <v>1776</v>
      </c>
      <c r="E1847" s="3"/>
    </row>
    <row r="1848" spans="1:5" ht="24.75" customHeight="1">
      <c r="A1848" s="2">
        <v>1846</v>
      </c>
      <c r="B1848" s="2" t="str">
        <f>"曾奕"</f>
        <v>曾奕</v>
      </c>
      <c r="C1848" s="2" t="s">
        <v>1716</v>
      </c>
      <c r="D1848" s="2" t="s">
        <v>1777</v>
      </c>
      <c r="E1848" s="3"/>
    </row>
    <row r="1849" spans="1:5" ht="24.75" customHeight="1">
      <c r="A1849" s="2">
        <v>1847</v>
      </c>
      <c r="B1849" s="2" t="str">
        <f>"柯晓红"</f>
        <v>柯晓红</v>
      </c>
      <c r="C1849" s="2" t="s">
        <v>1716</v>
      </c>
      <c r="D1849" s="2" t="s">
        <v>1778</v>
      </c>
      <c r="E1849" s="3"/>
    </row>
    <row r="1850" spans="1:5" ht="24.75" customHeight="1">
      <c r="A1850" s="2">
        <v>1848</v>
      </c>
      <c r="B1850" s="2" t="str">
        <f>"李燕"</f>
        <v>李燕</v>
      </c>
      <c r="C1850" s="2" t="s">
        <v>1716</v>
      </c>
      <c r="D1850" s="2" t="s">
        <v>1779</v>
      </c>
      <c r="E1850" s="3"/>
    </row>
    <row r="1851" spans="1:5" ht="24.75" customHeight="1">
      <c r="A1851" s="2">
        <v>1849</v>
      </c>
      <c r="B1851" s="2" t="str">
        <f>"张士凯"</f>
        <v>张士凯</v>
      </c>
      <c r="C1851" s="2" t="s">
        <v>1716</v>
      </c>
      <c r="D1851" s="2" t="s">
        <v>1780</v>
      </c>
      <c r="E1851" s="3"/>
    </row>
    <row r="1852" spans="1:5" ht="24.75" customHeight="1">
      <c r="A1852" s="2">
        <v>1850</v>
      </c>
      <c r="B1852" s="2" t="str">
        <f>"郑书聆"</f>
        <v>郑书聆</v>
      </c>
      <c r="C1852" s="2" t="s">
        <v>1716</v>
      </c>
      <c r="D1852" s="2" t="s">
        <v>48</v>
      </c>
      <c r="E1852" s="3"/>
    </row>
    <row r="1853" spans="1:5" ht="24.75" customHeight="1">
      <c r="A1853" s="2">
        <v>1851</v>
      </c>
      <c r="B1853" s="2" t="str">
        <f>"许玉虹"</f>
        <v>许玉虹</v>
      </c>
      <c r="C1853" s="2" t="s">
        <v>1716</v>
      </c>
      <c r="D1853" s="2" t="s">
        <v>1781</v>
      </c>
      <c r="E1853" s="3"/>
    </row>
    <row r="1854" spans="1:5" ht="24.75" customHeight="1">
      <c r="A1854" s="2">
        <v>1852</v>
      </c>
      <c r="B1854" s="2" t="str">
        <f>"王丽红"</f>
        <v>王丽红</v>
      </c>
      <c r="C1854" s="2" t="s">
        <v>1716</v>
      </c>
      <c r="D1854" s="2" t="s">
        <v>1782</v>
      </c>
      <c r="E1854" s="3"/>
    </row>
    <row r="1855" spans="1:5" ht="24.75" customHeight="1">
      <c r="A1855" s="2">
        <v>1853</v>
      </c>
      <c r="B1855" s="2" t="str">
        <f>"施良玮"</f>
        <v>施良玮</v>
      </c>
      <c r="C1855" s="2" t="s">
        <v>1716</v>
      </c>
      <c r="D1855" s="2" t="s">
        <v>1783</v>
      </c>
      <c r="E1855" s="3"/>
    </row>
    <row r="1856" spans="1:5" ht="24.75" customHeight="1">
      <c r="A1856" s="2">
        <v>1854</v>
      </c>
      <c r="B1856" s="2" t="str">
        <f>"黄小芸"</f>
        <v>黄小芸</v>
      </c>
      <c r="C1856" s="2" t="s">
        <v>1716</v>
      </c>
      <c r="D1856" s="2" t="s">
        <v>1784</v>
      </c>
      <c r="E1856" s="3"/>
    </row>
    <row r="1857" spans="1:5" ht="24.75" customHeight="1">
      <c r="A1857" s="2">
        <v>1855</v>
      </c>
      <c r="B1857" s="2" t="str">
        <f>"王俊"</f>
        <v>王俊</v>
      </c>
      <c r="C1857" s="2" t="s">
        <v>1716</v>
      </c>
      <c r="D1857" s="2" t="s">
        <v>1785</v>
      </c>
      <c r="E1857" s="3"/>
    </row>
    <row r="1858" spans="1:5" ht="24.75" customHeight="1">
      <c r="A1858" s="2">
        <v>1856</v>
      </c>
      <c r="B1858" s="2" t="str">
        <f>"熊乐嫣"</f>
        <v>熊乐嫣</v>
      </c>
      <c r="C1858" s="2" t="s">
        <v>1716</v>
      </c>
      <c r="D1858" s="2" t="s">
        <v>1786</v>
      </c>
      <c r="E1858" s="3"/>
    </row>
    <row r="1859" spans="1:5" ht="24.75" customHeight="1">
      <c r="A1859" s="2">
        <v>1857</v>
      </c>
      <c r="B1859" s="2" t="str">
        <f>"罗海慧"</f>
        <v>罗海慧</v>
      </c>
      <c r="C1859" s="2" t="s">
        <v>1716</v>
      </c>
      <c r="D1859" s="2" t="s">
        <v>1787</v>
      </c>
      <c r="E1859" s="3"/>
    </row>
    <row r="1860" spans="1:5" ht="24.75" customHeight="1">
      <c r="A1860" s="2">
        <v>1858</v>
      </c>
      <c r="B1860" s="2" t="str">
        <f>"伍文惠"</f>
        <v>伍文惠</v>
      </c>
      <c r="C1860" s="2" t="s">
        <v>1716</v>
      </c>
      <c r="D1860" s="2" t="s">
        <v>1788</v>
      </c>
      <c r="E1860" s="3"/>
    </row>
    <row r="1861" spans="1:5" ht="24.75" customHeight="1">
      <c r="A1861" s="2">
        <v>1859</v>
      </c>
      <c r="B1861" s="2" t="str">
        <f>"黄可欣"</f>
        <v>黄可欣</v>
      </c>
      <c r="C1861" s="2" t="s">
        <v>1716</v>
      </c>
      <c r="D1861" s="2" t="s">
        <v>1228</v>
      </c>
      <c r="E1861" s="3"/>
    </row>
    <row r="1862" spans="1:5" ht="24.75" customHeight="1">
      <c r="A1862" s="2">
        <v>1860</v>
      </c>
      <c r="B1862" s="2" t="str">
        <f>"卢炫羽"</f>
        <v>卢炫羽</v>
      </c>
      <c r="C1862" s="2" t="s">
        <v>1716</v>
      </c>
      <c r="D1862" s="2" t="s">
        <v>200</v>
      </c>
      <c r="E1862" s="3"/>
    </row>
    <row r="1863" spans="1:5" ht="24.75" customHeight="1">
      <c r="A1863" s="2">
        <v>1861</v>
      </c>
      <c r="B1863" s="2" t="str">
        <f>"罗亚菊"</f>
        <v>罗亚菊</v>
      </c>
      <c r="C1863" s="2" t="s">
        <v>1716</v>
      </c>
      <c r="D1863" s="2" t="s">
        <v>1789</v>
      </c>
      <c r="E1863" s="3"/>
    </row>
    <row r="1864" spans="1:5" ht="24.75" customHeight="1">
      <c r="A1864" s="2">
        <v>1862</v>
      </c>
      <c r="B1864" s="2" t="str">
        <f>"糜晴"</f>
        <v>糜晴</v>
      </c>
      <c r="C1864" s="2" t="s">
        <v>1716</v>
      </c>
      <c r="D1864" s="2" t="s">
        <v>1790</v>
      </c>
      <c r="E1864" s="3"/>
    </row>
    <row r="1865" spans="1:5" ht="24.75" customHeight="1">
      <c r="A1865" s="2">
        <v>1863</v>
      </c>
      <c r="B1865" s="2" t="str">
        <f>"王祥福"</f>
        <v>王祥福</v>
      </c>
      <c r="C1865" s="2" t="s">
        <v>1716</v>
      </c>
      <c r="D1865" s="2" t="s">
        <v>1791</v>
      </c>
      <c r="E1865" s="3"/>
    </row>
    <row r="1866" spans="1:5" ht="24.75" customHeight="1">
      <c r="A1866" s="2">
        <v>1864</v>
      </c>
      <c r="B1866" s="2" t="str">
        <f>"李佳炜"</f>
        <v>李佳炜</v>
      </c>
      <c r="C1866" s="2" t="s">
        <v>1716</v>
      </c>
      <c r="D1866" s="2" t="s">
        <v>1792</v>
      </c>
      <c r="E1866" s="3"/>
    </row>
    <row r="1867" spans="1:5" ht="24.75" customHeight="1">
      <c r="A1867" s="2">
        <v>1865</v>
      </c>
      <c r="B1867" s="2" t="str">
        <f>"叶广帝"</f>
        <v>叶广帝</v>
      </c>
      <c r="C1867" s="2" t="s">
        <v>1716</v>
      </c>
      <c r="D1867" s="2" t="s">
        <v>1793</v>
      </c>
      <c r="E1867" s="3"/>
    </row>
    <row r="1868" spans="1:5" ht="24.75" customHeight="1">
      <c r="A1868" s="2">
        <v>1866</v>
      </c>
      <c r="B1868" s="2" t="str">
        <f>"陈敏"</f>
        <v>陈敏</v>
      </c>
      <c r="C1868" s="2" t="s">
        <v>1716</v>
      </c>
      <c r="D1868" s="2" t="s">
        <v>1794</v>
      </c>
      <c r="E1868" s="3"/>
    </row>
    <row r="1869" spans="1:5" ht="24.75" customHeight="1">
      <c r="A1869" s="2">
        <v>1867</v>
      </c>
      <c r="B1869" s="2" t="str">
        <f>"王婉婷"</f>
        <v>王婉婷</v>
      </c>
      <c r="C1869" s="2" t="s">
        <v>1716</v>
      </c>
      <c r="D1869" s="2" t="s">
        <v>1795</v>
      </c>
      <c r="E1869" s="3"/>
    </row>
    <row r="1870" spans="1:5" ht="24.75" customHeight="1">
      <c r="A1870" s="2">
        <v>1868</v>
      </c>
      <c r="B1870" s="2" t="str">
        <f>"朱国翘"</f>
        <v>朱国翘</v>
      </c>
      <c r="C1870" s="2" t="s">
        <v>1716</v>
      </c>
      <c r="D1870" s="2" t="s">
        <v>1796</v>
      </c>
      <c r="E1870" s="3"/>
    </row>
    <row r="1871" spans="1:5" ht="24.75" customHeight="1">
      <c r="A1871" s="2">
        <v>1869</v>
      </c>
      <c r="B1871" s="2" t="str">
        <f>"廖桂颖"</f>
        <v>廖桂颖</v>
      </c>
      <c r="C1871" s="2" t="s">
        <v>1716</v>
      </c>
      <c r="D1871" s="2" t="s">
        <v>1797</v>
      </c>
      <c r="E1871" s="3"/>
    </row>
    <row r="1872" spans="1:5" ht="24.75" customHeight="1">
      <c r="A1872" s="2">
        <v>1870</v>
      </c>
      <c r="B1872" s="2" t="str">
        <f>"韩晓芸"</f>
        <v>韩晓芸</v>
      </c>
      <c r="C1872" s="2" t="s">
        <v>1716</v>
      </c>
      <c r="D1872" s="2" t="s">
        <v>1798</v>
      </c>
      <c r="E1872" s="3"/>
    </row>
    <row r="1873" spans="1:5" ht="24.75" customHeight="1">
      <c r="A1873" s="2">
        <v>1871</v>
      </c>
      <c r="B1873" s="2" t="str">
        <f>"王静"</f>
        <v>王静</v>
      </c>
      <c r="C1873" s="2" t="s">
        <v>1716</v>
      </c>
      <c r="D1873" s="2" t="s">
        <v>1799</v>
      </c>
      <c r="E1873" s="3"/>
    </row>
    <row r="1874" spans="1:5" ht="24.75" customHeight="1">
      <c r="A1874" s="2">
        <v>1872</v>
      </c>
      <c r="B1874" s="2" t="str">
        <f>"汪祺杰"</f>
        <v>汪祺杰</v>
      </c>
      <c r="C1874" s="2" t="s">
        <v>1716</v>
      </c>
      <c r="D1874" s="2" t="s">
        <v>1800</v>
      </c>
      <c r="E1874" s="3"/>
    </row>
    <row r="1875" spans="1:5" ht="24.75" customHeight="1">
      <c r="A1875" s="2">
        <v>1873</v>
      </c>
      <c r="B1875" s="2" t="str">
        <f>"黄颖"</f>
        <v>黄颖</v>
      </c>
      <c r="C1875" s="2" t="s">
        <v>1716</v>
      </c>
      <c r="D1875" s="2" t="s">
        <v>1801</v>
      </c>
      <c r="E1875" s="3"/>
    </row>
    <row r="1876" spans="1:5" ht="24.75" customHeight="1">
      <c r="A1876" s="2">
        <v>1874</v>
      </c>
      <c r="B1876" s="2" t="str">
        <f>"陈慧兰"</f>
        <v>陈慧兰</v>
      </c>
      <c r="C1876" s="2" t="s">
        <v>1716</v>
      </c>
      <c r="D1876" s="2" t="s">
        <v>1802</v>
      </c>
      <c r="E1876" s="3"/>
    </row>
    <row r="1877" spans="1:5" ht="24.75" customHeight="1">
      <c r="A1877" s="2">
        <v>1875</v>
      </c>
      <c r="B1877" s="2" t="str">
        <f>"陈欣怡"</f>
        <v>陈欣怡</v>
      </c>
      <c r="C1877" s="2" t="s">
        <v>1716</v>
      </c>
      <c r="D1877" s="2" t="s">
        <v>1803</v>
      </c>
      <c r="E1877" s="3"/>
    </row>
    <row r="1878" spans="1:5" ht="24.75" customHeight="1">
      <c r="A1878" s="2">
        <v>1876</v>
      </c>
      <c r="B1878" s="2" t="str">
        <f>"陈琪芷"</f>
        <v>陈琪芷</v>
      </c>
      <c r="C1878" s="2" t="s">
        <v>1716</v>
      </c>
      <c r="D1878" s="2" t="s">
        <v>1804</v>
      </c>
      <c r="E1878" s="3"/>
    </row>
    <row r="1879" spans="1:5" ht="24.75" customHeight="1">
      <c r="A1879" s="2">
        <v>1877</v>
      </c>
      <c r="B1879" s="2" t="str">
        <f>"李玉"</f>
        <v>李玉</v>
      </c>
      <c r="C1879" s="2" t="s">
        <v>1716</v>
      </c>
      <c r="D1879" s="2" t="s">
        <v>550</v>
      </c>
      <c r="E1879" s="3"/>
    </row>
    <row r="1880" spans="1:5" ht="24.75" customHeight="1">
      <c r="A1880" s="2">
        <v>1878</v>
      </c>
      <c r="B1880" s="2" t="str">
        <f>"赵沁"</f>
        <v>赵沁</v>
      </c>
      <c r="C1880" s="2" t="s">
        <v>1716</v>
      </c>
      <c r="D1880" s="2" t="s">
        <v>1805</v>
      </c>
      <c r="E1880" s="3"/>
    </row>
    <row r="1881" spans="1:5" ht="24.75" customHeight="1">
      <c r="A1881" s="2">
        <v>1879</v>
      </c>
      <c r="B1881" s="2" t="str">
        <f>"陈棠苡"</f>
        <v>陈棠苡</v>
      </c>
      <c r="C1881" s="2" t="s">
        <v>1716</v>
      </c>
      <c r="D1881" s="2" t="s">
        <v>1718</v>
      </c>
      <c r="E1881" s="3"/>
    </row>
    <row r="1882" spans="1:5" ht="24.75" customHeight="1">
      <c r="A1882" s="2">
        <v>1880</v>
      </c>
      <c r="B1882" s="2" t="str">
        <f>"陈易青"</f>
        <v>陈易青</v>
      </c>
      <c r="C1882" s="2" t="s">
        <v>1716</v>
      </c>
      <c r="D1882" s="2" t="s">
        <v>742</v>
      </c>
      <c r="E1882" s="3"/>
    </row>
    <row r="1883" spans="1:5" ht="24.75" customHeight="1">
      <c r="A1883" s="2">
        <v>1881</v>
      </c>
      <c r="B1883" s="2" t="str">
        <f>"陈振林"</f>
        <v>陈振林</v>
      </c>
      <c r="C1883" s="2" t="s">
        <v>1716</v>
      </c>
      <c r="D1883" s="2" t="s">
        <v>1806</v>
      </c>
      <c r="E1883" s="3"/>
    </row>
    <row r="1884" spans="1:5" ht="24.75" customHeight="1">
      <c r="A1884" s="2">
        <v>1882</v>
      </c>
      <c r="B1884" s="2" t="str">
        <f>"陈莹怡"</f>
        <v>陈莹怡</v>
      </c>
      <c r="C1884" s="2" t="s">
        <v>1716</v>
      </c>
      <c r="D1884" s="2" t="s">
        <v>1807</v>
      </c>
      <c r="E1884" s="3"/>
    </row>
    <row r="1885" spans="1:5" ht="24.75" customHeight="1">
      <c r="A1885" s="2">
        <v>1883</v>
      </c>
      <c r="B1885" s="2" t="str">
        <f>"关远梅"</f>
        <v>关远梅</v>
      </c>
      <c r="C1885" s="2" t="s">
        <v>1716</v>
      </c>
      <c r="D1885" s="2" t="s">
        <v>1808</v>
      </c>
      <c r="E1885" s="3"/>
    </row>
    <row r="1886" spans="1:5" ht="24.75" customHeight="1">
      <c r="A1886" s="2">
        <v>1884</v>
      </c>
      <c r="B1886" s="2" t="str">
        <f>"梁秀婵"</f>
        <v>梁秀婵</v>
      </c>
      <c r="C1886" s="2" t="s">
        <v>1716</v>
      </c>
      <c r="D1886" s="2" t="s">
        <v>1809</v>
      </c>
      <c r="E1886" s="3"/>
    </row>
    <row r="1887" spans="1:5" ht="24.75" customHeight="1">
      <c r="A1887" s="2">
        <v>1885</v>
      </c>
      <c r="B1887" s="2" t="str">
        <f>"吴其容"</f>
        <v>吴其容</v>
      </c>
      <c r="C1887" s="2" t="s">
        <v>1716</v>
      </c>
      <c r="D1887" s="2" t="s">
        <v>1810</v>
      </c>
      <c r="E1887" s="3"/>
    </row>
    <row r="1888" spans="1:5" ht="24.75" customHeight="1">
      <c r="A1888" s="2">
        <v>1886</v>
      </c>
      <c r="B1888" s="2" t="str">
        <f>"王传良"</f>
        <v>王传良</v>
      </c>
      <c r="C1888" s="2" t="s">
        <v>1716</v>
      </c>
      <c r="D1888" s="2" t="s">
        <v>1811</v>
      </c>
      <c r="E1888" s="3"/>
    </row>
    <row r="1889" spans="1:5" ht="24.75" customHeight="1">
      <c r="A1889" s="2">
        <v>1887</v>
      </c>
      <c r="B1889" s="2" t="str">
        <f>"李燕玲"</f>
        <v>李燕玲</v>
      </c>
      <c r="C1889" s="2" t="s">
        <v>1716</v>
      </c>
      <c r="D1889" s="2" t="s">
        <v>1812</v>
      </c>
      <c r="E1889" s="3"/>
    </row>
    <row r="1890" spans="1:5" ht="24.75" customHeight="1">
      <c r="A1890" s="2">
        <v>1888</v>
      </c>
      <c r="B1890" s="2" t="str">
        <f>"麦娜"</f>
        <v>麦娜</v>
      </c>
      <c r="C1890" s="2" t="s">
        <v>1716</v>
      </c>
      <c r="D1890" s="2" t="s">
        <v>1813</v>
      </c>
      <c r="E1890" s="3"/>
    </row>
    <row r="1891" spans="1:5" ht="24.75" customHeight="1">
      <c r="A1891" s="2">
        <v>1889</v>
      </c>
      <c r="B1891" s="2" t="str">
        <f>"蔡卓翰"</f>
        <v>蔡卓翰</v>
      </c>
      <c r="C1891" s="2" t="s">
        <v>1716</v>
      </c>
      <c r="D1891" s="2" t="s">
        <v>1814</v>
      </c>
      <c r="E1891" s="3"/>
    </row>
    <row r="1892" spans="1:5" ht="24.75" customHeight="1">
      <c r="A1892" s="2">
        <v>1890</v>
      </c>
      <c r="B1892" s="2" t="str">
        <f>"覃丽颖"</f>
        <v>覃丽颖</v>
      </c>
      <c r="C1892" s="2" t="s">
        <v>1716</v>
      </c>
      <c r="D1892" s="2" t="s">
        <v>1815</v>
      </c>
      <c r="E1892" s="3"/>
    </row>
    <row r="1893" spans="1:5" ht="24.75" customHeight="1">
      <c r="A1893" s="2">
        <v>1891</v>
      </c>
      <c r="B1893" s="2" t="str">
        <f>"符永科"</f>
        <v>符永科</v>
      </c>
      <c r="C1893" s="2" t="s">
        <v>1716</v>
      </c>
      <c r="D1893" s="2" t="s">
        <v>1816</v>
      </c>
      <c r="E1893" s="3"/>
    </row>
    <row r="1894" spans="1:5" ht="24.75" customHeight="1">
      <c r="A1894" s="2">
        <v>1892</v>
      </c>
      <c r="B1894" s="2" t="str">
        <f>"陆宸"</f>
        <v>陆宸</v>
      </c>
      <c r="C1894" s="2" t="s">
        <v>1716</v>
      </c>
      <c r="D1894" s="2" t="s">
        <v>1817</v>
      </c>
      <c r="E1894" s="3"/>
    </row>
    <row r="1895" spans="1:5" ht="24.75" customHeight="1">
      <c r="A1895" s="2">
        <v>1893</v>
      </c>
      <c r="B1895" s="2" t="str">
        <f>"潘虹娇"</f>
        <v>潘虹娇</v>
      </c>
      <c r="C1895" s="2" t="s">
        <v>1716</v>
      </c>
      <c r="D1895" s="2" t="s">
        <v>1818</v>
      </c>
      <c r="E1895" s="3"/>
    </row>
    <row r="1896" spans="1:5" ht="24.75" customHeight="1">
      <c r="A1896" s="2">
        <v>1894</v>
      </c>
      <c r="B1896" s="2" t="str">
        <f>"杜妍"</f>
        <v>杜妍</v>
      </c>
      <c r="C1896" s="2" t="s">
        <v>1716</v>
      </c>
      <c r="D1896" s="2" t="s">
        <v>1819</v>
      </c>
      <c r="E1896" s="3"/>
    </row>
    <row r="1897" spans="1:5" ht="24.75" customHeight="1">
      <c r="A1897" s="2">
        <v>1895</v>
      </c>
      <c r="B1897" s="2" t="str">
        <f>"杨铭"</f>
        <v>杨铭</v>
      </c>
      <c r="C1897" s="2" t="s">
        <v>1716</v>
      </c>
      <c r="D1897" s="2" t="s">
        <v>1029</v>
      </c>
      <c r="E1897" s="3"/>
    </row>
    <row r="1898" spans="1:5" ht="24.75" customHeight="1">
      <c r="A1898" s="2">
        <v>1896</v>
      </c>
      <c r="B1898" s="2" t="str">
        <f>"吴文碟"</f>
        <v>吴文碟</v>
      </c>
      <c r="C1898" s="2" t="s">
        <v>1716</v>
      </c>
      <c r="D1898" s="2" t="s">
        <v>1820</v>
      </c>
      <c r="E1898" s="3"/>
    </row>
    <row r="1899" spans="1:5" ht="24.75" customHeight="1">
      <c r="A1899" s="2">
        <v>1897</v>
      </c>
      <c r="B1899" s="2" t="str">
        <f>"郭皇玲"</f>
        <v>郭皇玲</v>
      </c>
      <c r="C1899" s="2" t="s">
        <v>1716</v>
      </c>
      <c r="D1899" s="2" t="s">
        <v>1821</v>
      </c>
      <c r="E1899" s="3"/>
    </row>
    <row r="1900" spans="1:5" ht="24.75" customHeight="1">
      <c r="A1900" s="2">
        <v>1898</v>
      </c>
      <c r="B1900" s="2" t="str">
        <f>"钟海连"</f>
        <v>钟海连</v>
      </c>
      <c r="C1900" s="2" t="s">
        <v>1716</v>
      </c>
      <c r="D1900" s="2" t="s">
        <v>1822</v>
      </c>
      <c r="E1900" s="3"/>
    </row>
    <row r="1901" spans="1:5" ht="24.75" customHeight="1">
      <c r="A1901" s="2">
        <v>1899</v>
      </c>
      <c r="B1901" s="2" t="str">
        <f>"何嫣"</f>
        <v>何嫣</v>
      </c>
      <c r="C1901" s="2" t="s">
        <v>1716</v>
      </c>
      <c r="D1901" s="2" t="s">
        <v>1823</v>
      </c>
      <c r="E1901" s="3"/>
    </row>
    <row r="1902" spans="1:5" ht="24.75" customHeight="1">
      <c r="A1902" s="2">
        <v>1900</v>
      </c>
      <c r="B1902" s="2" t="str">
        <f>"刘晶"</f>
        <v>刘晶</v>
      </c>
      <c r="C1902" s="2" t="s">
        <v>1716</v>
      </c>
      <c r="D1902" s="2" t="s">
        <v>556</v>
      </c>
      <c r="E1902" s="3"/>
    </row>
    <row r="1903" spans="1:5" ht="24.75" customHeight="1">
      <c r="A1903" s="2">
        <v>1901</v>
      </c>
      <c r="B1903" s="2" t="str">
        <f>"吕燕婷"</f>
        <v>吕燕婷</v>
      </c>
      <c r="C1903" s="2" t="s">
        <v>1716</v>
      </c>
      <c r="D1903" s="2" t="s">
        <v>913</v>
      </c>
      <c r="E1903" s="3"/>
    </row>
    <row r="1904" spans="1:5" ht="24.75" customHeight="1">
      <c r="A1904" s="2">
        <v>1902</v>
      </c>
      <c r="B1904" s="2" t="str">
        <f>"曹英建"</f>
        <v>曹英建</v>
      </c>
      <c r="C1904" s="2" t="s">
        <v>1716</v>
      </c>
      <c r="D1904" s="2" t="s">
        <v>1824</v>
      </c>
      <c r="E1904" s="3"/>
    </row>
    <row r="1905" spans="1:5" ht="24.75" customHeight="1">
      <c r="A1905" s="2">
        <v>1903</v>
      </c>
      <c r="B1905" s="2" t="str">
        <f>"李咏瑜"</f>
        <v>李咏瑜</v>
      </c>
      <c r="C1905" s="2" t="s">
        <v>1716</v>
      </c>
      <c r="D1905" s="2" t="s">
        <v>1825</v>
      </c>
      <c r="E1905" s="3"/>
    </row>
    <row r="1906" spans="1:5" ht="24.75" customHeight="1">
      <c r="A1906" s="2">
        <v>1904</v>
      </c>
      <c r="B1906" s="2" t="str">
        <f>"丁晓媚"</f>
        <v>丁晓媚</v>
      </c>
      <c r="C1906" s="2" t="s">
        <v>1716</v>
      </c>
      <c r="D1906" s="2" t="s">
        <v>1826</v>
      </c>
      <c r="E1906" s="3"/>
    </row>
    <row r="1907" spans="1:5" ht="24.75" customHeight="1">
      <c r="A1907" s="2">
        <v>1905</v>
      </c>
      <c r="B1907" s="2" t="str">
        <f>"柴承颖"</f>
        <v>柴承颖</v>
      </c>
      <c r="C1907" s="2" t="s">
        <v>1716</v>
      </c>
      <c r="D1907" s="2" t="s">
        <v>1827</v>
      </c>
      <c r="E1907" s="3"/>
    </row>
    <row r="1908" spans="1:5" ht="24.75" customHeight="1">
      <c r="A1908" s="2">
        <v>1906</v>
      </c>
      <c r="B1908" s="2" t="str">
        <f>"郭芙瑛"</f>
        <v>郭芙瑛</v>
      </c>
      <c r="C1908" s="2" t="s">
        <v>1716</v>
      </c>
      <c r="D1908" s="2" t="s">
        <v>1828</v>
      </c>
      <c r="E1908" s="3"/>
    </row>
    <row r="1909" spans="1:5" ht="24.75" customHeight="1">
      <c r="A1909" s="2">
        <v>1907</v>
      </c>
      <c r="B1909" s="2" t="str">
        <f>"曾少丽"</f>
        <v>曾少丽</v>
      </c>
      <c r="C1909" s="2" t="s">
        <v>1716</v>
      </c>
      <c r="D1909" s="2" t="s">
        <v>1829</v>
      </c>
      <c r="E1909" s="3"/>
    </row>
    <row r="1910" spans="1:5" ht="24.75" customHeight="1">
      <c r="A1910" s="2">
        <v>1908</v>
      </c>
      <c r="B1910" s="2" t="str">
        <f>"张敏"</f>
        <v>张敏</v>
      </c>
      <c r="C1910" s="2" t="s">
        <v>1716</v>
      </c>
      <c r="D1910" s="2" t="s">
        <v>1830</v>
      </c>
      <c r="E1910" s="3"/>
    </row>
    <row r="1911" spans="1:5" ht="24.75" customHeight="1">
      <c r="A1911" s="2">
        <v>1909</v>
      </c>
      <c r="B1911" s="2" t="str">
        <f>"吴多恺"</f>
        <v>吴多恺</v>
      </c>
      <c r="C1911" s="2" t="s">
        <v>1716</v>
      </c>
      <c r="D1911" s="2" t="s">
        <v>1831</v>
      </c>
      <c r="E1911" s="3"/>
    </row>
    <row r="1912" spans="1:5" ht="24.75" customHeight="1">
      <c r="A1912" s="2">
        <v>1910</v>
      </c>
      <c r="B1912" s="2" t="str">
        <f>"李慧"</f>
        <v>李慧</v>
      </c>
      <c r="C1912" s="2" t="s">
        <v>1716</v>
      </c>
      <c r="D1912" s="2" t="s">
        <v>1832</v>
      </c>
      <c r="E1912" s="3"/>
    </row>
    <row r="1913" spans="1:5" ht="24.75" customHeight="1">
      <c r="A1913" s="2">
        <v>1911</v>
      </c>
      <c r="B1913" s="2" t="str">
        <f>"韦小妹"</f>
        <v>韦小妹</v>
      </c>
      <c r="C1913" s="2" t="s">
        <v>1716</v>
      </c>
      <c r="D1913" s="2" t="s">
        <v>1833</v>
      </c>
      <c r="E1913" s="3"/>
    </row>
    <row r="1914" spans="1:5" ht="24.75" customHeight="1">
      <c r="A1914" s="2">
        <v>1912</v>
      </c>
      <c r="B1914" s="2" t="str">
        <f>"肖媛媛"</f>
        <v>肖媛媛</v>
      </c>
      <c r="C1914" s="2" t="s">
        <v>1716</v>
      </c>
      <c r="D1914" s="2" t="s">
        <v>1834</v>
      </c>
      <c r="E1914" s="3"/>
    </row>
    <row r="1915" spans="1:5" ht="24.75" customHeight="1">
      <c r="A1915" s="2">
        <v>1913</v>
      </c>
      <c r="B1915" s="2" t="str">
        <f>"王世凤"</f>
        <v>王世凤</v>
      </c>
      <c r="C1915" s="2" t="s">
        <v>1716</v>
      </c>
      <c r="D1915" s="2" t="s">
        <v>1835</v>
      </c>
      <c r="E1915" s="3"/>
    </row>
    <row r="1916" spans="1:5" ht="24.75" customHeight="1">
      <c r="A1916" s="2">
        <v>1914</v>
      </c>
      <c r="B1916" s="2" t="str">
        <f>"李海珠"</f>
        <v>李海珠</v>
      </c>
      <c r="C1916" s="2" t="s">
        <v>1716</v>
      </c>
      <c r="D1916" s="2" t="s">
        <v>1836</v>
      </c>
      <c r="E1916" s="3"/>
    </row>
    <row r="1917" spans="1:5" ht="24.75" customHeight="1">
      <c r="A1917" s="2">
        <v>1915</v>
      </c>
      <c r="B1917" s="2" t="str">
        <f>"吴坤雄"</f>
        <v>吴坤雄</v>
      </c>
      <c r="C1917" s="2" t="s">
        <v>1716</v>
      </c>
      <c r="D1917" s="2" t="s">
        <v>1837</v>
      </c>
      <c r="E1917" s="3"/>
    </row>
    <row r="1918" spans="1:5" ht="24.75" customHeight="1">
      <c r="A1918" s="2">
        <v>1916</v>
      </c>
      <c r="B1918" s="2" t="str">
        <f>"黄夏雨"</f>
        <v>黄夏雨</v>
      </c>
      <c r="C1918" s="2" t="s">
        <v>1716</v>
      </c>
      <c r="D1918" s="2" t="s">
        <v>1838</v>
      </c>
      <c r="E1918" s="3"/>
    </row>
    <row r="1919" spans="1:5" ht="24.75" customHeight="1">
      <c r="A1919" s="2">
        <v>1917</v>
      </c>
      <c r="B1919" s="2" t="str">
        <f>"杜延培"</f>
        <v>杜延培</v>
      </c>
      <c r="C1919" s="2" t="s">
        <v>1716</v>
      </c>
      <c r="D1919" s="2" t="s">
        <v>220</v>
      </c>
      <c r="E1919" s="3"/>
    </row>
    <row r="1920" spans="1:5" ht="24.75" customHeight="1">
      <c r="A1920" s="2">
        <v>1918</v>
      </c>
      <c r="B1920" s="2" t="str">
        <f>"许晓倩"</f>
        <v>许晓倩</v>
      </c>
      <c r="C1920" s="2" t="s">
        <v>1716</v>
      </c>
      <c r="D1920" s="2" t="s">
        <v>1839</v>
      </c>
      <c r="E1920" s="3"/>
    </row>
    <row r="1921" spans="1:5" ht="24.75" customHeight="1">
      <c r="A1921" s="2">
        <v>1919</v>
      </c>
      <c r="B1921" s="2" t="str">
        <f>"李康"</f>
        <v>李康</v>
      </c>
      <c r="C1921" s="2" t="s">
        <v>1716</v>
      </c>
      <c r="D1921" s="2" t="s">
        <v>1840</v>
      </c>
      <c r="E1921" s="3"/>
    </row>
    <row r="1922" spans="1:5" ht="24.75" customHeight="1">
      <c r="A1922" s="2">
        <v>1920</v>
      </c>
      <c r="B1922" s="2" t="str">
        <f>"吴清桂"</f>
        <v>吴清桂</v>
      </c>
      <c r="C1922" s="2" t="s">
        <v>1716</v>
      </c>
      <c r="D1922" s="2" t="s">
        <v>1841</v>
      </c>
      <c r="E1922" s="3"/>
    </row>
    <row r="1923" spans="1:5" ht="24.75" customHeight="1">
      <c r="A1923" s="2">
        <v>1921</v>
      </c>
      <c r="B1923" s="2" t="str">
        <f>"朱安娜"</f>
        <v>朱安娜</v>
      </c>
      <c r="C1923" s="2" t="s">
        <v>1716</v>
      </c>
      <c r="D1923" s="2" t="s">
        <v>1842</v>
      </c>
      <c r="E1923" s="3"/>
    </row>
    <row r="1924" spans="1:5" ht="24.75" customHeight="1">
      <c r="A1924" s="2">
        <v>1922</v>
      </c>
      <c r="B1924" s="2" t="str">
        <f>"蒙丹"</f>
        <v>蒙丹</v>
      </c>
      <c r="C1924" s="2" t="s">
        <v>1716</v>
      </c>
      <c r="D1924" s="2" t="s">
        <v>1843</v>
      </c>
      <c r="E1924" s="3"/>
    </row>
    <row r="1925" spans="1:5" ht="24.75" customHeight="1">
      <c r="A1925" s="2">
        <v>1923</v>
      </c>
      <c r="B1925" s="2" t="str">
        <f>"彭静"</f>
        <v>彭静</v>
      </c>
      <c r="C1925" s="2" t="s">
        <v>1716</v>
      </c>
      <c r="D1925" s="2" t="s">
        <v>1844</v>
      </c>
      <c r="E1925" s="3"/>
    </row>
    <row r="1926" spans="1:5" ht="24.75" customHeight="1">
      <c r="A1926" s="2">
        <v>1924</v>
      </c>
      <c r="B1926" s="2" t="str">
        <f>"苏丽丽"</f>
        <v>苏丽丽</v>
      </c>
      <c r="C1926" s="2" t="s">
        <v>1716</v>
      </c>
      <c r="D1926" s="2" t="s">
        <v>1845</v>
      </c>
      <c r="E1926" s="3"/>
    </row>
    <row r="1927" spans="1:5" ht="24.75" customHeight="1">
      <c r="A1927" s="2">
        <v>1925</v>
      </c>
      <c r="B1927" s="2" t="str">
        <f>"王婧婧"</f>
        <v>王婧婧</v>
      </c>
      <c r="C1927" s="2" t="s">
        <v>1716</v>
      </c>
      <c r="D1927" s="2" t="s">
        <v>1846</v>
      </c>
      <c r="E1927" s="3"/>
    </row>
    <row r="1928" spans="1:5" ht="24.75" customHeight="1">
      <c r="A1928" s="2">
        <v>1926</v>
      </c>
      <c r="B1928" s="2" t="str">
        <f>"韩雪"</f>
        <v>韩雪</v>
      </c>
      <c r="C1928" s="2" t="s">
        <v>1716</v>
      </c>
      <c r="D1928" s="2" t="s">
        <v>1847</v>
      </c>
      <c r="E1928" s="3"/>
    </row>
    <row r="1929" spans="1:5" ht="24.75" customHeight="1">
      <c r="A1929" s="2">
        <v>1927</v>
      </c>
      <c r="B1929" s="2" t="str">
        <f>"雷声平"</f>
        <v>雷声平</v>
      </c>
      <c r="C1929" s="2" t="s">
        <v>1716</v>
      </c>
      <c r="D1929" s="2" t="s">
        <v>1848</v>
      </c>
      <c r="E1929" s="3"/>
    </row>
    <row r="1930" spans="1:5" ht="24.75" customHeight="1">
      <c r="A1930" s="2">
        <v>1928</v>
      </c>
      <c r="B1930" s="2" t="str">
        <f>"劳向悦"</f>
        <v>劳向悦</v>
      </c>
      <c r="C1930" s="2" t="s">
        <v>1716</v>
      </c>
      <c r="D1930" s="2" t="s">
        <v>1849</v>
      </c>
      <c r="E1930" s="3"/>
    </row>
    <row r="1931" spans="1:5" ht="24.75" customHeight="1">
      <c r="A1931" s="2">
        <v>1929</v>
      </c>
      <c r="B1931" s="2" t="str">
        <f>"胡博"</f>
        <v>胡博</v>
      </c>
      <c r="C1931" s="2" t="s">
        <v>1716</v>
      </c>
      <c r="D1931" s="2" t="s">
        <v>1850</v>
      </c>
      <c r="E1931" s="3"/>
    </row>
    <row r="1932" spans="1:5" ht="24.75" customHeight="1">
      <c r="A1932" s="2">
        <v>1930</v>
      </c>
      <c r="B1932" s="2" t="str">
        <f>"王泽青"</f>
        <v>王泽青</v>
      </c>
      <c r="C1932" s="2" t="s">
        <v>1716</v>
      </c>
      <c r="D1932" s="2" t="s">
        <v>1851</v>
      </c>
      <c r="E1932" s="3"/>
    </row>
    <row r="1933" spans="1:5" ht="24.75" customHeight="1">
      <c r="A1933" s="2">
        <v>1931</v>
      </c>
      <c r="B1933" s="2" t="str">
        <f>"郭璁"</f>
        <v>郭璁</v>
      </c>
      <c r="C1933" s="2" t="s">
        <v>1716</v>
      </c>
      <c r="D1933" s="2" t="s">
        <v>1852</v>
      </c>
      <c r="E1933" s="3"/>
    </row>
    <row r="1934" spans="1:5" ht="24.75" customHeight="1">
      <c r="A1934" s="2">
        <v>1932</v>
      </c>
      <c r="B1934" s="2" t="str">
        <f>"王千娜"</f>
        <v>王千娜</v>
      </c>
      <c r="C1934" s="2" t="s">
        <v>1716</v>
      </c>
      <c r="D1934" s="2" t="s">
        <v>1853</v>
      </c>
      <c r="E1934" s="3"/>
    </row>
    <row r="1935" spans="1:5" ht="24.75" customHeight="1">
      <c r="A1935" s="2">
        <v>1933</v>
      </c>
      <c r="B1935" s="2" t="str">
        <f>"龙思雨"</f>
        <v>龙思雨</v>
      </c>
      <c r="C1935" s="2" t="s">
        <v>1716</v>
      </c>
      <c r="D1935" s="2" t="s">
        <v>1854</v>
      </c>
      <c r="E1935" s="3"/>
    </row>
    <row r="1936" spans="1:5" ht="24.75" customHeight="1">
      <c r="A1936" s="2">
        <v>1934</v>
      </c>
      <c r="B1936" s="2" t="str">
        <f>"冯春柳"</f>
        <v>冯春柳</v>
      </c>
      <c r="C1936" s="2" t="s">
        <v>1716</v>
      </c>
      <c r="D1936" s="2" t="s">
        <v>1855</v>
      </c>
      <c r="E1936" s="3"/>
    </row>
    <row r="1937" spans="1:5" ht="24.75" customHeight="1">
      <c r="A1937" s="2">
        <v>1935</v>
      </c>
      <c r="B1937" s="2" t="str">
        <f>"刘莹"</f>
        <v>刘莹</v>
      </c>
      <c r="C1937" s="2" t="s">
        <v>1716</v>
      </c>
      <c r="D1937" s="2" t="s">
        <v>1856</v>
      </c>
      <c r="E1937" s="3"/>
    </row>
    <row r="1938" spans="1:5" ht="24.75" customHeight="1">
      <c r="A1938" s="2">
        <v>1936</v>
      </c>
      <c r="B1938" s="2" t="str">
        <f>"梁美静"</f>
        <v>梁美静</v>
      </c>
      <c r="C1938" s="2" t="s">
        <v>1857</v>
      </c>
      <c r="D1938" s="2" t="s">
        <v>1858</v>
      </c>
      <c r="E1938" s="3"/>
    </row>
    <row r="1939" spans="1:5" ht="24.75" customHeight="1">
      <c r="A1939" s="2">
        <v>1937</v>
      </c>
      <c r="B1939" s="2" t="str">
        <f>"林敬丰"</f>
        <v>林敬丰</v>
      </c>
      <c r="C1939" s="2" t="s">
        <v>1857</v>
      </c>
      <c r="D1939" s="2" t="s">
        <v>1859</v>
      </c>
      <c r="E1939" s="3"/>
    </row>
    <row r="1940" spans="1:5" ht="24.75" customHeight="1">
      <c r="A1940" s="2">
        <v>1938</v>
      </c>
      <c r="B1940" s="2" t="str">
        <f>"苏会胜"</f>
        <v>苏会胜</v>
      </c>
      <c r="C1940" s="2" t="s">
        <v>1857</v>
      </c>
      <c r="D1940" s="2" t="s">
        <v>1860</v>
      </c>
      <c r="E1940" s="3"/>
    </row>
    <row r="1941" spans="1:5" ht="24.75" customHeight="1">
      <c r="A1941" s="2">
        <v>1939</v>
      </c>
      <c r="B1941" s="2" t="str">
        <f>"吴愉"</f>
        <v>吴愉</v>
      </c>
      <c r="C1941" s="2" t="s">
        <v>1857</v>
      </c>
      <c r="D1941" s="2" t="s">
        <v>1196</v>
      </c>
      <c r="E1941" s="3"/>
    </row>
    <row r="1942" spans="1:5" ht="24.75" customHeight="1">
      <c r="A1942" s="2">
        <v>1940</v>
      </c>
      <c r="B1942" s="2" t="str">
        <f>"郑学威"</f>
        <v>郑学威</v>
      </c>
      <c r="C1942" s="2" t="s">
        <v>1857</v>
      </c>
      <c r="D1942" s="2" t="s">
        <v>1861</v>
      </c>
      <c r="E1942" s="3"/>
    </row>
    <row r="1943" spans="1:5" ht="24.75" customHeight="1">
      <c r="A1943" s="2">
        <v>1941</v>
      </c>
      <c r="B1943" s="2" t="str">
        <f>"陈瑞典"</f>
        <v>陈瑞典</v>
      </c>
      <c r="C1943" s="2" t="s">
        <v>1857</v>
      </c>
      <c r="D1943" s="2" t="s">
        <v>1862</v>
      </c>
      <c r="E1943" s="3"/>
    </row>
    <row r="1944" spans="1:5" ht="24.75" customHeight="1">
      <c r="A1944" s="2">
        <v>1942</v>
      </c>
      <c r="B1944" s="2" t="str">
        <f>"符宁"</f>
        <v>符宁</v>
      </c>
      <c r="C1944" s="2" t="s">
        <v>1857</v>
      </c>
      <c r="D1944" s="2" t="s">
        <v>1863</v>
      </c>
      <c r="E1944" s="3"/>
    </row>
    <row r="1945" spans="1:5" ht="24.75" customHeight="1">
      <c r="A1945" s="2">
        <v>1943</v>
      </c>
      <c r="B1945" s="2" t="str">
        <f>"曲玉文"</f>
        <v>曲玉文</v>
      </c>
      <c r="C1945" s="2" t="s">
        <v>1857</v>
      </c>
      <c r="D1945" s="2" t="s">
        <v>1864</v>
      </c>
      <c r="E1945" s="3"/>
    </row>
    <row r="1946" spans="1:5" ht="24.75" customHeight="1">
      <c r="A1946" s="2">
        <v>1944</v>
      </c>
      <c r="B1946" s="2" t="str">
        <f>"贺晓昆"</f>
        <v>贺晓昆</v>
      </c>
      <c r="C1946" s="2" t="s">
        <v>1857</v>
      </c>
      <c r="D1946" s="2" t="s">
        <v>1865</v>
      </c>
      <c r="E1946" s="3"/>
    </row>
    <row r="1947" spans="1:5" ht="24.75" customHeight="1">
      <c r="A1947" s="2">
        <v>1945</v>
      </c>
      <c r="B1947" s="2" t="str">
        <f>"邓美妮"</f>
        <v>邓美妮</v>
      </c>
      <c r="C1947" s="2" t="s">
        <v>1857</v>
      </c>
      <c r="D1947" s="2" t="s">
        <v>1866</v>
      </c>
      <c r="E1947" s="3"/>
    </row>
    <row r="1948" spans="1:5" ht="24.75" customHeight="1">
      <c r="A1948" s="2">
        <v>1946</v>
      </c>
      <c r="B1948" s="2" t="str">
        <f>"王和高"</f>
        <v>王和高</v>
      </c>
      <c r="C1948" s="2" t="s">
        <v>1857</v>
      </c>
      <c r="D1948" s="2" t="s">
        <v>1867</v>
      </c>
      <c r="E1948" s="3"/>
    </row>
    <row r="1949" spans="1:5" ht="24.75" customHeight="1">
      <c r="A1949" s="2">
        <v>1947</v>
      </c>
      <c r="B1949" s="2" t="str">
        <f>"符亚平"</f>
        <v>符亚平</v>
      </c>
      <c r="C1949" s="2" t="s">
        <v>1857</v>
      </c>
      <c r="D1949" s="2" t="s">
        <v>1868</v>
      </c>
      <c r="E1949" s="3"/>
    </row>
    <row r="1950" spans="1:5" ht="24.75" customHeight="1">
      <c r="A1950" s="2">
        <v>1948</v>
      </c>
      <c r="B1950" s="2" t="str">
        <f>"吴欣影"</f>
        <v>吴欣影</v>
      </c>
      <c r="C1950" s="2" t="s">
        <v>1857</v>
      </c>
      <c r="D1950" s="2" t="s">
        <v>1869</v>
      </c>
      <c r="E1950" s="3"/>
    </row>
    <row r="1951" spans="1:5" ht="24.75" customHeight="1">
      <c r="A1951" s="2">
        <v>1949</v>
      </c>
      <c r="B1951" s="2" t="str">
        <f>"李先凯"</f>
        <v>李先凯</v>
      </c>
      <c r="C1951" s="2" t="s">
        <v>1857</v>
      </c>
      <c r="D1951" s="2" t="s">
        <v>1870</v>
      </c>
      <c r="E1951" s="3"/>
    </row>
    <row r="1952" spans="1:5" ht="24.75" customHeight="1">
      <c r="A1952" s="2">
        <v>1950</v>
      </c>
      <c r="B1952" s="2" t="str">
        <f>"张华庚"</f>
        <v>张华庚</v>
      </c>
      <c r="C1952" s="2" t="s">
        <v>1857</v>
      </c>
      <c r="D1952" s="2" t="s">
        <v>1407</v>
      </c>
      <c r="E1952" s="3"/>
    </row>
    <row r="1953" spans="1:5" ht="24.75" customHeight="1">
      <c r="A1953" s="2">
        <v>1951</v>
      </c>
      <c r="B1953" s="2" t="str">
        <f>"陈睿枢"</f>
        <v>陈睿枢</v>
      </c>
      <c r="C1953" s="2" t="s">
        <v>1857</v>
      </c>
      <c r="D1953" s="2" t="s">
        <v>1871</v>
      </c>
      <c r="E1953" s="3"/>
    </row>
    <row r="1954" spans="1:5" ht="24.75" customHeight="1">
      <c r="A1954" s="2">
        <v>1952</v>
      </c>
      <c r="B1954" s="2" t="str">
        <f>"王家栩"</f>
        <v>王家栩</v>
      </c>
      <c r="C1954" s="2" t="s">
        <v>1857</v>
      </c>
      <c r="D1954" s="2" t="s">
        <v>1872</v>
      </c>
      <c r="E1954" s="3"/>
    </row>
    <row r="1955" spans="1:5" ht="24.75" customHeight="1">
      <c r="A1955" s="2">
        <v>1953</v>
      </c>
      <c r="B1955" s="2" t="str">
        <f>"韦沈贵"</f>
        <v>韦沈贵</v>
      </c>
      <c r="C1955" s="2" t="s">
        <v>1857</v>
      </c>
      <c r="D1955" s="2" t="s">
        <v>1873</v>
      </c>
      <c r="E1955" s="3"/>
    </row>
    <row r="1956" spans="1:5" ht="24.75" customHeight="1">
      <c r="A1956" s="2">
        <v>1954</v>
      </c>
      <c r="B1956" s="2" t="str">
        <f>"林嘉基"</f>
        <v>林嘉基</v>
      </c>
      <c r="C1956" s="2" t="s">
        <v>1857</v>
      </c>
      <c r="D1956" s="2" t="s">
        <v>1874</v>
      </c>
      <c r="E1956" s="3"/>
    </row>
    <row r="1957" spans="1:5" ht="24.75" customHeight="1">
      <c r="A1957" s="2">
        <v>1955</v>
      </c>
      <c r="B1957" s="2" t="str">
        <f>"黎宏喜"</f>
        <v>黎宏喜</v>
      </c>
      <c r="C1957" s="2" t="s">
        <v>1857</v>
      </c>
      <c r="D1957" s="2" t="s">
        <v>1875</v>
      </c>
      <c r="E1957" s="3"/>
    </row>
    <row r="1958" spans="1:5" ht="24.75" customHeight="1">
      <c r="A1958" s="2">
        <v>1956</v>
      </c>
      <c r="B1958" s="2" t="str">
        <f>"薛才德"</f>
        <v>薛才德</v>
      </c>
      <c r="C1958" s="2" t="s">
        <v>1857</v>
      </c>
      <c r="D1958" s="2" t="s">
        <v>1876</v>
      </c>
      <c r="E1958" s="3"/>
    </row>
    <row r="1959" spans="1:5" ht="24.75" customHeight="1">
      <c r="A1959" s="2">
        <v>1957</v>
      </c>
      <c r="B1959" s="2" t="str">
        <f>"曾万俊"</f>
        <v>曾万俊</v>
      </c>
      <c r="C1959" s="2" t="s">
        <v>1857</v>
      </c>
      <c r="D1959" s="2" t="s">
        <v>1877</v>
      </c>
      <c r="E1959" s="3"/>
    </row>
    <row r="1960" spans="1:5" ht="24.75" customHeight="1">
      <c r="A1960" s="2">
        <v>1958</v>
      </c>
      <c r="B1960" s="2" t="str">
        <f>"符吉"</f>
        <v>符吉</v>
      </c>
      <c r="C1960" s="2" t="s">
        <v>1857</v>
      </c>
      <c r="D1960" s="2" t="s">
        <v>1878</v>
      </c>
      <c r="E1960" s="3"/>
    </row>
    <row r="1961" spans="1:5" ht="24.75" customHeight="1">
      <c r="A1961" s="2">
        <v>1959</v>
      </c>
      <c r="B1961" s="2" t="str">
        <f>"陈香栋"</f>
        <v>陈香栋</v>
      </c>
      <c r="C1961" s="2" t="s">
        <v>1857</v>
      </c>
      <c r="D1961" s="2" t="s">
        <v>1879</v>
      </c>
      <c r="E1961" s="3"/>
    </row>
    <row r="1962" spans="1:5" ht="24.75" customHeight="1">
      <c r="A1962" s="2">
        <v>1960</v>
      </c>
      <c r="B1962" s="2" t="str">
        <f>"陈先伟"</f>
        <v>陈先伟</v>
      </c>
      <c r="C1962" s="2" t="s">
        <v>1857</v>
      </c>
      <c r="D1962" s="2" t="s">
        <v>1880</v>
      </c>
      <c r="E1962" s="3"/>
    </row>
    <row r="1963" spans="1:5" ht="24.75" customHeight="1">
      <c r="A1963" s="2">
        <v>1961</v>
      </c>
      <c r="B1963" s="2" t="str">
        <f>"乜永宝"</f>
        <v>乜永宝</v>
      </c>
      <c r="C1963" s="2" t="s">
        <v>1857</v>
      </c>
      <c r="D1963" s="2" t="s">
        <v>1881</v>
      </c>
      <c r="E1963" s="3"/>
    </row>
    <row r="1964" spans="1:5" ht="24.75" customHeight="1">
      <c r="A1964" s="2">
        <v>1962</v>
      </c>
      <c r="B1964" s="2" t="str">
        <f>"蒋先曼"</f>
        <v>蒋先曼</v>
      </c>
      <c r="C1964" s="2" t="s">
        <v>1857</v>
      </c>
      <c r="D1964" s="2" t="s">
        <v>1882</v>
      </c>
      <c r="E1964" s="3"/>
    </row>
    <row r="1965" spans="1:5" ht="24.75" customHeight="1">
      <c r="A1965" s="2">
        <v>1963</v>
      </c>
      <c r="B1965" s="2" t="str">
        <f>"黄志明"</f>
        <v>黄志明</v>
      </c>
      <c r="C1965" s="2" t="s">
        <v>1857</v>
      </c>
      <c r="D1965" s="2" t="s">
        <v>1883</v>
      </c>
      <c r="E1965" s="3"/>
    </row>
    <row r="1966" spans="1:5" ht="24.75" customHeight="1">
      <c r="A1966" s="2">
        <v>1964</v>
      </c>
      <c r="B1966" s="2" t="str">
        <f>"韩清裕"</f>
        <v>韩清裕</v>
      </c>
      <c r="C1966" s="2" t="s">
        <v>1857</v>
      </c>
      <c r="D1966" s="2" t="s">
        <v>1884</v>
      </c>
      <c r="E1966" s="3"/>
    </row>
    <row r="1967" spans="1:5" ht="24.75" customHeight="1">
      <c r="A1967" s="2">
        <v>1965</v>
      </c>
      <c r="B1967" s="2" t="str">
        <f>"林声婕"</f>
        <v>林声婕</v>
      </c>
      <c r="C1967" s="2" t="s">
        <v>1857</v>
      </c>
      <c r="D1967" s="2" t="s">
        <v>1885</v>
      </c>
      <c r="E1967" s="3"/>
    </row>
    <row r="1968" spans="1:5" ht="24.75" customHeight="1">
      <c r="A1968" s="2">
        <v>1966</v>
      </c>
      <c r="B1968" s="2" t="str">
        <f>"王海松"</f>
        <v>王海松</v>
      </c>
      <c r="C1968" s="2" t="s">
        <v>1857</v>
      </c>
      <c r="D1968" s="2" t="s">
        <v>1886</v>
      </c>
      <c r="E1968" s="3"/>
    </row>
    <row r="1969" spans="1:5" ht="24.75" customHeight="1">
      <c r="A1969" s="2">
        <v>1967</v>
      </c>
      <c r="B1969" s="2" t="str">
        <f>"周咪"</f>
        <v>周咪</v>
      </c>
      <c r="C1969" s="2" t="s">
        <v>1857</v>
      </c>
      <c r="D1969" s="2" t="s">
        <v>1887</v>
      </c>
      <c r="E1969" s="3"/>
    </row>
    <row r="1970" spans="1:5" ht="24.75" customHeight="1">
      <c r="A1970" s="2">
        <v>1968</v>
      </c>
      <c r="B1970" s="2" t="str">
        <f>"罗永发"</f>
        <v>罗永发</v>
      </c>
      <c r="C1970" s="2" t="s">
        <v>1857</v>
      </c>
      <c r="D1970" s="2" t="s">
        <v>1888</v>
      </c>
      <c r="E1970" s="3"/>
    </row>
    <row r="1971" spans="1:5" ht="24.75" customHeight="1">
      <c r="A1971" s="2">
        <v>1969</v>
      </c>
      <c r="B1971" s="2" t="str">
        <f>"陈秋"</f>
        <v>陈秋</v>
      </c>
      <c r="C1971" s="2" t="s">
        <v>1857</v>
      </c>
      <c r="D1971" s="2" t="s">
        <v>1889</v>
      </c>
      <c r="E1971" s="3"/>
    </row>
    <row r="1972" spans="1:5" ht="24.75" customHeight="1">
      <c r="A1972" s="2">
        <v>1970</v>
      </c>
      <c r="B1972" s="2" t="str">
        <f>"陈乔重"</f>
        <v>陈乔重</v>
      </c>
      <c r="C1972" s="2" t="s">
        <v>1857</v>
      </c>
      <c r="D1972" s="2" t="s">
        <v>1890</v>
      </c>
      <c r="E1972" s="3"/>
    </row>
    <row r="1973" spans="1:5" ht="24.75" customHeight="1">
      <c r="A1973" s="2">
        <v>1971</v>
      </c>
      <c r="B1973" s="2" t="str">
        <f>"陈俊峰"</f>
        <v>陈俊峰</v>
      </c>
      <c r="C1973" s="2" t="s">
        <v>1857</v>
      </c>
      <c r="D1973" s="2" t="s">
        <v>416</v>
      </c>
      <c r="E1973" s="3"/>
    </row>
    <row r="1974" spans="1:5" ht="24.75" customHeight="1">
      <c r="A1974" s="2">
        <v>1972</v>
      </c>
      <c r="B1974" s="2" t="str">
        <f>"张若彪"</f>
        <v>张若彪</v>
      </c>
      <c r="C1974" s="2" t="s">
        <v>1857</v>
      </c>
      <c r="D1974" s="2" t="s">
        <v>1891</v>
      </c>
      <c r="E1974" s="3"/>
    </row>
    <row r="1975" spans="1:5" ht="24.75" customHeight="1">
      <c r="A1975" s="2">
        <v>1973</v>
      </c>
      <c r="B1975" s="2" t="str">
        <f>"符路思"</f>
        <v>符路思</v>
      </c>
      <c r="C1975" s="2" t="s">
        <v>1857</v>
      </c>
      <c r="D1975" s="2" t="s">
        <v>1892</v>
      </c>
      <c r="E1975" s="3"/>
    </row>
    <row r="1976" spans="1:5" ht="24.75" customHeight="1">
      <c r="A1976" s="2">
        <v>1974</v>
      </c>
      <c r="B1976" s="2" t="str">
        <f>"吴施惜"</f>
        <v>吴施惜</v>
      </c>
      <c r="C1976" s="2" t="s">
        <v>1893</v>
      </c>
      <c r="D1976" s="2" t="s">
        <v>1894</v>
      </c>
      <c r="E1976" s="3"/>
    </row>
    <row r="1977" spans="1:5" ht="24.75" customHeight="1">
      <c r="A1977" s="2">
        <v>1975</v>
      </c>
      <c r="B1977" s="2" t="str">
        <f>"林玄栋"</f>
        <v>林玄栋</v>
      </c>
      <c r="C1977" s="2" t="s">
        <v>1893</v>
      </c>
      <c r="D1977" s="2" t="s">
        <v>1895</v>
      </c>
      <c r="E1977" s="3"/>
    </row>
    <row r="1978" spans="1:5" ht="24.75" customHeight="1">
      <c r="A1978" s="2">
        <v>1976</v>
      </c>
      <c r="B1978" s="2" t="str">
        <f>"林家仕"</f>
        <v>林家仕</v>
      </c>
      <c r="C1978" s="2" t="s">
        <v>1893</v>
      </c>
      <c r="D1978" s="2" t="s">
        <v>1896</v>
      </c>
      <c r="E1978" s="3"/>
    </row>
    <row r="1979" spans="1:5" ht="24.75" customHeight="1">
      <c r="A1979" s="2">
        <v>1977</v>
      </c>
      <c r="B1979" s="2" t="str">
        <f>"潘曼菱"</f>
        <v>潘曼菱</v>
      </c>
      <c r="C1979" s="2" t="s">
        <v>1893</v>
      </c>
      <c r="D1979" s="2" t="s">
        <v>1897</v>
      </c>
      <c r="E1979" s="3"/>
    </row>
    <row r="1980" spans="1:5" ht="24.75" customHeight="1">
      <c r="A1980" s="2">
        <v>1978</v>
      </c>
      <c r="B1980" s="2" t="str">
        <f>"林美婵"</f>
        <v>林美婵</v>
      </c>
      <c r="C1980" s="2" t="s">
        <v>1893</v>
      </c>
      <c r="D1980" s="2" t="s">
        <v>1898</v>
      </c>
      <c r="E1980" s="3"/>
    </row>
    <row r="1981" spans="1:5" ht="24.75" customHeight="1">
      <c r="A1981" s="2">
        <v>1979</v>
      </c>
      <c r="B1981" s="2" t="str">
        <f>"林位名"</f>
        <v>林位名</v>
      </c>
      <c r="C1981" s="2" t="s">
        <v>1893</v>
      </c>
      <c r="D1981" s="2" t="s">
        <v>1899</v>
      </c>
      <c r="E1981" s="3"/>
    </row>
    <row r="1982" spans="1:5" ht="24.75" customHeight="1">
      <c r="A1982" s="2">
        <v>1980</v>
      </c>
      <c r="B1982" s="2" t="str">
        <f>"冼秋季"</f>
        <v>冼秋季</v>
      </c>
      <c r="C1982" s="2" t="s">
        <v>1893</v>
      </c>
      <c r="D1982" s="2" t="s">
        <v>1900</v>
      </c>
      <c r="E1982" s="3"/>
    </row>
    <row r="1983" spans="1:5" ht="24.75" customHeight="1">
      <c r="A1983" s="2">
        <v>1981</v>
      </c>
      <c r="B1983" s="2" t="str">
        <f>"王卓竻"</f>
        <v>王卓竻</v>
      </c>
      <c r="C1983" s="2" t="s">
        <v>1893</v>
      </c>
      <c r="D1983" s="2" t="s">
        <v>1901</v>
      </c>
      <c r="E1983" s="3"/>
    </row>
    <row r="1984" spans="1:5" ht="24.75" customHeight="1">
      <c r="A1984" s="2">
        <v>1982</v>
      </c>
      <c r="B1984" s="2" t="str">
        <f>"陈扬"</f>
        <v>陈扬</v>
      </c>
      <c r="C1984" s="2" t="s">
        <v>1893</v>
      </c>
      <c r="D1984" s="2" t="s">
        <v>1902</v>
      </c>
      <c r="E1984" s="3"/>
    </row>
    <row r="1985" spans="1:5" ht="24.75" customHeight="1">
      <c r="A1985" s="2">
        <v>1983</v>
      </c>
      <c r="B1985" s="2" t="str">
        <f>"李婷"</f>
        <v>李婷</v>
      </c>
      <c r="C1985" s="2" t="s">
        <v>1893</v>
      </c>
      <c r="D1985" s="2" t="s">
        <v>1903</v>
      </c>
      <c r="E1985" s="3"/>
    </row>
    <row r="1986" spans="1:5" ht="24.75" customHeight="1">
      <c r="A1986" s="2">
        <v>1984</v>
      </c>
      <c r="B1986" s="2" t="str">
        <f>"符小艳"</f>
        <v>符小艳</v>
      </c>
      <c r="C1986" s="2" t="s">
        <v>1893</v>
      </c>
      <c r="D1986" s="2" t="s">
        <v>1904</v>
      </c>
      <c r="E1986" s="3"/>
    </row>
    <row r="1987" spans="1:5" ht="24.75" customHeight="1">
      <c r="A1987" s="2">
        <v>1985</v>
      </c>
      <c r="B1987" s="2" t="str">
        <f>"陈川佳"</f>
        <v>陈川佳</v>
      </c>
      <c r="C1987" s="2" t="s">
        <v>1893</v>
      </c>
      <c r="D1987" s="2" t="s">
        <v>1905</v>
      </c>
      <c r="E1987" s="3"/>
    </row>
    <row r="1988" spans="1:5" ht="24.75" customHeight="1">
      <c r="A1988" s="2">
        <v>1986</v>
      </c>
      <c r="B1988" s="2" t="str">
        <f>"苏恩萍"</f>
        <v>苏恩萍</v>
      </c>
      <c r="C1988" s="2" t="s">
        <v>1893</v>
      </c>
      <c r="D1988" s="2" t="s">
        <v>1906</v>
      </c>
      <c r="E1988" s="3"/>
    </row>
    <row r="1989" spans="1:5" ht="24.75" customHeight="1">
      <c r="A1989" s="2">
        <v>1987</v>
      </c>
      <c r="B1989" s="2" t="str">
        <f>"邢小凤"</f>
        <v>邢小凤</v>
      </c>
      <c r="C1989" s="2" t="s">
        <v>1893</v>
      </c>
      <c r="D1989" s="2" t="s">
        <v>1907</v>
      </c>
      <c r="E1989" s="3"/>
    </row>
    <row r="1990" spans="1:5" ht="24.75" customHeight="1">
      <c r="A1990" s="2">
        <v>1988</v>
      </c>
      <c r="B1990" s="2" t="str">
        <f>"符丹乃"</f>
        <v>符丹乃</v>
      </c>
      <c r="C1990" s="2" t="s">
        <v>1893</v>
      </c>
      <c r="D1990" s="2" t="s">
        <v>1908</v>
      </c>
      <c r="E1990" s="3"/>
    </row>
    <row r="1991" spans="1:5" ht="24.75" customHeight="1">
      <c r="A1991" s="2">
        <v>1989</v>
      </c>
      <c r="B1991" s="2" t="str">
        <f>"朱静"</f>
        <v>朱静</v>
      </c>
      <c r="C1991" s="2" t="s">
        <v>1893</v>
      </c>
      <c r="D1991" s="2" t="s">
        <v>1909</v>
      </c>
      <c r="E1991" s="3"/>
    </row>
    <row r="1992" spans="1:5" ht="24.75" customHeight="1">
      <c r="A1992" s="2">
        <v>1990</v>
      </c>
      <c r="B1992" s="2" t="str">
        <f>"黄琼莹"</f>
        <v>黄琼莹</v>
      </c>
      <c r="C1992" s="2" t="s">
        <v>1893</v>
      </c>
      <c r="D1992" s="2" t="s">
        <v>1910</v>
      </c>
      <c r="E1992" s="3"/>
    </row>
    <row r="1993" spans="1:5" ht="24.75" customHeight="1">
      <c r="A1993" s="2">
        <v>1991</v>
      </c>
      <c r="B1993" s="2" t="str">
        <f>"韩丰任"</f>
        <v>韩丰任</v>
      </c>
      <c r="C1993" s="2" t="s">
        <v>1893</v>
      </c>
      <c r="D1993" s="2" t="s">
        <v>220</v>
      </c>
      <c r="E1993" s="3"/>
    </row>
    <row r="1994" spans="1:5" ht="24.75" customHeight="1">
      <c r="A1994" s="2">
        <v>1992</v>
      </c>
      <c r="B1994" s="2" t="str">
        <f>"蔡文婷"</f>
        <v>蔡文婷</v>
      </c>
      <c r="C1994" s="2" t="s">
        <v>1893</v>
      </c>
      <c r="D1994" s="2" t="s">
        <v>1911</v>
      </c>
      <c r="E1994" s="3"/>
    </row>
    <row r="1995" spans="1:5" ht="24.75" customHeight="1">
      <c r="A1995" s="2">
        <v>1993</v>
      </c>
      <c r="B1995" s="2" t="str">
        <f>"王鑫月"</f>
        <v>王鑫月</v>
      </c>
      <c r="C1995" s="2" t="s">
        <v>1893</v>
      </c>
      <c r="D1995" s="2" t="s">
        <v>1912</v>
      </c>
      <c r="E1995" s="3"/>
    </row>
    <row r="1996" spans="1:5" ht="24.75" customHeight="1">
      <c r="A1996" s="2">
        <v>1994</v>
      </c>
      <c r="B1996" s="2" t="str">
        <f>"黄良波"</f>
        <v>黄良波</v>
      </c>
      <c r="C1996" s="2" t="s">
        <v>1893</v>
      </c>
      <c r="D1996" s="2" t="s">
        <v>1913</v>
      </c>
      <c r="E1996" s="3"/>
    </row>
    <row r="1997" spans="1:5" ht="24.75" customHeight="1">
      <c r="A1997" s="2">
        <v>1995</v>
      </c>
      <c r="B1997" s="2" t="str">
        <f>"洪雅婷"</f>
        <v>洪雅婷</v>
      </c>
      <c r="C1997" s="2" t="s">
        <v>1893</v>
      </c>
      <c r="D1997" s="2" t="s">
        <v>1914</v>
      </c>
      <c r="E1997" s="3"/>
    </row>
    <row r="1998" spans="1:5" ht="24.75" customHeight="1">
      <c r="A1998" s="2">
        <v>1996</v>
      </c>
      <c r="B1998" s="2" t="str">
        <f>"苏庆富"</f>
        <v>苏庆富</v>
      </c>
      <c r="C1998" s="2" t="s">
        <v>1893</v>
      </c>
      <c r="D1998" s="2" t="s">
        <v>1915</v>
      </c>
      <c r="E1998" s="3"/>
    </row>
    <row r="1999" spans="1:5" ht="24.75" customHeight="1">
      <c r="A1999" s="2">
        <v>1997</v>
      </c>
      <c r="B1999" s="2" t="str">
        <f>"赵明晶"</f>
        <v>赵明晶</v>
      </c>
      <c r="C1999" s="2" t="s">
        <v>1893</v>
      </c>
      <c r="D1999" s="2" t="s">
        <v>1515</v>
      </c>
      <c r="E1999" s="3"/>
    </row>
    <row r="2000" spans="1:5" ht="24.75" customHeight="1">
      <c r="A2000" s="2">
        <v>1998</v>
      </c>
      <c r="B2000" s="2" t="str">
        <f>"钟梦琪"</f>
        <v>钟梦琪</v>
      </c>
      <c r="C2000" s="2" t="s">
        <v>1893</v>
      </c>
      <c r="D2000" s="2" t="s">
        <v>1916</v>
      </c>
      <c r="E2000" s="3"/>
    </row>
    <row r="2001" spans="1:5" ht="24.75" customHeight="1">
      <c r="A2001" s="2">
        <v>1999</v>
      </c>
      <c r="B2001" s="2" t="str">
        <f>"龙小丹"</f>
        <v>龙小丹</v>
      </c>
      <c r="C2001" s="2" t="s">
        <v>1893</v>
      </c>
      <c r="D2001" s="2" t="s">
        <v>1917</v>
      </c>
      <c r="E2001" s="3"/>
    </row>
    <row r="2002" spans="1:5" ht="24.75" customHeight="1">
      <c r="A2002" s="2">
        <v>2000</v>
      </c>
      <c r="B2002" s="2" t="str">
        <f>"符佳慧"</f>
        <v>符佳慧</v>
      </c>
      <c r="C2002" s="2" t="s">
        <v>1893</v>
      </c>
      <c r="D2002" s="2" t="s">
        <v>1918</v>
      </c>
      <c r="E2002" s="3"/>
    </row>
    <row r="2003" spans="1:5" ht="24.75" customHeight="1">
      <c r="A2003" s="2">
        <v>2001</v>
      </c>
      <c r="B2003" s="2" t="str">
        <f>"王启鹏"</f>
        <v>王启鹏</v>
      </c>
      <c r="C2003" s="2" t="s">
        <v>1893</v>
      </c>
      <c r="D2003" s="2" t="s">
        <v>1919</v>
      </c>
      <c r="E2003" s="3"/>
    </row>
    <row r="2004" spans="1:5" ht="24.75" customHeight="1">
      <c r="A2004" s="2">
        <v>2002</v>
      </c>
      <c r="B2004" s="2" t="str">
        <f>"何瑞年"</f>
        <v>何瑞年</v>
      </c>
      <c r="C2004" s="2" t="s">
        <v>1893</v>
      </c>
      <c r="D2004" s="2" t="s">
        <v>1920</v>
      </c>
      <c r="E2004" s="3"/>
    </row>
    <row r="2005" spans="1:5" ht="24.75" customHeight="1">
      <c r="A2005" s="2">
        <v>2003</v>
      </c>
      <c r="B2005" s="2" t="str">
        <f>"何小娜"</f>
        <v>何小娜</v>
      </c>
      <c r="C2005" s="2" t="s">
        <v>1893</v>
      </c>
      <c r="D2005" s="2" t="s">
        <v>1921</v>
      </c>
      <c r="E2005" s="3"/>
    </row>
    <row r="2006" spans="1:5" ht="24.75" customHeight="1">
      <c r="A2006" s="2">
        <v>2004</v>
      </c>
      <c r="B2006" s="2" t="str">
        <f>"杨潇"</f>
        <v>杨潇</v>
      </c>
      <c r="C2006" s="2" t="s">
        <v>1893</v>
      </c>
      <c r="D2006" s="2" t="s">
        <v>1922</v>
      </c>
      <c r="E2006" s="3"/>
    </row>
    <row r="2007" spans="1:5" ht="24.75" customHeight="1">
      <c r="A2007" s="2">
        <v>2005</v>
      </c>
      <c r="B2007" s="2" t="str">
        <f>"云珊珊"</f>
        <v>云珊珊</v>
      </c>
      <c r="C2007" s="2" t="s">
        <v>1893</v>
      </c>
      <c r="D2007" s="2" t="s">
        <v>503</v>
      </c>
      <c r="E2007" s="3"/>
    </row>
    <row r="2008" spans="1:5" ht="24.75" customHeight="1">
      <c r="A2008" s="2">
        <v>2006</v>
      </c>
      <c r="B2008" s="2" t="str">
        <f>"陈亚杰"</f>
        <v>陈亚杰</v>
      </c>
      <c r="C2008" s="2" t="s">
        <v>1893</v>
      </c>
      <c r="D2008" s="2" t="s">
        <v>1923</v>
      </c>
      <c r="E2008" s="3"/>
    </row>
    <row r="2009" spans="1:5" ht="24.75" customHeight="1">
      <c r="A2009" s="2">
        <v>2007</v>
      </c>
      <c r="B2009" s="2" t="str">
        <f>"邱名岳"</f>
        <v>邱名岳</v>
      </c>
      <c r="C2009" s="2" t="s">
        <v>1893</v>
      </c>
      <c r="D2009" s="2" t="s">
        <v>1924</v>
      </c>
      <c r="E2009" s="3"/>
    </row>
    <row r="2010" spans="1:5" ht="24.75" customHeight="1">
      <c r="A2010" s="2">
        <v>2008</v>
      </c>
      <c r="B2010" s="2" t="str">
        <f>"关义湖"</f>
        <v>关义湖</v>
      </c>
      <c r="C2010" s="2" t="s">
        <v>1893</v>
      </c>
      <c r="D2010" s="2" t="s">
        <v>1925</v>
      </c>
      <c r="E2010" s="3"/>
    </row>
    <row r="2011" spans="1:5" ht="24.75" customHeight="1">
      <c r="A2011" s="2">
        <v>2009</v>
      </c>
      <c r="B2011" s="2" t="str">
        <f>"许小娜"</f>
        <v>许小娜</v>
      </c>
      <c r="C2011" s="2" t="s">
        <v>1893</v>
      </c>
      <c r="D2011" s="2" t="s">
        <v>1926</v>
      </c>
      <c r="E2011" s="3"/>
    </row>
    <row r="2012" spans="1:5" ht="24.75" customHeight="1">
      <c r="A2012" s="2">
        <v>2010</v>
      </c>
      <c r="B2012" s="2" t="str">
        <f>"韩枫"</f>
        <v>韩枫</v>
      </c>
      <c r="C2012" s="2" t="s">
        <v>1893</v>
      </c>
      <c r="D2012" s="2" t="s">
        <v>1927</v>
      </c>
      <c r="E2012" s="3"/>
    </row>
    <row r="2013" spans="1:5" ht="24.75" customHeight="1">
      <c r="A2013" s="2">
        <v>2011</v>
      </c>
      <c r="B2013" s="2" t="str">
        <f>"陈春娇"</f>
        <v>陈春娇</v>
      </c>
      <c r="C2013" s="2" t="s">
        <v>1893</v>
      </c>
      <c r="D2013" s="2" t="s">
        <v>1928</v>
      </c>
      <c r="E2013" s="3"/>
    </row>
    <row r="2014" spans="1:5" ht="24.75" customHeight="1">
      <c r="A2014" s="2">
        <v>2012</v>
      </c>
      <c r="B2014" s="2" t="str">
        <f>"符裕萍"</f>
        <v>符裕萍</v>
      </c>
      <c r="C2014" s="2" t="s">
        <v>1893</v>
      </c>
      <c r="D2014" s="2" t="s">
        <v>1929</v>
      </c>
      <c r="E2014" s="3"/>
    </row>
    <row r="2015" spans="1:5" ht="24.75" customHeight="1">
      <c r="A2015" s="2">
        <v>2013</v>
      </c>
      <c r="B2015" s="2" t="str">
        <f>"韩欣彤"</f>
        <v>韩欣彤</v>
      </c>
      <c r="C2015" s="2" t="s">
        <v>1893</v>
      </c>
      <c r="D2015" s="2" t="s">
        <v>1930</v>
      </c>
      <c r="E2015" s="3"/>
    </row>
    <row r="2016" spans="1:5" ht="24.75" customHeight="1">
      <c r="A2016" s="2">
        <v>2014</v>
      </c>
      <c r="B2016" s="2" t="str">
        <f>"冯洁"</f>
        <v>冯洁</v>
      </c>
      <c r="C2016" s="2" t="s">
        <v>1893</v>
      </c>
      <c r="D2016" s="2" t="s">
        <v>1931</v>
      </c>
      <c r="E2016" s="3"/>
    </row>
    <row r="2017" spans="1:5" ht="24.75" customHeight="1">
      <c r="A2017" s="2">
        <v>2015</v>
      </c>
      <c r="B2017" s="2" t="str">
        <f>"韩宝光"</f>
        <v>韩宝光</v>
      </c>
      <c r="C2017" s="2" t="s">
        <v>1893</v>
      </c>
      <c r="D2017" s="2" t="s">
        <v>1932</v>
      </c>
      <c r="E2017" s="3"/>
    </row>
    <row r="2018" spans="1:5" ht="24.75" customHeight="1">
      <c r="A2018" s="2">
        <v>2016</v>
      </c>
      <c r="B2018" s="2" t="str">
        <f>"谢慧芬"</f>
        <v>谢慧芬</v>
      </c>
      <c r="C2018" s="2" t="s">
        <v>1893</v>
      </c>
      <c r="D2018" s="2" t="s">
        <v>757</v>
      </c>
      <c r="E2018" s="3"/>
    </row>
    <row r="2019" spans="1:5" ht="24.75" customHeight="1">
      <c r="A2019" s="2">
        <v>2017</v>
      </c>
      <c r="B2019" s="2" t="str">
        <f>"何孟翰"</f>
        <v>何孟翰</v>
      </c>
      <c r="C2019" s="2" t="s">
        <v>1893</v>
      </c>
      <c r="D2019" s="2" t="s">
        <v>1933</v>
      </c>
      <c r="E2019" s="3"/>
    </row>
    <row r="2020" spans="1:5" ht="24.75" customHeight="1">
      <c r="A2020" s="2">
        <v>2018</v>
      </c>
      <c r="B2020" s="2" t="str">
        <f>"黄小茹"</f>
        <v>黄小茹</v>
      </c>
      <c r="C2020" s="2" t="s">
        <v>1893</v>
      </c>
      <c r="D2020" s="2" t="s">
        <v>1934</v>
      </c>
      <c r="E2020" s="3"/>
    </row>
    <row r="2021" spans="1:5" ht="24.75" customHeight="1">
      <c r="A2021" s="2">
        <v>2019</v>
      </c>
      <c r="B2021" s="2" t="str">
        <f>"林彩惠"</f>
        <v>林彩惠</v>
      </c>
      <c r="C2021" s="2" t="s">
        <v>1893</v>
      </c>
      <c r="D2021" s="2" t="s">
        <v>1935</v>
      </c>
      <c r="E2021" s="3"/>
    </row>
    <row r="2022" spans="1:5" ht="24.75" customHeight="1">
      <c r="A2022" s="2">
        <v>2020</v>
      </c>
      <c r="B2022" s="2" t="str">
        <f>"杨丹"</f>
        <v>杨丹</v>
      </c>
      <c r="C2022" s="2" t="s">
        <v>1893</v>
      </c>
      <c r="D2022" s="2" t="s">
        <v>1936</v>
      </c>
      <c r="E2022" s="3"/>
    </row>
    <row r="2023" spans="1:5" ht="24.75" customHeight="1">
      <c r="A2023" s="2">
        <v>2021</v>
      </c>
      <c r="B2023" s="2" t="str">
        <f>"符慧娴"</f>
        <v>符慧娴</v>
      </c>
      <c r="C2023" s="2" t="s">
        <v>1893</v>
      </c>
      <c r="D2023" s="2" t="s">
        <v>1937</v>
      </c>
      <c r="E2023" s="3"/>
    </row>
    <row r="2024" spans="1:5" ht="24.75" customHeight="1">
      <c r="A2024" s="2">
        <v>2022</v>
      </c>
      <c r="B2024" s="2" t="str">
        <f>"钟云山"</f>
        <v>钟云山</v>
      </c>
      <c r="C2024" s="2" t="s">
        <v>1893</v>
      </c>
      <c r="D2024" s="2" t="s">
        <v>1938</v>
      </c>
      <c r="E2024" s="3"/>
    </row>
    <row r="2025" spans="1:5" ht="24.75" customHeight="1">
      <c r="A2025" s="2">
        <v>2023</v>
      </c>
      <c r="B2025" s="2" t="str">
        <f>"黄莉娜"</f>
        <v>黄莉娜</v>
      </c>
      <c r="C2025" s="2" t="s">
        <v>1893</v>
      </c>
      <c r="D2025" s="2" t="s">
        <v>1939</v>
      </c>
      <c r="E2025" s="3"/>
    </row>
    <row r="2026" spans="1:5" ht="24.75" customHeight="1">
      <c r="A2026" s="2">
        <v>2024</v>
      </c>
      <c r="B2026" s="2" t="str">
        <f>"贺艳玲"</f>
        <v>贺艳玲</v>
      </c>
      <c r="C2026" s="2" t="s">
        <v>1893</v>
      </c>
      <c r="D2026" s="2" t="s">
        <v>1940</v>
      </c>
      <c r="E2026" s="3"/>
    </row>
    <row r="2027" spans="1:5" ht="24.75" customHeight="1">
      <c r="A2027" s="2">
        <v>2025</v>
      </c>
      <c r="B2027" s="2" t="str">
        <f>"文燕琼"</f>
        <v>文燕琼</v>
      </c>
      <c r="C2027" s="2" t="s">
        <v>1893</v>
      </c>
      <c r="D2027" s="2" t="s">
        <v>1941</v>
      </c>
      <c r="E2027" s="3"/>
    </row>
    <row r="2028" spans="1:5" ht="24.75" customHeight="1">
      <c r="A2028" s="2">
        <v>2026</v>
      </c>
      <c r="B2028" s="2" t="str">
        <f>"何彩秘"</f>
        <v>何彩秘</v>
      </c>
      <c r="C2028" s="2" t="s">
        <v>1893</v>
      </c>
      <c r="D2028" s="2" t="s">
        <v>1942</v>
      </c>
      <c r="E2028" s="3"/>
    </row>
    <row r="2029" spans="1:5" ht="24.75" customHeight="1">
      <c r="A2029" s="2">
        <v>2027</v>
      </c>
      <c r="B2029" s="2" t="str">
        <f>"唐闻仙"</f>
        <v>唐闻仙</v>
      </c>
      <c r="C2029" s="2" t="s">
        <v>1893</v>
      </c>
      <c r="D2029" s="2" t="s">
        <v>1943</v>
      </c>
      <c r="E2029" s="3"/>
    </row>
    <row r="2030" spans="1:5" ht="24.75" customHeight="1">
      <c r="A2030" s="2">
        <v>2028</v>
      </c>
      <c r="B2030" s="2" t="str">
        <f>"李文帅"</f>
        <v>李文帅</v>
      </c>
      <c r="C2030" s="2" t="s">
        <v>1893</v>
      </c>
      <c r="D2030" s="2" t="s">
        <v>1944</v>
      </c>
      <c r="E2030" s="3"/>
    </row>
    <row r="2031" spans="1:5" ht="24.75" customHeight="1">
      <c r="A2031" s="2">
        <v>2029</v>
      </c>
      <c r="B2031" s="2" t="str">
        <f>"张婷婷"</f>
        <v>张婷婷</v>
      </c>
      <c r="C2031" s="2" t="s">
        <v>1893</v>
      </c>
      <c r="D2031" s="2" t="s">
        <v>1945</v>
      </c>
      <c r="E2031" s="3"/>
    </row>
    <row r="2032" spans="1:5" ht="24.75" customHeight="1">
      <c r="A2032" s="2">
        <v>2030</v>
      </c>
      <c r="B2032" s="2" t="str">
        <f>"张梦莹"</f>
        <v>张梦莹</v>
      </c>
      <c r="C2032" s="2" t="s">
        <v>1893</v>
      </c>
      <c r="D2032" s="2" t="s">
        <v>1946</v>
      </c>
      <c r="E2032" s="3"/>
    </row>
    <row r="2033" spans="1:5" ht="24.75" customHeight="1">
      <c r="A2033" s="2">
        <v>2031</v>
      </c>
      <c r="B2033" s="2" t="str">
        <f>"陈春暖"</f>
        <v>陈春暖</v>
      </c>
      <c r="C2033" s="2" t="s">
        <v>1893</v>
      </c>
      <c r="D2033" s="2" t="s">
        <v>1947</v>
      </c>
      <c r="E2033" s="3"/>
    </row>
    <row r="2034" spans="1:5" ht="24.75" customHeight="1">
      <c r="A2034" s="2">
        <v>2032</v>
      </c>
      <c r="B2034" s="2" t="str">
        <f>"范佳佳"</f>
        <v>范佳佳</v>
      </c>
      <c r="C2034" s="2" t="s">
        <v>1893</v>
      </c>
      <c r="D2034" s="2" t="s">
        <v>1948</v>
      </c>
      <c r="E2034" s="3"/>
    </row>
    <row r="2035" spans="1:5" ht="24.75" customHeight="1">
      <c r="A2035" s="2">
        <v>2033</v>
      </c>
      <c r="B2035" s="2" t="str">
        <f>"郭义才"</f>
        <v>郭义才</v>
      </c>
      <c r="C2035" s="2" t="s">
        <v>1893</v>
      </c>
      <c r="D2035" s="2" t="s">
        <v>1949</v>
      </c>
      <c r="E2035" s="3"/>
    </row>
    <row r="2036" spans="1:5" ht="24.75" customHeight="1">
      <c r="A2036" s="2">
        <v>2034</v>
      </c>
      <c r="B2036" s="2" t="str">
        <f>"符晓婷"</f>
        <v>符晓婷</v>
      </c>
      <c r="C2036" s="2" t="s">
        <v>1893</v>
      </c>
      <c r="D2036" s="2" t="s">
        <v>1950</v>
      </c>
      <c r="E2036" s="3"/>
    </row>
    <row r="2037" spans="1:5" ht="24.75" customHeight="1">
      <c r="A2037" s="2">
        <v>2035</v>
      </c>
      <c r="B2037" s="2" t="str">
        <f>"李华芳"</f>
        <v>李华芳</v>
      </c>
      <c r="C2037" s="2" t="s">
        <v>1893</v>
      </c>
      <c r="D2037" s="2" t="s">
        <v>1054</v>
      </c>
      <c r="E2037" s="3"/>
    </row>
    <row r="2038" spans="1:5" ht="24.75" customHeight="1">
      <c r="A2038" s="2">
        <v>2036</v>
      </c>
      <c r="B2038" s="2" t="str">
        <f>"林彩虹"</f>
        <v>林彩虹</v>
      </c>
      <c r="C2038" s="2" t="s">
        <v>1893</v>
      </c>
      <c r="D2038" s="2" t="s">
        <v>1951</v>
      </c>
      <c r="E2038" s="3"/>
    </row>
    <row r="2039" spans="1:5" ht="24.75" customHeight="1">
      <c r="A2039" s="2">
        <v>2037</v>
      </c>
      <c r="B2039" s="2" t="str">
        <f>"潘荣雪"</f>
        <v>潘荣雪</v>
      </c>
      <c r="C2039" s="2" t="s">
        <v>1893</v>
      </c>
      <c r="D2039" s="2" t="s">
        <v>1952</v>
      </c>
      <c r="E2039" s="3"/>
    </row>
    <row r="2040" spans="1:5" ht="24.75" customHeight="1">
      <c r="A2040" s="2">
        <v>2038</v>
      </c>
      <c r="B2040" s="2" t="str">
        <f>"陈晓翠"</f>
        <v>陈晓翠</v>
      </c>
      <c r="C2040" s="2" t="s">
        <v>1893</v>
      </c>
      <c r="D2040" s="2" t="s">
        <v>1953</v>
      </c>
      <c r="E2040" s="3"/>
    </row>
    <row r="2041" spans="1:5" ht="24.75" customHeight="1">
      <c r="A2041" s="2">
        <v>2039</v>
      </c>
      <c r="B2041" s="2" t="str">
        <f>"林惠恒"</f>
        <v>林惠恒</v>
      </c>
      <c r="C2041" s="2" t="s">
        <v>1893</v>
      </c>
      <c r="D2041" s="2" t="s">
        <v>1954</v>
      </c>
      <c r="E2041" s="3"/>
    </row>
    <row r="2042" spans="1:5" ht="24.75" customHeight="1">
      <c r="A2042" s="2">
        <v>2040</v>
      </c>
      <c r="B2042" s="2" t="str">
        <f>"王顺妮"</f>
        <v>王顺妮</v>
      </c>
      <c r="C2042" s="2" t="s">
        <v>1893</v>
      </c>
      <c r="D2042" s="2" t="s">
        <v>1955</v>
      </c>
      <c r="E2042" s="3"/>
    </row>
    <row r="2043" spans="1:5" ht="24.75" customHeight="1">
      <c r="A2043" s="2">
        <v>2041</v>
      </c>
      <c r="B2043" s="2" t="str">
        <f>"王后文"</f>
        <v>王后文</v>
      </c>
      <c r="C2043" s="2" t="s">
        <v>1893</v>
      </c>
      <c r="D2043" s="2" t="s">
        <v>1956</v>
      </c>
      <c r="E2043" s="3"/>
    </row>
    <row r="2044" spans="1:5" ht="24.75" customHeight="1">
      <c r="A2044" s="2">
        <v>2042</v>
      </c>
      <c r="B2044" s="2" t="str">
        <f>"陈晓琳"</f>
        <v>陈晓琳</v>
      </c>
      <c r="C2044" s="2" t="s">
        <v>1893</v>
      </c>
      <c r="D2044" s="2" t="s">
        <v>1957</v>
      </c>
      <c r="E2044" s="3"/>
    </row>
    <row r="2045" spans="1:5" ht="24.75" customHeight="1">
      <c r="A2045" s="2">
        <v>2043</v>
      </c>
      <c r="B2045" s="2" t="str">
        <f>"刘欣如"</f>
        <v>刘欣如</v>
      </c>
      <c r="C2045" s="2" t="s">
        <v>1893</v>
      </c>
      <c r="D2045" s="2" t="s">
        <v>1958</v>
      </c>
      <c r="E2045" s="3"/>
    </row>
    <row r="2046" spans="1:5" ht="24.75" customHeight="1">
      <c r="A2046" s="2">
        <v>2044</v>
      </c>
      <c r="B2046" s="2" t="str">
        <f>"薛雪"</f>
        <v>薛雪</v>
      </c>
      <c r="C2046" s="2" t="s">
        <v>1893</v>
      </c>
      <c r="D2046" s="2" t="s">
        <v>1959</v>
      </c>
      <c r="E2046" s="3"/>
    </row>
    <row r="2047" spans="1:5" ht="24.75" customHeight="1">
      <c r="A2047" s="2">
        <v>2045</v>
      </c>
      <c r="B2047" s="2" t="str">
        <f>"王敏"</f>
        <v>王敏</v>
      </c>
      <c r="C2047" s="2" t="s">
        <v>1893</v>
      </c>
      <c r="D2047" s="2" t="s">
        <v>1960</v>
      </c>
      <c r="E2047" s="3"/>
    </row>
    <row r="2048" spans="1:5" ht="24.75" customHeight="1">
      <c r="A2048" s="2">
        <v>2046</v>
      </c>
      <c r="B2048" s="2" t="str">
        <f>"包俊丽"</f>
        <v>包俊丽</v>
      </c>
      <c r="C2048" s="2" t="s">
        <v>1893</v>
      </c>
      <c r="D2048" s="2" t="s">
        <v>1961</v>
      </c>
      <c r="E2048" s="3"/>
    </row>
    <row r="2049" spans="1:5" ht="24.75" customHeight="1">
      <c r="A2049" s="2">
        <v>2047</v>
      </c>
      <c r="B2049" s="2" t="str">
        <f>"吴颖"</f>
        <v>吴颖</v>
      </c>
      <c r="C2049" s="2" t="s">
        <v>1893</v>
      </c>
      <c r="D2049" s="2" t="s">
        <v>1962</v>
      </c>
      <c r="E2049" s="3"/>
    </row>
    <row r="2050" spans="1:5" ht="24.75" customHeight="1">
      <c r="A2050" s="2">
        <v>2048</v>
      </c>
      <c r="B2050" s="2" t="str">
        <f>"符怡漫"</f>
        <v>符怡漫</v>
      </c>
      <c r="C2050" s="2" t="s">
        <v>1893</v>
      </c>
      <c r="D2050" s="2" t="s">
        <v>1054</v>
      </c>
      <c r="E2050" s="3"/>
    </row>
    <row r="2051" spans="1:5" ht="24.75" customHeight="1">
      <c r="A2051" s="2">
        <v>2049</v>
      </c>
      <c r="B2051" s="2" t="str">
        <f>"陈俞宏"</f>
        <v>陈俞宏</v>
      </c>
      <c r="C2051" s="2" t="s">
        <v>1893</v>
      </c>
      <c r="D2051" s="2" t="s">
        <v>1963</v>
      </c>
      <c r="E2051" s="3"/>
    </row>
    <row r="2052" spans="1:5" ht="24.75" customHeight="1">
      <c r="A2052" s="2">
        <v>2050</v>
      </c>
      <c r="B2052" s="2" t="str">
        <f>"吴妃"</f>
        <v>吴妃</v>
      </c>
      <c r="C2052" s="2" t="s">
        <v>1893</v>
      </c>
      <c r="D2052" s="2" t="s">
        <v>1964</v>
      </c>
      <c r="E2052" s="3"/>
    </row>
    <row r="2053" spans="1:5" ht="24.75" customHeight="1">
      <c r="A2053" s="2">
        <v>2051</v>
      </c>
      <c r="B2053" s="2" t="str">
        <f>"陈亭夙"</f>
        <v>陈亭夙</v>
      </c>
      <c r="C2053" s="2" t="s">
        <v>1893</v>
      </c>
      <c r="D2053" s="2" t="s">
        <v>1965</v>
      </c>
      <c r="E2053" s="3"/>
    </row>
    <row r="2054" spans="1:5" ht="24.75" customHeight="1">
      <c r="A2054" s="2">
        <v>2052</v>
      </c>
      <c r="B2054" s="2" t="str">
        <f>"刘汉丽"</f>
        <v>刘汉丽</v>
      </c>
      <c r="C2054" s="2" t="s">
        <v>1893</v>
      </c>
      <c r="D2054" s="2" t="s">
        <v>1966</v>
      </c>
      <c r="E2054" s="3"/>
    </row>
    <row r="2055" spans="1:5" ht="24.75" customHeight="1">
      <c r="A2055" s="2">
        <v>2053</v>
      </c>
      <c r="B2055" s="2" t="str">
        <f>"彭丽雅"</f>
        <v>彭丽雅</v>
      </c>
      <c r="C2055" s="2" t="s">
        <v>1893</v>
      </c>
      <c r="D2055" s="2" t="s">
        <v>1967</v>
      </c>
      <c r="E2055" s="3"/>
    </row>
    <row r="2056" spans="1:5" ht="24.75" customHeight="1">
      <c r="A2056" s="2">
        <v>2054</v>
      </c>
      <c r="B2056" s="2" t="str">
        <f>"王娇雪"</f>
        <v>王娇雪</v>
      </c>
      <c r="C2056" s="2" t="s">
        <v>1893</v>
      </c>
      <c r="D2056" s="2" t="s">
        <v>1968</v>
      </c>
      <c r="E2056" s="3"/>
    </row>
    <row r="2057" spans="1:5" ht="24.75" customHeight="1">
      <c r="A2057" s="2">
        <v>2055</v>
      </c>
      <c r="B2057" s="2" t="str">
        <f>"吴小妹"</f>
        <v>吴小妹</v>
      </c>
      <c r="C2057" s="2" t="s">
        <v>1893</v>
      </c>
      <c r="D2057" s="2" t="s">
        <v>1969</v>
      </c>
      <c r="E2057" s="3"/>
    </row>
    <row r="2058" spans="1:5" ht="24.75" customHeight="1">
      <c r="A2058" s="2">
        <v>2056</v>
      </c>
      <c r="B2058" s="2" t="str">
        <f>"施昌良"</f>
        <v>施昌良</v>
      </c>
      <c r="C2058" s="2" t="s">
        <v>1893</v>
      </c>
      <c r="D2058" s="2" t="s">
        <v>1970</v>
      </c>
      <c r="E2058" s="3"/>
    </row>
    <row r="2059" spans="1:5" ht="24.75" customHeight="1">
      <c r="A2059" s="2">
        <v>2057</v>
      </c>
      <c r="B2059" s="2" t="str">
        <f>"吴晓莹"</f>
        <v>吴晓莹</v>
      </c>
      <c r="C2059" s="2" t="s">
        <v>1893</v>
      </c>
      <c r="D2059" s="2" t="s">
        <v>1971</v>
      </c>
      <c r="E2059" s="3"/>
    </row>
    <row r="2060" spans="1:5" ht="24.75" customHeight="1">
      <c r="A2060" s="2">
        <v>2058</v>
      </c>
      <c r="B2060" s="2" t="str">
        <f>"杨娜娜"</f>
        <v>杨娜娜</v>
      </c>
      <c r="C2060" s="2" t="s">
        <v>1893</v>
      </c>
      <c r="D2060" s="2" t="s">
        <v>1972</v>
      </c>
      <c r="E2060" s="3"/>
    </row>
    <row r="2061" spans="1:5" ht="24.75" customHeight="1">
      <c r="A2061" s="2">
        <v>2059</v>
      </c>
      <c r="B2061" s="2" t="str">
        <f>"李真争"</f>
        <v>李真争</v>
      </c>
      <c r="C2061" s="2" t="s">
        <v>1893</v>
      </c>
      <c r="D2061" s="2" t="s">
        <v>1973</v>
      </c>
      <c r="E2061" s="3"/>
    </row>
    <row r="2062" spans="1:5" ht="24.75" customHeight="1">
      <c r="A2062" s="2">
        <v>2060</v>
      </c>
      <c r="B2062" s="2" t="str">
        <f>"朱琳"</f>
        <v>朱琳</v>
      </c>
      <c r="C2062" s="2" t="s">
        <v>1893</v>
      </c>
      <c r="D2062" s="2" t="s">
        <v>1974</v>
      </c>
      <c r="E2062" s="3"/>
    </row>
    <row r="2063" spans="1:5" ht="24.75" customHeight="1">
      <c r="A2063" s="2">
        <v>2061</v>
      </c>
      <c r="B2063" s="2" t="str">
        <f>"陈姿妙"</f>
        <v>陈姿妙</v>
      </c>
      <c r="C2063" s="2" t="s">
        <v>1893</v>
      </c>
      <c r="D2063" s="2" t="s">
        <v>1975</v>
      </c>
      <c r="E2063" s="3"/>
    </row>
    <row r="2064" spans="1:5" ht="24.75" customHeight="1">
      <c r="A2064" s="2">
        <v>2062</v>
      </c>
      <c r="B2064" s="2" t="str">
        <f>"王丹丹"</f>
        <v>王丹丹</v>
      </c>
      <c r="C2064" s="2" t="s">
        <v>1893</v>
      </c>
      <c r="D2064" s="2" t="s">
        <v>1976</v>
      </c>
      <c r="E2064" s="3"/>
    </row>
    <row r="2065" spans="1:5" ht="24.75" customHeight="1">
      <c r="A2065" s="2">
        <v>2063</v>
      </c>
      <c r="B2065" s="2" t="str">
        <f>"林慧娜"</f>
        <v>林慧娜</v>
      </c>
      <c r="C2065" s="2" t="s">
        <v>1893</v>
      </c>
      <c r="D2065" s="2" t="s">
        <v>1977</v>
      </c>
      <c r="E2065" s="3"/>
    </row>
    <row r="2066" spans="1:5" ht="24.75" customHeight="1">
      <c r="A2066" s="2">
        <v>2064</v>
      </c>
      <c r="B2066" s="2" t="str">
        <f>"郑珊"</f>
        <v>郑珊</v>
      </c>
      <c r="C2066" s="2" t="s">
        <v>1893</v>
      </c>
      <c r="D2066" s="2" t="s">
        <v>1978</v>
      </c>
      <c r="E2066" s="3"/>
    </row>
    <row r="2067" spans="1:5" ht="24.75" customHeight="1">
      <c r="A2067" s="2">
        <v>2065</v>
      </c>
      <c r="B2067" s="2" t="str">
        <f>"黄兹博"</f>
        <v>黄兹博</v>
      </c>
      <c r="C2067" s="2" t="s">
        <v>1893</v>
      </c>
      <c r="D2067" s="2" t="s">
        <v>1979</v>
      </c>
      <c r="E2067" s="3"/>
    </row>
    <row r="2068" spans="1:5" ht="24.75" customHeight="1">
      <c r="A2068" s="2">
        <v>2066</v>
      </c>
      <c r="B2068" s="2" t="str">
        <f>"许思敏"</f>
        <v>许思敏</v>
      </c>
      <c r="C2068" s="2" t="s">
        <v>1893</v>
      </c>
      <c r="D2068" s="2" t="s">
        <v>1980</v>
      </c>
      <c r="E2068" s="3"/>
    </row>
    <row r="2069" spans="1:5" ht="24.75" customHeight="1">
      <c r="A2069" s="2">
        <v>2067</v>
      </c>
      <c r="B2069" s="2" t="str">
        <f>"王紫婷"</f>
        <v>王紫婷</v>
      </c>
      <c r="C2069" s="2" t="s">
        <v>1893</v>
      </c>
      <c r="D2069" s="2" t="s">
        <v>1981</v>
      </c>
      <c r="E2069" s="3"/>
    </row>
    <row r="2070" spans="1:5" ht="24.75" customHeight="1">
      <c r="A2070" s="2">
        <v>2068</v>
      </c>
      <c r="B2070" s="2" t="str">
        <f>"王敏"</f>
        <v>王敏</v>
      </c>
      <c r="C2070" s="2" t="s">
        <v>1893</v>
      </c>
      <c r="D2070" s="2" t="s">
        <v>1982</v>
      </c>
      <c r="E2070" s="3"/>
    </row>
    <row r="2071" spans="1:5" ht="24.75" customHeight="1">
      <c r="A2071" s="2">
        <v>2069</v>
      </c>
      <c r="B2071" s="2" t="str">
        <f>"林春妙"</f>
        <v>林春妙</v>
      </c>
      <c r="C2071" s="2" t="s">
        <v>1893</v>
      </c>
      <c r="D2071" s="2" t="s">
        <v>1983</v>
      </c>
      <c r="E2071" s="3"/>
    </row>
    <row r="2072" spans="1:5" ht="24.75" customHeight="1">
      <c r="A2072" s="2">
        <v>2070</v>
      </c>
      <c r="B2072" s="2" t="str">
        <f>"周文诗"</f>
        <v>周文诗</v>
      </c>
      <c r="C2072" s="2" t="s">
        <v>1893</v>
      </c>
      <c r="D2072" s="2" t="s">
        <v>1984</v>
      </c>
      <c r="E2072" s="3"/>
    </row>
    <row r="2073" spans="1:5" ht="24.75" customHeight="1">
      <c r="A2073" s="2">
        <v>2071</v>
      </c>
      <c r="B2073" s="2" t="str">
        <f>"陈静惠"</f>
        <v>陈静惠</v>
      </c>
      <c r="C2073" s="2" t="s">
        <v>1893</v>
      </c>
      <c r="D2073" s="2" t="s">
        <v>1985</v>
      </c>
      <c r="E2073" s="3"/>
    </row>
    <row r="2074" spans="1:5" ht="24.75" customHeight="1">
      <c r="A2074" s="2">
        <v>2072</v>
      </c>
      <c r="B2074" s="2" t="str">
        <f>"许文敏"</f>
        <v>许文敏</v>
      </c>
      <c r="C2074" s="2" t="s">
        <v>1893</v>
      </c>
      <c r="D2074" s="2" t="s">
        <v>1986</v>
      </c>
      <c r="E2074" s="3"/>
    </row>
    <row r="2075" spans="1:5" ht="24.75" customHeight="1">
      <c r="A2075" s="2">
        <v>2073</v>
      </c>
      <c r="B2075" s="2" t="str">
        <f>"廖莉"</f>
        <v>廖莉</v>
      </c>
      <c r="C2075" s="2" t="s">
        <v>1893</v>
      </c>
      <c r="D2075" s="2" t="s">
        <v>1987</v>
      </c>
      <c r="E2075" s="3"/>
    </row>
    <row r="2076" spans="1:5" ht="24.75" customHeight="1">
      <c r="A2076" s="2">
        <v>2074</v>
      </c>
      <c r="B2076" s="2" t="str">
        <f>"丁小慧"</f>
        <v>丁小慧</v>
      </c>
      <c r="C2076" s="2" t="s">
        <v>1893</v>
      </c>
      <c r="D2076" s="2" t="s">
        <v>1988</v>
      </c>
      <c r="E2076" s="3"/>
    </row>
    <row r="2077" spans="1:5" ht="24.75" customHeight="1">
      <c r="A2077" s="2">
        <v>2075</v>
      </c>
      <c r="B2077" s="2" t="str">
        <f>"李千慧"</f>
        <v>李千慧</v>
      </c>
      <c r="C2077" s="2" t="s">
        <v>1893</v>
      </c>
      <c r="D2077" s="2" t="s">
        <v>1989</v>
      </c>
      <c r="E2077" s="3"/>
    </row>
    <row r="2078" spans="1:5" ht="24.75" customHeight="1">
      <c r="A2078" s="2">
        <v>2076</v>
      </c>
      <c r="B2078" s="2" t="str">
        <f>"廖春妹"</f>
        <v>廖春妹</v>
      </c>
      <c r="C2078" s="2" t="s">
        <v>1893</v>
      </c>
      <c r="D2078" s="2" t="s">
        <v>1990</v>
      </c>
      <c r="E2078" s="3"/>
    </row>
    <row r="2079" spans="1:5" ht="24.75" customHeight="1">
      <c r="A2079" s="2">
        <v>2077</v>
      </c>
      <c r="B2079" s="2" t="str">
        <f>"黄良培"</f>
        <v>黄良培</v>
      </c>
      <c r="C2079" s="2" t="s">
        <v>1893</v>
      </c>
      <c r="D2079" s="2" t="s">
        <v>1991</v>
      </c>
      <c r="E2079" s="3"/>
    </row>
    <row r="2080" spans="1:5" ht="24.75" customHeight="1">
      <c r="A2080" s="2">
        <v>2078</v>
      </c>
      <c r="B2080" s="2" t="str">
        <f>"周颖"</f>
        <v>周颖</v>
      </c>
      <c r="C2080" s="2" t="s">
        <v>1893</v>
      </c>
      <c r="D2080" s="2" t="s">
        <v>1393</v>
      </c>
      <c r="E2080" s="3"/>
    </row>
    <row r="2081" spans="1:5" ht="24.75" customHeight="1">
      <c r="A2081" s="2">
        <v>2079</v>
      </c>
      <c r="B2081" s="2" t="str">
        <f>"李莎"</f>
        <v>李莎</v>
      </c>
      <c r="C2081" s="2" t="s">
        <v>1893</v>
      </c>
      <c r="D2081" s="2" t="s">
        <v>1992</v>
      </c>
      <c r="E2081" s="3"/>
    </row>
    <row r="2082" spans="1:5" ht="24.75" customHeight="1">
      <c r="A2082" s="2">
        <v>2080</v>
      </c>
      <c r="B2082" s="2" t="str">
        <f>"周欣然"</f>
        <v>周欣然</v>
      </c>
      <c r="C2082" s="2" t="s">
        <v>1893</v>
      </c>
      <c r="D2082" s="2" t="s">
        <v>1993</v>
      </c>
      <c r="E2082" s="3"/>
    </row>
    <row r="2083" spans="1:5" ht="24.75" customHeight="1">
      <c r="A2083" s="2">
        <v>2081</v>
      </c>
      <c r="B2083" s="2" t="str">
        <f>"谢妹花"</f>
        <v>谢妹花</v>
      </c>
      <c r="C2083" s="2" t="s">
        <v>1893</v>
      </c>
      <c r="D2083" s="2" t="s">
        <v>1994</v>
      </c>
      <c r="E2083" s="3"/>
    </row>
    <row r="2084" spans="1:5" ht="24.75" customHeight="1">
      <c r="A2084" s="2">
        <v>2082</v>
      </c>
      <c r="B2084" s="2" t="str">
        <f>"李路娜"</f>
        <v>李路娜</v>
      </c>
      <c r="C2084" s="2" t="s">
        <v>1893</v>
      </c>
      <c r="D2084" s="2" t="s">
        <v>1995</v>
      </c>
      <c r="E2084" s="3"/>
    </row>
    <row r="2085" spans="1:5" ht="24.75" customHeight="1">
      <c r="A2085" s="2">
        <v>2083</v>
      </c>
      <c r="B2085" s="2" t="str">
        <f>"刘鑫昱"</f>
        <v>刘鑫昱</v>
      </c>
      <c r="C2085" s="2" t="s">
        <v>1893</v>
      </c>
      <c r="D2085" s="2" t="s">
        <v>1996</v>
      </c>
      <c r="E2085" s="3"/>
    </row>
    <row r="2086" spans="1:5" ht="24.75" customHeight="1">
      <c r="A2086" s="2">
        <v>2084</v>
      </c>
      <c r="B2086" s="2" t="str">
        <f>"孙法婷"</f>
        <v>孙法婷</v>
      </c>
      <c r="C2086" s="2" t="s">
        <v>1893</v>
      </c>
      <c r="D2086" s="2" t="s">
        <v>1997</v>
      </c>
      <c r="E2086" s="3"/>
    </row>
    <row r="2087" spans="1:5" ht="24.75" customHeight="1">
      <c r="A2087" s="2">
        <v>2085</v>
      </c>
      <c r="B2087" s="2" t="str">
        <f>"王燕"</f>
        <v>王燕</v>
      </c>
      <c r="C2087" s="2" t="s">
        <v>1893</v>
      </c>
      <c r="D2087" s="2" t="s">
        <v>1998</v>
      </c>
      <c r="E2087" s="3"/>
    </row>
    <row r="2088" spans="1:5" ht="24.75" customHeight="1">
      <c r="A2088" s="2">
        <v>2086</v>
      </c>
      <c r="B2088" s="2" t="str">
        <f>"符传兵"</f>
        <v>符传兵</v>
      </c>
      <c r="C2088" s="2" t="s">
        <v>1893</v>
      </c>
      <c r="D2088" s="2" t="s">
        <v>1999</v>
      </c>
      <c r="E2088" s="3"/>
    </row>
    <row r="2089" spans="1:5" ht="24.75" customHeight="1">
      <c r="A2089" s="2">
        <v>2087</v>
      </c>
      <c r="B2089" s="2" t="str">
        <f>"陈让峥"</f>
        <v>陈让峥</v>
      </c>
      <c r="C2089" s="2" t="s">
        <v>1893</v>
      </c>
      <c r="D2089" s="2" t="s">
        <v>2000</v>
      </c>
      <c r="E2089" s="3"/>
    </row>
    <row r="2090" spans="1:5" ht="24.75" customHeight="1">
      <c r="A2090" s="2">
        <v>2088</v>
      </c>
      <c r="B2090" s="2" t="str">
        <f>"吴素漫"</f>
        <v>吴素漫</v>
      </c>
      <c r="C2090" s="2" t="s">
        <v>1893</v>
      </c>
      <c r="D2090" s="2" t="s">
        <v>2001</v>
      </c>
      <c r="E2090" s="3"/>
    </row>
    <row r="2091" spans="1:5" ht="24.75" customHeight="1">
      <c r="A2091" s="2">
        <v>2089</v>
      </c>
      <c r="B2091" s="2" t="str">
        <f>"盛皓然"</f>
        <v>盛皓然</v>
      </c>
      <c r="C2091" s="2" t="s">
        <v>1893</v>
      </c>
      <c r="D2091" s="2" t="s">
        <v>2002</v>
      </c>
      <c r="E2091" s="3"/>
    </row>
    <row r="2092" spans="1:5" ht="24.75" customHeight="1">
      <c r="A2092" s="2">
        <v>2090</v>
      </c>
      <c r="B2092" s="2" t="str">
        <f>"陈蓓淑"</f>
        <v>陈蓓淑</v>
      </c>
      <c r="C2092" s="2" t="s">
        <v>1893</v>
      </c>
      <c r="D2092" s="2" t="s">
        <v>2003</v>
      </c>
      <c r="E2092" s="3"/>
    </row>
    <row r="2093" spans="1:5" ht="24.75" customHeight="1">
      <c r="A2093" s="2">
        <v>2091</v>
      </c>
      <c r="B2093" s="2" t="str">
        <f>"陈丽婉"</f>
        <v>陈丽婉</v>
      </c>
      <c r="C2093" s="2" t="s">
        <v>1893</v>
      </c>
      <c r="D2093" s="2" t="s">
        <v>2004</v>
      </c>
      <c r="E2093" s="3"/>
    </row>
    <row r="2094" spans="1:5" ht="24.75" customHeight="1">
      <c r="A2094" s="2">
        <v>2092</v>
      </c>
      <c r="B2094" s="2" t="str">
        <f>"曾爱"</f>
        <v>曾爱</v>
      </c>
      <c r="C2094" s="2" t="s">
        <v>1893</v>
      </c>
      <c r="D2094" s="2" t="s">
        <v>1203</v>
      </c>
      <c r="E2094" s="3"/>
    </row>
    <row r="2095" spans="1:5" ht="24.75" customHeight="1">
      <c r="A2095" s="2">
        <v>2093</v>
      </c>
      <c r="B2095" s="2" t="str">
        <f>"羊秀丹"</f>
        <v>羊秀丹</v>
      </c>
      <c r="C2095" s="2" t="s">
        <v>1893</v>
      </c>
      <c r="D2095" s="2" t="s">
        <v>2005</v>
      </c>
      <c r="E2095" s="3"/>
    </row>
    <row r="2096" spans="1:5" ht="24.75" customHeight="1">
      <c r="A2096" s="2">
        <v>2094</v>
      </c>
      <c r="B2096" s="2" t="str">
        <f>"曾纪南"</f>
        <v>曾纪南</v>
      </c>
      <c r="C2096" s="2" t="s">
        <v>1893</v>
      </c>
      <c r="D2096" s="2" t="s">
        <v>2006</v>
      </c>
      <c r="E2096" s="3"/>
    </row>
    <row r="2097" spans="1:5" ht="24.75" customHeight="1">
      <c r="A2097" s="2">
        <v>2095</v>
      </c>
      <c r="B2097" s="2" t="str">
        <f>"龙莹灿"</f>
        <v>龙莹灿</v>
      </c>
      <c r="C2097" s="2" t="s">
        <v>1893</v>
      </c>
      <c r="D2097" s="2" t="s">
        <v>2007</v>
      </c>
      <c r="E2097" s="3"/>
    </row>
    <row r="2098" spans="1:5" ht="24.75" customHeight="1">
      <c r="A2098" s="2">
        <v>2096</v>
      </c>
      <c r="B2098" s="2" t="str">
        <f>"何瑞敬"</f>
        <v>何瑞敬</v>
      </c>
      <c r="C2098" s="2" t="s">
        <v>1893</v>
      </c>
      <c r="D2098" s="2" t="s">
        <v>2008</v>
      </c>
      <c r="E2098" s="3"/>
    </row>
    <row r="2099" spans="1:5" ht="24.75" customHeight="1">
      <c r="A2099" s="2">
        <v>2097</v>
      </c>
      <c r="B2099" s="2" t="str">
        <f>"许小宛"</f>
        <v>许小宛</v>
      </c>
      <c r="C2099" s="2" t="s">
        <v>1893</v>
      </c>
      <c r="D2099" s="2" t="s">
        <v>2009</v>
      </c>
      <c r="E2099" s="3"/>
    </row>
    <row r="2100" spans="1:5" ht="24.75" customHeight="1">
      <c r="A2100" s="2">
        <v>2098</v>
      </c>
      <c r="B2100" s="2" t="str">
        <f>"陈燕恒"</f>
        <v>陈燕恒</v>
      </c>
      <c r="C2100" s="2" t="s">
        <v>1893</v>
      </c>
      <c r="D2100" s="2" t="s">
        <v>2010</v>
      </c>
      <c r="E2100" s="3"/>
    </row>
    <row r="2101" spans="1:5" ht="24.75" customHeight="1">
      <c r="A2101" s="2">
        <v>2099</v>
      </c>
      <c r="B2101" s="2" t="str">
        <f>"王议瑶"</f>
        <v>王议瑶</v>
      </c>
      <c r="C2101" s="2" t="s">
        <v>1893</v>
      </c>
      <c r="D2101" s="2" t="s">
        <v>2011</v>
      </c>
      <c r="E2101" s="3"/>
    </row>
    <row r="2102" spans="1:5" ht="24.75" customHeight="1">
      <c r="A2102" s="2">
        <v>2100</v>
      </c>
      <c r="B2102" s="2" t="str">
        <f>"刘奕麟"</f>
        <v>刘奕麟</v>
      </c>
      <c r="C2102" s="2" t="s">
        <v>1893</v>
      </c>
      <c r="D2102" s="2" t="s">
        <v>2012</v>
      </c>
      <c r="E2102" s="3"/>
    </row>
    <row r="2103" spans="1:5" ht="24.75" customHeight="1">
      <c r="A2103" s="2">
        <v>2101</v>
      </c>
      <c r="B2103" s="2" t="str">
        <f>"翁娇梅"</f>
        <v>翁娇梅</v>
      </c>
      <c r="C2103" s="2" t="s">
        <v>1893</v>
      </c>
      <c r="D2103" s="2" t="s">
        <v>245</v>
      </c>
      <c r="E2103" s="3"/>
    </row>
    <row r="2104" spans="1:5" ht="24.75" customHeight="1">
      <c r="A2104" s="2">
        <v>2102</v>
      </c>
      <c r="B2104" s="2" t="str">
        <f>"邢爱翊"</f>
        <v>邢爱翊</v>
      </c>
      <c r="C2104" s="2" t="s">
        <v>1893</v>
      </c>
      <c r="D2104" s="2" t="s">
        <v>2013</v>
      </c>
      <c r="E2104" s="3"/>
    </row>
    <row r="2105" spans="1:5" ht="24.75" customHeight="1">
      <c r="A2105" s="2">
        <v>2103</v>
      </c>
      <c r="B2105" s="2" t="str">
        <f>"李彩菲"</f>
        <v>李彩菲</v>
      </c>
      <c r="C2105" s="2" t="s">
        <v>1893</v>
      </c>
      <c r="D2105" s="2" t="s">
        <v>2014</v>
      </c>
      <c r="E2105" s="3"/>
    </row>
    <row r="2106" spans="1:5" ht="24.75" customHeight="1">
      <c r="A2106" s="2">
        <v>2104</v>
      </c>
      <c r="B2106" s="2" t="str">
        <f>"陈帅"</f>
        <v>陈帅</v>
      </c>
      <c r="C2106" s="2" t="s">
        <v>1893</v>
      </c>
      <c r="D2106" s="2" t="s">
        <v>67</v>
      </c>
      <c r="E2106" s="3"/>
    </row>
    <row r="2107" spans="1:5" ht="24.75" customHeight="1">
      <c r="A2107" s="2">
        <v>2105</v>
      </c>
      <c r="B2107" s="2" t="str">
        <f>"伍春花"</f>
        <v>伍春花</v>
      </c>
      <c r="C2107" s="2" t="s">
        <v>1893</v>
      </c>
      <c r="D2107" s="2" t="s">
        <v>2015</v>
      </c>
      <c r="E2107" s="3"/>
    </row>
    <row r="2108" spans="1:5" ht="24.75" customHeight="1">
      <c r="A2108" s="2">
        <v>2106</v>
      </c>
      <c r="B2108" s="2" t="str">
        <f>"林红"</f>
        <v>林红</v>
      </c>
      <c r="C2108" s="2" t="s">
        <v>1893</v>
      </c>
      <c r="D2108" s="2" t="s">
        <v>1440</v>
      </c>
      <c r="E2108" s="3"/>
    </row>
    <row r="2109" spans="1:5" ht="24.75" customHeight="1">
      <c r="A2109" s="2">
        <v>2107</v>
      </c>
      <c r="B2109" s="2" t="str">
        <f>"郑丽雅"</f>
        <v>郑丽雅</v>
      </c>
      <c r="C2109" s="2" t="s">
        <v>1893</v>
      </c>
      <c r="D2109" s="2" t="s">
        <v>2016</v>
      </c>
      <c r="E2109" s="3"/>
    </row>
    <row r="2110" spans="1:5" ht="24.75" customHeight="1">
      <c r="A2110" s="2">
        <v>2108</v>
      </c>
      <c r="B2110" s="2" t="str">
        <f>"许靖悦"</f>
        <v>许靖悦</v>
      </c>
      <c r="C2110" s="2" t="s">
        <v>1893</v>
      </c>
      <c r="D2110" s="2" t="s">
        <v>2017</v>
      </c>
      <c r="E2110" s="3"/>
    </row>
    <row r="2111" spans="1:5" ht="24.75" customHeight="1">
      <c r="A2111" s="2">
        <v>2109</v>
      </c>
      <c r="B2111" s="2" t="str">
        <f>"陈焊"</f>
        <v>陈焊</v>
      </c>
      <c r="C2111" s="2" t="s">
        <v>1893</v>
      </c>
      <c r="D2111" s="2" t="s">
        <v>2018</v>
      </c>
      <c r="E2111" s="3"/>
    </row>
    <row r="2112" spans="1:5" ht="24.75" customHeight="1">
      <c r="A2112" s="2">
        <v>2110</v>
      </c>
      <c r="B2112" s="2" t="str">
        <f>"卢裕文"</f>
        <v>卢裕文</v>
      </c>
      <c r="C2112" s="2" t="s">
        <v>1893</v>
      </c>
      <c r="D2112" s="2" t="s">
        <v>2019</v>
      </c>
      <c r="E2112" s="3"/>
    </row>
    <row r="2113" spans="1:5" ht="24.75" customHeight="1">
      <c r="A2113" s="2">
        <v>2111</v>
      </c>
      <c r="B2113" s="2" t="str">
        <f>"王晓慧"</f>
        <v>王晓慧</v>
      </c>
      <c r="C2113" s="2" t="s">
        <v>1893</v>
      </c>
      <c r="D2113" s="2" t="s">
        <v>1906</v>
      </c>
      <c r="E2113" s="3"/>
    </row>
    <row r="2114" spans="1:5" ht="24.75" customHeight="1">
      <c r="A2114" s="2">
        <v>2112</v>
      </c>
      <c r="B2114" s="2" t="str">
        <f>"杨来滨"</f>
        <v>杨来滨</v>
      </c>
      <c r="C2114" s="2" t="s">
        <v>1893</v>
      </c>
      <c r="D2114" s="2" t="s">
        <v>2020</v>
      </c>
      <c r="E2114" s="3"/>
    </row>
    <row r="2115" spans="1:5" ht="24.75" customHeight="1">
      <c r="A2115" s="2">
        <v>2113</v>
      </c>
      <c r="B2115" s="2" t="str">
        <f>"钟婷"</f>
        <v>钟婷</v>
      </c>
      <c r="C2115" s="2" t="s">
        <v>1893</v>
      </c>
      <c r="D2115" s="2" t="s">
        <v>232</v>
      </c>
      <c r="E2115" s="3"/>
    </row>
    <row r="2116" spans="1:5" ht="24.75" customHeight="1">
      <c r="A2116" s="2">
        <v>2114</v>
      </c>
      <c r="B2116" s="2" t="str">
        <f>"蔡璐璐"</f>
        <v>蔡璐璐</v>
      </c>
      <c r="C2116" s="2" t="s">
        <v>1893</v>
      </c>
      <c r="D2116" s="2" t="s">
        <v>1717</v>
      </c>
      <c r="E2116" s="3"/>
    </row>
    <row r="2117" spans="1:5" ht="24.75" customHeight="1">
      <c r="A2117" s="2">
        <v>2115</v>
      </c>
      <c r="B2117" s="2" t="str">
        <f>"刘镇宇"</f>
        <v>刘镇宇</v>
      </c>
      <c r="C2117" s="2" t="s">
        <v>1893</v>
      </c>
      <c r="D2117" s="2" t="s">
        <v>2021</v>
      </c>
      <c r="E2117" s="3"/>
    </row>
    <row r="2118" spans="1:5" ht="24.75" customHeight="1">
      <c r="A2118" s="2">
        <v>2116</v>
      </c>
      <c r="B2118" s="2" t="str">
        <f>"许愿"</f>
        <v>许愿</v>
      </c>
      <c r="C2118" s="2" t="s">
        <v>1893</v>
      </c>
      <c r="D2118" s="2" t="s">
        <v>972</v>
      </c>
      <c r="E2118" s="3"/>
    </row>
    <row r="2119" spans="1:5" ht="24.75" customHeight="1">
      <c r="A2119" s="2">
        <v>2117</v>
      </c>
      <c r="B2119" s="2" t="str">
        <f>"范玉影"</f>
        <v>范玉影</v>
      </c>
      <c r="C2119" s="2" t="s">
        <v>1893</v>
      </c>
      <c r="D2119" s="2" t="s">
        <v>2022</v>
      </c>
      <c r="E2119" s="3"/>
    </row>
    <row r="2120" spans="1:5" ht="24.75" customHeight="1">
      <c r="A2120" s="2">
        <v>2118</v>
      </c>
      <c r="B2120" s="2" t="str">
        <f>"张昊儒"</f>
        <v>张昊儒</v>
      </c>
      <c r="C2120" s="2" t="s">
        <v>1893</v>
      </c>
      <c r="D2120" s="2" t="s">
        <v>2023</v>
      </c>
      <c r="E2120" s="3"/>
    </row>
    <row r="2121" spans="1:5" ht="24.75" customHeight="1">
      <c r="A2121" s="2">
        <v>2119</v>
      </c>
      <c r="B2121" s="2" t="str">
        <f>"吴倩"</f>
        <v>吴倩</v>
      </c>
      <c r="C2121" s="2" t="s">
        <v>1893</v>
      </c>
      <c r="D2121" s="2" t="s">
        <v>37</v>
      </c>
      <c r="E2121" s="3"/>
    </row>
    <row r="2122" spans="1:5" ht="24.75" customHeight="1">
      <c r="A2122" s="2">
        <v>2120</v>
      </c>
      <c r="B2122" s="2" t="str">
        <f>"陈子妞"</f>
        <v>陈子妞</v>
      </c>
      <c r="C2122" s="2" t="s">
        <v>1893</v>
      </c>
      <c r="D2122" s="2" t="s">
        <v>209</v>
      </c>
      <c r="E2122" s="3"/>
    </row>
    <row r="2123" spans="1:5" ht="24.75" customHeight="1">
      <c r="A2123" s="2">
        <v>2121</v>
      </c>
      <c r="B2123" s="2" t="str">
        <f>"陈莹"</f>
        <v>陈莹</v>
      </c>
      <c r="C2123" s="2" t="s">
        <v>1893</v>
      </c>
      <c r="D2123" s="2" t="s">
        <v>2024</v>
      </c>
      <c r="E2123" s="3"/>
    </row>
    <row r="2124" spans="1:5" ht="24.75" customHeight="1">
      <c r="A2124" s="2">
        <v>2122</v>
      </c>
      <c r="B2124" s="2" t="str">
        <f>"苏晓珍"</f>
        <v>苏晓珍</v>
      </c>
      <c r="C2124" s="2" t="s">
        <v>1893</v>
      </c>
      <c r="D2124" s="2" t="s">
        <v>2025</v>
      </c>
      <c r="E2124" s="3"/>
    </row>
    <row r="2125" spans="1:5" ht="24.75" customHeight="1">
      <c r="A2125" s="2">
        <v>2123</v>
      </c>
      <c r="B2125" s="2" t="str">
        <f>"张虹"</f>
        <v>张虹</v>
      </c>
      <c r="C2125" s="2" t="s">
        <v>1893</v>
      </c>
      <c r="D2125" s="2" t="s">
        <v>2026</v>
      </c>
      <c r="E2125" s="3"/>
    </row>
    <row r="2126" spans="1:5" ht="24.75" customHeight="1">
      <c r="A2126" s="2">
        <v>2124</v>
      </c>
      <c r="B2126" s="2" t="str">
        <f>"黄贤艳"</f>
        <v>黄贤艳</v>
      </c>
      <c r="C2126" s="2" t="s">
        <v>1893</v>
      </c>
      <c r="D2126" s="2" t="s">
        <v>2027</v>
      </c>
      <c r="E2126" s="3"/>
    </row>
    <row r="2127" spans="1:5" ht="24.75" customHeight="1">
      <c r="A2127" s="2">
        <v>2125</v>
      </c>
      <c r="B2127" s="2" t="str">
        <f>"林强"</f>
        <v>林强</v>
      </c>
      <c r="C2127" s="2" t="s">
        <v>1893</v>
      </c>
      <c r="D2127" s="2" t="s">
        <v>2028</v>
      </c>
      <c r="E2127" s="3"/>
    </row>
    <row r="2128" spans="1:5" ht="24.75" customHeight="1">
      <c r="A2128" s="2">
        <v>2126</v>
      </c>
      <c r="B2128" s="2" t="str">
        <f>"邢胜彬"</f>
        <v>邢胜彬</v>
      </c>
      <c r="C2128" s="2" t="s">
        <v>1893</v>
      </c>
      <c r="D2128" s="2" t="s">
        <v>304</v>
      </c>
      <c r="E2128" s="3"/>
    </row>
    <row r="2129" spans="1:5" ht="24.75" customHeight="1">
      <c r="A2129" s="2">
        <v>2127</v>
      </c>
      <c r="B2129" s="2" t="str">
        <f>"云雨"</f>
        <v>云雨</v>
      </c>
      <c r="C2129" s="2" t="s">
        <v>1893</v>
      </c>
      <c r="D2129" s="2" t="s">
        <v>1774</v>
      </c>
      <c r="E2129" s="3"/>
    </row>
    <row r="2130" spans="1:5" ht="24.75" customHeight="1">
      <c r="A2130" s="2">
        <v>2128</v>
      </c>
      <c r="B2130" s="2" t="str">
        <f>"许帮煜"</f>
        <v>许帮煜</v>
      </c>
      <c r="C2130" s="2" t="s">
        <v>1893</v>
      </c>
      <c r="D2130" s="2" t="s">
        <v>2029</v>
      </c>
      <c r="E2130" s="3"/>
    </row>
    <row r="2131" spans="1:5" ht="24.75" customHeight="1">
      <c r="A2131" s="2">
        <v>2129</v>
      </c>
      <c r="B2131" s="2" t="str">
        <f>"张煜"</f>
        <v>张煜</v>
      </c>
      <c r="C2131" s="2" t="s">
        <v>1893</v>
      </c>
      <c r="D2131" s="2" t="s">
        <v>2030</v>
      </c>
      <c r="E2131" s="3"/>
    </row>
    <row r="2132" spans="1:5" ht="24.75" customHeight="1">
      <c r="A2132" s="2">
        <v>2130</v>
      </c>
      <c r="B2132" s="2" t="str">
        <f>"谭韵昭"</f>
        <v>谭韵昭</v>
      </c>
      <c r="C2132" s="2" t="s">
        <v>2031</v>
      </c>
      <c r="D2132" s="2" t="s">
        <v>2032</v>
      </c>
      <c r="E2132" s="3"/>
    </row>
    <row r="2133" spans="1:5" ht="24.75" customHeight="1">
      <c r="A2133" s="2">
        <v>2131</v>
      </c>
      <c r="B2133" s="2" t="str">
        <f>"王小雅"</f>
        <v>王小雅</v>
      </c>
      <c r="C2133" s="2" t="s">
        <v>2031</v>
      </c>
      <c r="D2133" s="2" t="s">
        <v>2033</v>
      </c>
      <c r="E2133" s="3"/>
    </row>
    <row r="2134" spans="1:5" ht="24.75" customHeight="1">
      <c r="A2134" s="2">
        <v>2132</v>
      </c>
      <c r="B2134" s="2" t="str">
        <f>"杨广智"</f>
        <v>杨广智</v>
      </c>
      <c r="C2134" s="2" t="s">
        <v>2031</v>
      </c>
      <c r="D2134" s="2" t="s">
        <v>2034</v>
      </c>
      <c r="E2134" s="3"/>
    </row>
    <row r="2135" spans="1:5" ht="24.75" customHeight="1">
      <c r="A2135" s="2">
        <v>2133</v>
      </c>
      <c r="B2135" s="2" t="str">
        <f>"李业凯"</f>
        <v>李业凯</v>
      </c>
      <c r="C2135" s="2" t="s">
        <v>2031</v>
      </c>
      <c r="D2135" s="2" t="s">
        <v>1442</v>
      </c>
      <c r="E2135" s="3"/>
    </row>
    <row r="2136" spans="1:5" ht="24.75" customHeight="1">
      <c r="A2136" s="2">
        <v>2134</v>
      </c>
      <c r="B2136" s="2" t="str">
        <f>"唐心怡"</f>
        <v>唐心怡</v>
      </c>
      <c r="C2136" s="2" t="s">
        <v>2031</v>
      </c>
      <c r="D2136" s="2" t="s">
        <v>2035</v>
      </c>
      <c r="E2136" s="3"/>
    </row>
    <row r="2137" spans="1:5" ht="24.75" customHeight="1">
      <c r="A2137" s="2">
        <v>2135</v>
      </c>
      <c r="B2137" s="2" t="str">
        <f>"毕婕"</f>
        <v>毕婕</v>
      </c>
      <c r="C2137" s="2" t="s">
        <v>2031</v>
      </c>
      <c r="D2137" s="2" t="s">
        <v>2036</v>
      </c>
      <c r="E2137" s="3"/>
    </row>
    <row r="2138" spans="1:5" ht="24.75" customHeight="1">
      <c r="A2138" s="2">
        <v>2136</v>
      </c>
      <c r="B2138" s="2" t="str">
        <f>"黎振伊"</f>
        <v>黎振伊</v>
      </c>
      <c r="C2138" s="2" t="s">
        <v>2031</v>
      </c>
      <c r="D2138" s="2" t="s">
        <v>2037</v>
      </c>
      <c r="E2138" s="3"/>
    </row>
    <row r="2139" spans="1:5" ht="24.75" customHeight="1">
      <c r="A2139" s="2">
        <v>2137</v>
      </c>
      <c r="B2139" s="2" t="str">
        <f>"曾令怡"</f>
        <v>曾令怡</v>
      </c>
      <c r="C2139" s="2" t="s">
        <v>2031</v>
      </c>
      <c r="D2139" s="2" t="s">
        <v>2038</v>
      </c>
      <c r="E2139" s="3"/>
    </row>
    <row r="2140" spans="1:5" ht="24.75" customHeight="1">
      <c r="A2140" s="2">
        <v>2138</v>
      </c>
      <c r="B2140" s="2" t="str">
        <f>"周可迎"</f>
        <v>周可迎</v>
      </c>
      <c r="C2140" s="2" t="s">
        <v>2031</v>
      </c>
      <c r="D2140" s="2" t="s">
        <v>2039</v>
      </c>
      <c r="E2140" s="3"/>
    </row>
    <row r="2141" spans="1:5" ht="24.75" customHeight="1">
      <c r="A2141" s="2">
        <v>2139</v>
      </c>
      <c r="B2141" s="2" t="str">
        <f>"刘帆"</f>
        <v>刘帆</v>
      </c>
      <c r="C2141" s="2" t="s">
        <v>2031</v>
      </c>
      <c r="D2141" s="2" t="s">
        <v>2040</v>
      </c>
      <c r="E2141" s="3"/>
    </row>
    <row r="2142" spans="1:5" ht="24.75" customHeight="1">
      <c r="A2142" s="2">
        <v>2140</v>
      </c>
      <c r="B2142" s="2" t="str">
        <f>"饶瑶"</f>
        <v>饶瑶</v>
      </c>
      <c r="C2142" s="2" t="s">
        <v>2031</v>
      </c>
      <c r="D2142" s="2" t="s">
        <v>2041</v>
      </c>
      <c r="E2142" s="3"/>
    </row>
    <row r="2143" spans="1:5" ht="24.75" customHeight="1">
      <c r="A2143" s="2">
        <v>2141</v>
      </c>
      <c r="B2143" s="2" t="str">
        <f>"丁亮"</f>
        <v>丁亮</v>
      </c>
      <c r="C2143" s="2" t="s">
        <v>2031</v>
      </c>
      <c r="D2143" s="2" t="s">
        <v>2042</v>
      </c>
      <c r="E2143" s="3"/>
    </row>
    <row r="2144" spans="1:5" ht="24.75" customHeight="1">
      <c r="A2144" s="2">
        <v>2142</v>
      </c>
      <c r="B2144" s="2" t="str">
        <f>"朱琪"</f>
        <v>朱琪</v>
      </c>
      <c r="C2144" s="2" t="s">
        <v>2031</v>
      </c>
      <c r="D2144" s="2" t="s">
        <v>237</v>
      </c>
      <c r="E2144" s="3"/>
    </row>
    <row r="2145" spans="1:5" ht="24.75" customHeight="1">
      <c r="A2145" s="2">
        <v>2143</v>
      </c>
      <c r="B2145" s="2" t="str">
        <f>"刘玉潇"</f>
        <v>刘玉潇</v>
      </c>
      <c r="C2145" s="2" t="s">
        <v>2031</v>
      </c>
      <c r="D2145" s="2" t="s">
        <v>2043</v>
      </c>
      <c r="E2145" s="3"/>
    </row>
    <row r="2146" spans="1:5" ht="24.75" customHeight="1">
      <c r="A2146" s="2">
        <v>2144</v>
      </c>
      <c r="B2146" s="2" t="str">
        <f>"李钰"</f>
        <v>李钰</v>
      </c>
      <c r="C2146" s="2" t="s">
        <v>2044</v>
      </c>
      <c r="D2146" s="2" t="s">
        <v>2045</v>
      </c>
      <c r="E2146" s="3"/>
    </row>
    <row r="2147" spans="1:5" ht="24.75" customHeight="1">
      <c r="A2147" s="2">
        <v>2145</v>
      </c>
      <c r="B2147" s="2" t="str">
        <f>"洪亚娇"</f>
        <v>洪亚娇</v>
      </c>
      <c r="C2147" s="2" t="s">
        <v>2044</v>
      </c>
      <c r="D2147" s="2" t="s">
        <v>2046</v>
      </c>
      <c r="E2147" s="3"/>
    </row>
    <row r="2148" spans="1:5" ht="24.75" customHeight="1">
      <c r="A2148" s="2">
        <v>2146</v>
      </c>
      <c r="B2148" s="2" t="str">
        <f>"陈一菁"</f>
        <v>陈一菁</v>
      </c>
      <c r="C2148" s="2" t="s">
        <v>2044</v>
      </c>
      <c r="D2148" s="2" t="s">
        <v>2047</v>
      </c>
      <c r="E2148" s="3"/>
    </row>
    <row r="2149" spans="1:5" ht="24.75" customHeight="1">
      <c r="A2149" s="2">
        <v>2147</v>
      </c>
      <c r="B2149" s="2" t="str">
        <f>"曾琦智"</f>
        <v>曾琦智</v>
      </c>
      <c r="C2149" s="2" t="s">
        <v>2044</v>
      </c>
      <c r="D2149" s="2" t="s">
        <v>2048</v>
      </c>
      <c r="E2149" s="3"/>
    </row>
    <row r="2150" spans="1:5" ht="24.75" customHeight="1">
      <c r="A2150" s="2">
        <v>2148</v>
      </c>
      <c r="B2150" s="2" t="str">
        <f>"张晓妍"</f>
        <v>张晓妍</v>
      </c>
      <c r="C2150" s="2" t="s">
        <v>2044</v>
      </c>
      <c r="D2150" s="2" t="s">
        <v>2049</v>
      </c>
      <c r="E2150" s="3"/>
    </row>
    <row r="2151" spans="1:5" ht="24.75" customHeight="1">
      <c r="A2151" s="2">
        <v>2149</v>
      </c>
      <c r="B2151" s="2" t="str">
        <f>"蔡晓春"</f>
        <v>蔡晓春</v>
      </c>
      <c r="C2151" s="2" t="s">
        <v>2050</v>
      </c>
      <c r="D2151" s="2" t="s">
        <v>2051</v>
      </c>
      <c r="E2151" s="3"/>
    </row>
    <row r="2152" spans="1:5" ht="24.75" customHeight="1">
      <c r="A2152" s="2">
        <v>2150</v>
      </c>
      <c r="B2152" s="2" t="str">
        <f>"陈伊静"</f>
        <v>陈伊静</v>
      </c>
      <c r="C2152" s="2" t="s">
        <v>2050</v>
      </c>
      <c r="D2152" s="2" t="s">
        <v>2052</v>
      </c>
      <c r="E2152" s="3"/>
    </row>
    <row r="2153" spans="1:5" ht="24.75" customHeight="1">
      <c r="A2153" s="2">
        <v>2151</v>
      </c>
      <c r="B2153" s="2" t="str">
        <f>"尹湘"</f>
        <v>尹湘</v>
      </c>
      <c r="C2153" s="2" t="s">
        <v>2050</v>
      </c>
      <c r="D2153" s="2" t="s">
        <v>2053</v>
      </c>
      <c r="E2153" s="3"/>
    </row>
    <row r="2154" spans="1:5" ht="24.75" customHeight="1">
      <c r="A2154" s="2">
        <v>2152</v>
      </c>
      <c r="B2154" s="2" t="str">
        <f>"吴坤省"</f>
        <v>吴坤省</v>
      </c>
      <c r="C2154" s="2" t="s">
        <v>2054</v>
      </c>
      <c r="D2154" s="2" t="s">
        <v>2055</v>
      </c>
      <c r="E2154" s="3"/>
    </row>
    <row r="2155" spans="1:5" ht="24.75" customHeight="1">
      <c r="A2155" s="2">
        <v>2153</v>
      </c>
      <c r="B2155" s="2" t="str">
        <f>"杜青雨"</f>
        <v>杜青雨</v>
      </c>
      <c r="C2155" s="2" t="s">
        <v>2054</v>
      </c>
      <c r="D2155" s="2" t="s">
        <v>2056</v>
      </c>
      <c r="E2155" s="3"/>
    </row>
    <row r="2156" spans="1:5" ht="24.75" customHeight="1">
      <c r="A2156" s="2">
        <v>2154</v>
      </c>
      <c r="B2156" s="2" t="str">
        <f>"韩俊光"</f>
        <v>韩俊光</v>
      </c>
      <c r="C2156" s="2" t="s">
        <v>2054</v>
      </c>
      <c r="D2156" s="2" t="s">
        <v>1429</v>
      </c>
      <c r="E2156" s="3"/>
    </row>
    <row r="2157" spans="1:5" ht="24.75" customHeight="1">
      <c r="A2157" s="2">
        <v>2155</v>
      </c>
      <c r="B2157" s="2" t="str">
        <f>"吴立"</f>
        <v>吴立</v>
      </c>
      <c r="C2157" s="2" t="s">
        <v>2054</v>
      </c>
      <c r="D2157" s="2" t="s">
        <v>2057</v>
      </c>
      <c r="E2157" s="3"/>
    </row>
    <row r="2158" spans="1:5" ht="24.75" customHeight="1">
      <c r="A2158" s="2">
        <v>2156</v>
      </c>
      <c r="B2158" s="2" t="str">
        <f>"吴荣翔"</f>
        <v>吴荣翔</v>
      </c>
      <c r="C2158" s="2" t="s">
        <v>2054</v>
      </c>
      <c r="D2158" s="2" t="s">
        <v>2058</v>
      </c>
      <c r="E2158" s="3"/>
    </row>
    <row r="2159" spans="1:5" ht="24.75" customHeight="1">
      <c r="A2159" s="2">
        <v>2157</v>
      </c>
      <c r="B2159" s="2" t="str">
        <f>"叶世豪"</f>
        <v>叶世豪</v>
      </c>
      <c r="C2159" s="2" t="s">
        <v>2054</v>
      </c>
      <c r="D2159" s="2" t="s">
        <v>2059</v>
      </c>
      <c r="E2159" s="3"/>
    </row>
    <row r="2160" spans="1:5" ht="24.75" customHeight="1">
      <c r="A2160" s="2">
        <v>2158</v>
      </c>
      <c r="B2160" s="2" t="str">
        <f>"黄金华"</f>
        <v>黄金华</v>
      </c>
      <c r="C2160" s="2" t="s">
        <v>2054</v>
      </c>
      <c r="D2160" s="2" t="s">
        <v>1619</v>
      </c>
      <c r="E2160" s="3"/>
    </row>
    <row r="2161" spans="1:5" ht="24.75" customHeight="1">
      <c r="A2161" s="2">
        <v>2159</v>
      </c>
      <c r="B2161" s="2" t="str">
        <f>"欧大帅"</f>
        <v>欧大帅</v>
      </c>
      <c r="C2161" s="2" t="s">
        <v>2054</v>
      </c>
      <c r="D2161" s="2" t="s">
        <v>2060</v>
      </c>
      <c r="E2161" s="3"/>
    </row>
    <row r="2162" spans="1:5" ht="24.75" customHeight="1">
      <c r="A2162" s="2">
        <v>2160</v>
      </c>
      <c r="B2162" s="2" t="str">
        <f>"符传涛"</f>
        <v>符传涛</v>
      </c>
      <c r="C2162" s="2" t="s">
        <v>2054</v>
      </c>
      <c r="D2162" s="2" t="s">
        <v>2061</v>
      </c>
      <c r="E2162" s="3"/>
    </row>
    <row r="2163" spans="1:5" ht="24.75" customHeight="1">
      <c r="A2163" s="2">
        <v>2161</v>
      </c>
      <c r="B2163" s="2" t="str">
        <f>"王建良"</f>
        <v>王建良</v>
      </c>
      <c r="C2163" s="2" t="s">
        <v>2054</v>
      </c>
      <c r="D2163" s="2" t="s">
        <v>2062</v>
      </c>
      <c r="E2163" s="3"/>
    </row>
    <row r="2164" spans="1:5" ht="24.75" customHeight="1">
      <c r="A2164" s="2">
        <v>2162</v>
      </c>
      <c r="B2164" s="2" t="str">
        <f>"符方方"</f>
        <v>符方方</v>
      </c>
      <c r="C2164" s="2" t="s">
        <v>2054</v>
      </c>
      <c r="D2164" s="2" t="s">
        <v>2063</v>
      </c>
      <c r="E2164" s="3"/>
    </row>
    <row r="2165" spans="1:5" ht="24.75" customHeight="1">
      <c r="A2165" s="2">
        <v>2163</v>
      </c>
      <c r="B2165" s="2" t="str">
        <f>"郭义宽"</f>
        <v>郭义宽</v>
      </c>
      <c r="C2165" s="2" t="s">
        <v>2054</v>
      </c>
      <c r="D2165" s="2" t="s">
        <v>2064</v>
      </c>
      <c r="E2165" s="3"/>
    </row>
    <row r="2166" spans="1:5" ht="24.75" customHeight="1">
      <c r="A2166" s="2">
        <v>2164</v>
      </c>
      <c r="B2166" s="2" t="str">
        <f>"杨茂盛"</f>
        <v>杨茂盛</v>
      </c>
      <c r="C2166" s="2" t="s">
        <v>2054</v>
      </c>
      <c r="D2166" s="2" t="s">
        <v>2065</v>
      </c>
      <c r="E2166" s="3"/>
    </row>
    <row r="2167" spans="1:5" ht="24.75" customHeight="1">
      <c r="A2167" s="2">
        <v>2165</v>
      </c>
      <c r="B2167" s="2" t="str">
        <f>"陈文广"</f>
        <v>陈文广</v>
      </c>
      <c r="C2167" s="2" t="s">
        <v>2054</v>
      </c>
      <c r="D2167" s="2" t="s">
        <v>2066</v>
      </c>
      <c r="E2167" s="3"/>
    </row>
    <row r="2168" spans="1:5" ht="24.75" customHeight="1">
      <c r="A2168" s="2">
        <v>2166</v>
      </c>
      <c r="B2168" s="2" t="str">
        <f>"符飞"</f>
        <v>符飞</v>
      </c>
      <c r="C2168" s="2" t="s">
        <v>2054</v>
      </c>
      <c r="D2168" s="2" t="s">
        <v>2067</v>
      </c>
      <c r="E2168" s="3"/>
    </row>
    <row r="2169" spans="1:5" ht="24.75" customHeight="1">
      <c r="A2169" s="2">
        <v>2167</v>
      </c>
      <c r="B2169" s="2" t="str">
        <f>"符朝莎"</f>
        <v>符朝莎</v>
      </c>
      <c r="C2169" s="2" t="s">
        <v>2054</v>
      </c>
      <c r="D2169" s="2" t="s">
        <v>2068</v>
      </c>
      <c r="E2169" s="3"/>
    </row>
    <row r="2170" spans="1:5" ht="24.75" customHeight="1">
      <c r="A2170" s="2">
        <v>2168</v>
      </c>
      <c r="B2170" s="2" t="str">
        <f>"任阳锋"</f>
        <v>任阳锋</v>
      </c>
      <c r="C2170" s="2" t="s">
        <v>2054</v>
      </c>
      <c r="D2170" s="2" t="s">
        <v>2069</v>
      </c>
      <c r="E2170" s="3"/>
    </row>
    <row r="2171" spans="1:5" ht="24.75" customHeight="1">
      <c r="A2171" s="2">
        <v>2169</v>
      </c>
      <c r="B2171" s="2" t="str">
        <f>"蒙钟冠"</f>
        <v>蒙钟冠</v>
      </c>
      <c r="C2171" s="2" t="s">
        <v>2054</v>
      </c>
      <c r="D2171" s="2" t="s">
        <v>2070</v>
      </c>
      <c r="E2171" s="3"/>
    </row>
    <row r="2172" spans="1:5" ht="24.75" customHeight="1">
      <c r="A2172" s="2">
        <v>2170</v>
      </c>
      <c r="B2172" s="2" t="str">
        <f>"符大立"</f>
        <v>符大立</v>
      </c>
      <c r="C2172" s="2" t="s">
        <v>2054</v>
      </c>
      <c r="D2172" s="2" t="s">
        <v>2071</v>
      </c>
      <c r="E2172" s="3"/>
    </row>
    <row r="2173" spans="1:5" ht="24.75" customHeight="1">
      <c r="A2173" s="2">
        <v>2171</v>
      </c>
      <c r="B2173" s="2" t="str">
        <f>"黄文睿"</f>
        <v>黄文睿</v>
      </c>
      <c r="C2173" s="2" t="s">
        <v>2054</v>
      </c>
      <c r="D2173" s="2" t="s">
        <v>2072</v>
      </c>
      <c r="E2173" s="3"/>
    </row>
    <row r="2174" spans="1:5" ht="24.75" customHeight="1">
      <c r="A2174" s="2">
        <v>2172</v>
      </c>
      <c r="B2174" s="2" t="str">
        <f>"王经政"</f>
        <v>王经政</v>
      </c>
      <c r="C2174" s="2" t="s">
        <v>2054</v>
      </c>
      <c r="D2174" s="2" t="s">
        <v>2073</v>
      </c>
      <c r="E2174" s="3"/>
    </row>
    <row r="2175" spans="1:5" ht="24.75" customHeight="1">
      <c r="A2175" s="2">
        <v>2173</v>
      </c>
      <c r="B2175" s="2" t="str">
        <f>"薛富广"</f>
        <v>薛富广</v>
      </c>
      <c r="C2175" s="2" t="s">
        <v>2054</v>
      </c>
      <c r="D2175" s="2" t="s">
        <v>2074</v>
      </c>
      <c r="E2175" s="3"/>
    </row>
    <row r="2176" spans="1:5" ht="24.75" customHeight="1">
      <c r="A2176" s="2">
        <v>2174</v>
      </c>
      <c r="B2176" s="2" t="str">
        <f>"符辉"</f>
        <v>符辉</v>
      </c>
      <c r="C2176" s="2" t="s">
        <v>2054</v>
      </c>
      <c r="D2176" s="2" t="s">
        <v>2075</v>
      </c>
      <c r="E2176" s="3"/>
    </row>
    <row r="2177" spans="1:5" ht="24.75" customHeight="1">
      <c r="A2177" s="2">
        <v>2175</v>
      </c>
      <c r="B2177" s="2" t="str">
        <f>"陈海山"</f>
        <v>陈海山</v>
      </c>
      <c r="C2177" s="2" t="s">
        <v>2054</v>
      </c>
      <c r="D2177" s="2" t="s">
        <v>2076</v>
      </c>
      <c r="E2177" s="3"/>
    </row>
    <row r="2178" spans="1:5" ht="24.75" customHeight="1">
      <c r="A2178" s="2">
        <v>2176</v>
      </c>
      <c r="B2178" s="2" t="str">
        <f>"陈大荣"</f>
        <v>陈大荣</v>
      </c>
      <c r="C2178" s="2" t="s">
        <v>2054</v>
      </c>
      <c r="D2178" s="2" t="s">
        <v>2077</v>
      </c>
      <c r="E2178" s="3"/>
    </row>
    <row r="2179" spans="1:5" ht="24.75" customHeight="1">
      <c r="A2179" s="2">
        <v>2177</v>
      </c>
      <c r="B2179" s="2" t="str">
        <f>"李冬红"</f>
        <v>李冬红</v>
      </c>
      <c r="C2179" s="2" t="s">
        <v>2054</v>
      </c>
      <c r="D2179" s="2" t="s">
        <v>2078</v>
      </c>
      <c r="E2179" s="3"/>
    </row>
    <row r="2180" spans="1:5" ht="24.75" customHeight="1">
      <c r="A2180" s="2">
        <v>2178</v>
      </c>
      <c r="B2180" s="2" t="str">
        <f>"张其发"</f>
        <v>张其发</v>
      </c>
      <c r="C2180" s="2" t="s">
        <v>2054</v>
      </c>
      <c r="D2180" s="2" t="s">
        <v>1932</v>
      </c>
      <c r="E2180" s="3"/>
    </row>
    <row r="2181" spans="1:5" ht="24.75" customHeight="1">
      <c r="A2181" s="2">
        <v>2179</v>
      </c>
      <c r="B2181" s="2" t="str">
        <f>"王一舒"</f>
        <v>王一舒</v>
      </c>
      <c r="C2181" s="2" t="s">
        <v>2054</v>
      </c>
      <c r="D2181" s="2" t="s">
        <v>2079</v>
      </c>
      <c r="E2181" s="3"/>
    </row>
    <row r="2182" spans="1:5" ht="24.75" customHeight="1">
      <c r="A2182" s="2">
        <v>2180</v>
      </c>
      <c r="B2182" s="2" t="str">
        <f>"符昀"</f>
        <v>符昀</v>
      </c>
      <c r="C2182" s="2" t="s">
        <v>2054</v>
      </c>
      <c r="D2182" s="2" t="s">
        <v>2080</v>
      </c>
      <c r="E2182" s="3"/>
    </row>
    <row r="2183" spans="1:5" ht="24.75" customHeight="1">
      <c r="A2183" s="2">
        <v>2181</v>
      </c>
      <c r="B2183" s="2" t="str">
        <f>"张耀泽"</f>
        <v>张耀泽</v>
      </c>
      <c r="C2183" s="2" t="s">
        <v>2054</v>
      </c>
      <c r="D2183" s="2" t="s">
        <v>2081</v>
      </c>
      <c r="E2183" s="3"/>
    </row>
    <row r="2184" spans="1:5" ht="24.75" customHeight="1">
      <c r="A2184" s="2">
        <v>2182</v>
      </c>
      <c r="B2184" s="2" t="str">
        <f>"陈道康"</f>
        <v>陈道康</v>
      </c>
      <c r="C2184" s="2" t="s">
        <v>2054</v>
      </c>
      <c r="D2184" s="2" t="s">
        <v>2082</v>
      </c>
      <c r="E2184" s="3"/>
    </row>
    <row r="2185" spans="1:5" ht="24.75" customHeight="1">
      <c r="A2185" s="2">
        <v>2183</v>
      </c>
      <c r="B2185" s="2" t="str">
        <f>"韩庆衍"</f>
        <v>韩庆衍</v>
      </c>
      <c r="C2185" s="2" t="s">
        <v>2054</v>
      </c>
      <c r="D2185" s="2" t="s">
        <v>2083</v>
      </c>
      <c r="E2185" s="3"/>
    </row>
    <row r="2186" spans="1:5" ht="24.75" customHeight="1">
      <c r="A2186" s="2">
        <v>2184</v>
      </c>
      <c r="B2186" s="2" t="str">
        <f>"符方贵"</f>
        <v>符方贵</v>
      </c>
      <c r="C2186" s="2" t="s">
        <v>2054</v>
      </c>
      <c r="D2186" s="2" t="s">
        <v>2084</v>
      </c>
      <c r="E2186" s="3"/>
    </row>
    <row r="2187" spans="1:5" ht="24.75" customHeight="1">
      <c r="A2187" s="2">
        <v>2185</v>
      </c>
      <c r="B2187" s="2" t="str">
        <f>"林翠"</f>
        <v>林翠</v>
      </c>
      <c r="C2187" s="2" t="s">
        <v>2054</v>
      </c>
      <c r="D2187" s="2" t="s">
        <v>2085</v>
      </c>
      <c r="E2187" s="3"/>
    </row>
    <row r="2188" spans="1:5" ht="24.75" customHeight="1">
      <c r="A2188" s="2">
        <v>2186</v>
      </c>
      <c r="B2188" s="2" t="str">
        <f>"陈科行"</f>
        <v>陈科行</v>
      </c>
      <c r="C2188" s="2" t="s">
        <v>2054</v>
      </c>
      <c r="D2188" s="2" t="s">
        <v>2086</v>
      </c>
      <c r="E2188" s="3"/>
    </row>
    <row r="2189" spans="1:5" ht="24.75" customHeight="1">
      <c r="A2189" s="2">
        <v>2187</v>
      </c>
      <c r="B2189" s="2" t="str">
        <f>"葛葳"</f>
        <v>葛葳</v>
      </c>
      <c r="C2189" s="2" t="s">
        <v>2054</v>
      </c>
      <c r="D2189" s="2" t="s">
        <v>2087</v>
      </c>
      <c r="E2189" s="3"/>
    </row>
    <row r="2190" spans="1:5" ht="24.75" customHeight="1">
      <c r="A2190" s="2">
        <v>2188</v>
      </c>
      <c r="B2190" s="2" t="str">
        <f>"吴红升"</f>
        <v>吴红升</v>
      </c>
      <c r="C2190" s="2" t="s">
        <v>2054</v>
      </c>
      <c r="D2190" s="2" t="s">
        <v>2088</v>
      </c>
      <c r="E2190" s="3"/>
    </row>
    <row r="2191" spans="1:5" ht="24.75" customHeight="1">
      <c r="A2191" s="2">
        <v>2189</v>
      </c>
      <c r="B2191" s="2" t="str">
        <f>"翁仕"</f>
        <v>翁仕</v>
      </c>
      <c r="C2191" s="2" t="s">
        <v>2054</v>
      </c>
      <c r="D2191" s="2" t="s">
        <v>2089</v>
      </c>
      <c r="E2191" s="3"/>
    </row>
    <row r="2192" spans="1:5" ht="24.75" customHeight="1">
      <c r="A2192" s="2">
        <v>2190</v>
      </c>
      <c r="B2192" s="2" t="str">
        <f>"陈继聪"</f>
        <v>陈继聪</v>
      </c>
      <c r="C2192" s="2" t="s">
        <v>2054</v>
      </c>
      <c r="D2192" s="2" t="s">
        <v>2090</v>
      </c>
      <c r="E2192" s="3"/>
    </row>
    <row r="2193" spans="1:5" ht="24.75" customHeight="1">
      <c r="A2193" s="2">
        <v>2191</v>
      </c>
      <c r="B2193" s="2" t="str">
        <f>"陈华飞"</f>
        <v>陈华飞</v>
      </c>
      <c r="C2193" s="2" t="s">
        <v>2054</v>
      </c>
      <c r="D2193" s="2" t="s">
        <v>2091</v>
      </c>
      <c r="E2193" s="3"/>
    </row>
    <row r="2194" spans="1:5" ht="24.75" customHeight="1">
      <c r="A2194" s="2">
        <v>2192</v>
      </c>
      <c r="B2194" s="2" t="str">
        <f>"欧先史"</f>
        <v>欧先史</v>
      </c>
      <c r="C2194" s="2" t="s">
        <v>2054</v>
      </c>
      <c r="D2194" s="2" t="s">
        <v>2092</v>
      </c>
      <c r="E2194" s="3"/>
    </row>
    <row r="2195" spans="1:5" ht="24.75" customHeight="1">
      <c r="A2195" s="2">
        <v>2193</v>
      </c>
      <c r="B2195" s="2" t="str">
        <f>"黄泽田"</f>
        <v>黄泽田</v>
      </c>
      <c r="C2195" s="2" t="s">
        <v>2054</v>
      </c>
      <c r="D2195" s="2" t="s">
        <v>2093</v>
      </c>
      <c r="E2195" s="3"/>
    </row>
    <row r="2196" spans="1:5" ht="24.75" customHeight="1">
      <c r="A2196" s="2">
        <v>2194</v>
      </c>
      <c r="B2196" s="2" t="str">
        <f>"陈焕宇"</f>
        <v>陈焕宇</v>
      </c>
      <c r="C2196" s="2" t="s">
        <v>2054</v>
      </c>
      <c r="D2196" s="2" t="s">
        <v>2094</v>
      </c>
      <c r="E2196" s="3"/>
    </row>
    <row r="2197" spans="1:5" ht="24.75" customHeight="1">
      <c r="A2197" s="2">
        <v>2195</v>
      </c>
      <c r="B2197" s="2" t="str">
        <f>"吴婉敏"</f>
        <v>吴婉敏</v>
      </c>
      <c r="C2197" s="2" t="s">
        <v>2054</v>
      </c>
      <c r="D2197" s="2" t="s">
        <v>211</v>
      </c>
      <c r="E2197" s="3"/>
    </row>
    <row r="2198" spans="1:5" ht="24.75" customHeight="1">
      <c r="A2198" s="2">
        <v>2196</v>
      </c>
      <c r="B2198" s="2" t="str">
        <f>"吴青槟"</f>
        <v>吴青槟</v>
      </c>
      <c r="C2198" s="2" t="s">
        <v>2095</v>
      </c>
      <c r="D2198" s="2" t="s">
        <v>2096</v>
      </c>
      <c r="E2198" s="3"/>
    </row>
    <row r="2199" spans="1:5" ht="24.75" customHeight="1">
      <c r="A2199" s="2">
        <v>2197</v>
      </c>
      <c r="B2199" s="2" t="str">
        <f>"尚男"</f>
        <v>尚男</v>
      </c>
      <c r="C2199" s="2" t="s">
        <v>2095</v>
      </c>
      <c r="D2199" s="2" t="s">
        <v>2097</v>
      </c>
      <c r="E2199" s="3"/>
    </row>
    <row r="2200" spans="1:5" ht="24.75" customHeight="1">
      <c r="A2200" s="2">
        <v>2198</v>
      </c>
      <c r="B2200" s="2" t="str">
        <f>"吴清科"</f>
        <v>吴清科</v>
      </c>
      <c r="C2200" s="2" t="s">
        <v>2095</v>
      </c>
      <c r="D2200" s="2" t="s">
        <v>2098</v>
      </c>
      <c r="E2200" s="3"/>
    </row>
    <row r="2201" spans="1:5" ht="24.75" customHeight="1">
      <c r="A2201" s="2">
        <v>2199</v>
      </c>
      <c r="B2201" s="2" t="str">
        <f>"李传文"</f>
        <v>李传文</v>
      </c>
      <c r="C2201" s="2" t="s">
        <v>2095</v>
      </c>
      <c r="D2201" s="2" t="s">
        <v>2099</v>
      </c>
      <c r="E2201" s="3"/>
    </row>
    <row r="2202" spans="1:5" ht="24.75" customHeight="1">
      <c r="A2202" s="2">
        <v>2200</v>
      </c>
      <c r="B2202" s="2" t="str">
        <f>"韩莉"</f>
        <v>韩莉</v>
      </c>
      <c r="C2202" s="2" t="s">
        <v>2095</v>
      </c>
      <c r="D2202" s="2" t="s">
        <v>2100</v>
      </c>
      <c r="E2202" s="3"/>
    </row>
    <row r="2203" spans="1:5" ht="24.75" customHeight="1">
      <c r="A2203" s="2">
        <v>2201</v>
      </c>
      <c r="B2203" s="2" t="str">
        <f>"周仲海"</f>
        <v>周仲海</v>
      </c>
      <c r="C2203" s="2" t="s">
        <v>2095</v>
      </c>
      <c r="D2203" s="2" t="s">
        <v>2101</v>
      </c>
      <c r="E2203" s="3"/>
    </row>
    <row r="2204" spans="1:5" ht="24.75" customHeight="1">
      <c r="A2204" s="2">
        <v>2202</v>
      </c>
      <c r="B2204" s="2" t="str">
        <f>"吴克华"</f>
        <v>吴克华</v>
      </c>
      <c r="C2204" s="2" t="s">
        <v>2095</v>
      </c>
      <c r="D2204" s="2" t="s">
        <v>2102</v>
      </c>
      <c r="E2204" s="3"/>
    </row>
    <row r="2205" spans="1:5" ht="24.75" customHeight="1">
      <c r="A2205" s="2">
        <v>2203</v>
      </c>
      <c r="B2205" s="2" t="str">
        <f>"王尤乐"</f>
        <v>王尤乐</v>
      </c>
      <c r="C2205" s="2" t="s">
        <v>2095</v>
      </c>
      <c r="D2205" s="2" t="s">
        <v>2103</v>
      </c>
      <c r="E2205" s="3"/>
    </row>
    <row r="2206" spans="1:5" ht="24.75" customHeight="1">
      <c r="A2206" s="2">
        <v>2204</v>
      </c>
      <c r="B2206" s="2" t="str">
        <f>"林诚友"</f>
        <v>林诚友</v>
      </c>
      <c r="C2206" s="2" t="s">
        <v>2095</v>
      </c>
      <c r="D2206" s="2" t="s">
        <v>2104</v>
      </c>
      <c r="E2206" s="3"/>
    </row>
    <row r="2207" spans="1:5" ht="24.75" customHeight="1">
      <c r="A2207" s="2">
        <v>2205</v>
      </c>
      <c r="B2207" s="2" t="str">
        <f>"王仁巨"</f>
        <v>王仁巨</v>
      </c>
      <c r="C2207" s="2" t="s">
        <v>2095</v>
      </c>
      <c r="D2207" s="2" t="s">
        <v>2105</v>
      </c>
      <c r="E2207" s="3"/>
    </row>
    <row r="2208" spans="1:5" ht="24.75" customHeight="1">
      <c r="A2208" s="2">
        <v>2206</v>
      </c>
      <c r="B2208" s="2" t="str">
        <f>"梁崇保"</f>
        <v>梁崇保</v>
      </c>
      <c r="C2208" s="2" t="s">
        <v>2095</v>
      </c>
      <c r="D2208" s="2" t="s">
        <v>2106</v>
      </c>
      <c r="E2208" s="3"/>
    </row>
    <row r="2209" spans="1:5" ht="24.75" customHeight="1">
      <c r="A2209" s="2">
        <v>2207</v>
      </c>
      <c r="B2209" s="2" t="str">
        <f>"吉斯汉"</f>
        <v>吉斯汉</v>
      </c>
      <c r="C2209" s="2" t="s">
        <v>2095</v>
      </c>
      <c r="D2209" s="2" t="s">
        <v>2107</v>
      </c>
      <c r="E2209" s="3"/>
    </row>
    <row r="2210" spans="1:5" ht="24.75" customHeight="1">
      <c r="A2210" s="2">
        <v>2208</v>
      </c>
      <c r="B2210" s="2" t="str">
        <f>"李昌伟"</f>
        <v>李昌伟</v>
      </c>
      <c r="C2210" s="2" t="s">
        <v>2095</v>
      </c>
      <c r="D2210" s="2" t="s">
        <v>2108</v>
      </c>
      <c r="E2210" s="3"/>
    </row>
    <row r="2211" spans="1:5" ht="24.75" customHeight="1">
      <c r="A2211" s="2">
        <v>2209</v>
      </c>
      <c r="B2211" s="2" t="str">
        <f>"陈小良"</f>
        <v>陈小良</v>
      </c>
      <c r="C2211" s="2" t="s">
        <v>2095</v>
      </c>
      <c r="D2211" s="2" t="s">
        <v>2109</v>
      </c>
      <c r="E2211" s="3"/>
    </row>
    <row r="2212" spans="1:5" ht="24.75" customHeight="1">
      <c r="A2212" s="2">
        <v>2210</v>
      </c>
      <c r="B2212" s="2" t="str">
        <f>"张美玲"</f>
        <v>张美玲</v>
      </c>
      <c r="C2212" s="2" t="s">
        <v>2095</v>
      </c>
      <c r="D2212" s="2" t="s">
        <v>2110</v>
      </c>
      <c r="E2212" s="3"/>
    </row>
    <row r="2213" spans="1:5" ht="24.75" customHeight="1">
      <c r="A2213" s="2">
        <v>2211</v>
      </c>
      <c r="B2213" s="2" t="str">
        <f>"王金成"</f>
        <v>王金成</v>
      </c>
      <c r="C2213" s="2" t="s">
        <v>2095</v>
      </c>
      <c r="D2213" s="2" t="s">
        <v>2111</v>
      </c>
      <c r="E2213" s="3"/>
    </row>
    <row r="2214" spans="1:5" ht="24.75" customHeight="1">
      <c r="A2214" s="2">
        <v>2212</v>
      </c>
      <c r="B2214" s="2" t="str">
        <f>"黄伟"</f>
        <v>黄伟</v>
      </c>
      <c r="C2214" s="2" t="s">
        <v>2095</v>
      </c>
      <c r="D2214" s="2" t="s">
        <v>110</v>
      </c>
      <c r="E2214" s="3"/>
    </row>
    <row r="2215" spans="1:5" ht="24.75" customHeight="1">
      <c r="A2215" s="2">
        <v>2213</v>
      </c>
      <c r="B2215" s="2" t="str">
        <f>"符国济"</f>
        <v>符国济</v>
      </c>
      <c r="C2215" s="2" t="s">
        <v>2095</v>
      </c>
      <c r="D2215" s="2" t="s">
        <v>2112</v>
      </c>
      <c r="E2215" s="3"/>
    </row>
    <row r="2216" spans="1:5" ht="24.75" customHeight="1">
      <c r="A2216" s="2">
        <v>2214</v>
      </c>
      <c r="B2216" s="2" t="str">
        <f>"陈哲震"</f>
        <v>陈哲震</v>
      </c>
      <c r="C2216" s="2" t="s">
        <v>2095</v>
      </c>
      <c r="D2216" s="2" t="s">
        <v>2113</v>
      </c>
      <c r="E2216" s="3"/>
    </row>
    <row r="2217" spans="1:5" ht="24.75" customHeight="1">
      <c r="A2217" s="2">
        <v>2215</v>
      </c>
      <c r="B2217" s="2" t="str">
        <f>"黄闻锦"</f>
        <v>黄闻锦</v>
      </c>
      <c r="C2217" s="2" t="s">
        <v>2095</v>
      </c>
      <c r="D2217" s="2" t="s">
        <v>2114</v>
      </c>
      <c r="E2217" s="3"/>
    </row>
    <row r="2218" spans="1:5" ht="24.75" customHeight="1">
      <c r="A2218" s="2">
        <v>2216</v>
      </c>
      <c r="B2218" s="2" t="str">
        <f>"朱芳泰"</f>
        <v>朱芳泰</v>
      </c>
      <c r="C2218" s="2" t="s">
        <v>2095</v>
      </c>
      <c r="D2218" s="2" t="s">
        <v>2115</v>
      </c>
      <c r="E2218" s="3"/>
    </row>
    <row r="2219" spans="1:5" ht="24.75" customHeight="1">
      <c r="A2219" s="2">
        <v>2217</v>
      </c>
      <c r="B2219" s="2" t="str">
        <f>"江祥泰"</f>
        <v>江祥泰</v>
      </c>
      <c r="C2219" s="2" t="s">
        <v>2095</v>
      </c>
      <c r="D2219" s="2" t="s">
        <v>2116</v>
      </c>
      <c r="E2219" s="3"/>
    </row>
    <row r="2220" spans="1:5" ht="24.75" customHeight="1">
      <c r="A2220" s="2">
        <v>2218</v>
      </c>
      <c r="B2220" s="2" t="str">
        <f>"韩宇"</f>
        <v>韩宇</v>
      </c>
      <c r="C2220" s="2" t="s">
        <v>2095</v>
      </c>
      <c r="D2220" s="2" t="s">
        <v>2117</v>
      </c>
      <c r="E2220" s="3"/>
    </row>
    <row r="2221" spans="1:5" ht="24.75" customHeight="1">
      <c r="A2221" s="2">
        <v>2219</v>
      </c>
      <c r="B2221" s="2" t="str">
        <f>"蔡泽林"</f>
        <v>蔡泽林</v>
      </c>
      <c r="C2221" s="2" t="s">
        <v>2095</v>
      </c>
      <c r="D2221" s="2" t="s">
        <v>2118</v>
      </c>
      <c r="E2221" s="3"/>
    </row>
    <row r="2222" spans="1:5" ht="24.75" customHeight="1">
      <c r="A2222" s="2">
        <v>2220</v>
      </c>
      <c r="B2222" s="2" t="str">
        <f>"周轩毅"</f>
        <v>周轩毅</v>
      </c>
      <c r="C2222" s="2" t="s">
        <v>2095</v>
      </c>
      <c r="D2222" s="2" t="s">
        <v>2119</v>
      </c>
      <c r="E2222" s="3"/>
    </row>
    <row r="2223" spans="1:5" ht="24.75" customHeight="1">
      <c r="A2223" s="2">
        <v>2221</v>
      </c>
      <c r="B2223" s="2" t="str">
        <f>"王伦媚"</f>
        <v>王伦媚</v>
      </c>
      <c r="C2223" s="2" t="s">
        <v>2095</v>
      </c>
      <c r="D2223" s="2" t="s">
        <v>2120</v>
      </c>
      <c r="E2223" s="3"/>
    </row>
    <row r="2224" spans="1:5" ht="24.75" customHeight="1">
      <c r="A2224" s="2">
        <v>2222</v>
      </c>
      <c r="B2224" s="2" t="str">
        <f>"何受冠"</f>
        <v>何受冠</v>
      </c>
      <c r="C2224" s="2" t="s">
        <v>2095</v>
      </c>
      <c r="D2224" s="2" t="s">
        <v>2121</v>
      </c>
      <c r="E2224" s="3"/>
    </row>
    <row r="2225" spans="1:5" ht="24.75" customHeight="1">
      <c r="A2225" s="2">
        <v>2223</v>
      </c>
      <c r="B2225" s="2" t="str">
        <f>"陈生武"</f>
        <v>陈生武</v>
      </c>
      <c r="C2225" s="2" t="s">
        <v>2095</v>
      </c>
      <c r="D2225" s="2" t="s">
        <v>2122</v>
      </c>
      <c r="E2225" s="3"/>
    </row>
    <row r="2226" spans="1:5" ht="24.75" customHeight="1">
      <c r="A2226" s="2">
        <v>2224</v>
      </c>
      <c r="B2226" s="2" t="str">
        <f>"莫定彬"</f>
        <v>莫定彬</v>
      </c>
      <c r="C2226" s="2" t="s">
        <v>2095</v>
      </c>
      <c r="D2226" s="2" t="s">
        <v>1032</v>
      </c>
      <c r="E2226" s="3"/>
    </row>
    <row r="2227" spans="1:5" ht="24.75" customHeight="1">
      <c r="A2227" s="2">
        <v>2225</v>
      </c>
      <c r="B2227" s="2" t="str">
        <f>"李选钰"</f>
        <v>李选钰</v>
      </c>
      <c r="C2227" s="2" t="s">
        <v>2095</v>
      </c>
      <c r="D2227" s="2" t="s">
        <v>2123</v>
      </c>
      <c r="E2227" s="3"/>
    </row>
    <row r="2228" spans="1:5" ht="24.75" customHeight="1">
      <c r="A2228" s="2">
        <v>2226</v>
      </c>
      <c r="B2228" s="2" t="str">
        <f>"李丽霜"</f>
        <v>李丽霜</v>
      </c>
      <c r="C2228" s="2" t="s">
        <v>2095</v>
      </c>
      <c r="D2228" s="2" t="s">
        <v>2124</v>
      </c>
      <c r="E2228" s="3"/>
    </row>
    <row r="2229" spans="1:5" ht="24.75" customHeight="1">
      <c r="A2229" s="2">
        <v>2227</v>
      </c>
      <c r="B2229" s="2" t="str">
        <f>"符再道"</f>
        <v>符再道</v>
      </c>
      <c r="C2229" s="2" t="s">
        <v>2095</v>
      </c>
      <c r="D2229" s="2" t="s">
        <v>2125</v>
      </c>
      <c r="E2229" s="3"/>
    </row>
    <row r="2230" spans="1:5" ht="24.75" customHeight="1">
      <c r="A2230" s="2">
        <v>2228</v>
      </c>
      <c r="B2230" s="2" t="str">
        <f>"刘兴博"</f>
        <v>刘兴博</v>
      </c>
      <c r="C2230" s="2" t="s">
        <v>2095</v>
      </c>
      <c r="D2230" s="2" t="s">
        <v>2126</v>
      </c>
      <c r="E2230" s="3"/>
    </row>
    <row r="2231" spans="1:5" ht="24.75" customHeight="1">
      <c r="A2231" s="2">
        <v>2229</v>
      </c>
      <c r="B2231" s="2" t="str">
        <f>"邢维忠"</f>
        <v>邢维忠</v>
      </c>
      <c r="C2231" s="2" t="s">
        <v>2095</v>
      </c>
      <c r="D2231" s="2" t="s">
        <v>2127</v>
      </c>
      <c r="E2231" s="3"/>
    </row>
    <row r="2232" spans="1:5" ht="24.75" customHeight="1">
      <c r="A2232" s="2">
        <v>2230</v>
      </c>
      <c r="B2232" s="2" t="str">
        <f>"周梦"</f>
        <v>周梦</v>
      </c>
      <c r="C2232" s="2" t="s">
        <v>2095</v>
      </c>
      <c r="D2232" s="2" t="s">
        <v>2128</v>
      </c>
      <c r="E2232" s="3"/>
    </row>
    <row r="2233" spans="1:5" ht="24.75" customHeight="1">
      <c r="A2233" s="2">
        <v>2231</v>
      </c>
      <c r="B2233" s="2" t="str">
        <f>"陈德叶"</f>
        <v>陈德叶</v>
      </c>
      <c r="C2233" s="2" t="s">
        <v>2095</v>
      </c>
      <c r="D2233" s="2" t="s">
        <v>2129</v>
      </c>
      <c r="E2233" s="3"/>
    </row>
    <row r="2234" spans="1:5" ht="24.75" customHeight="1">
      <c r="A2234" s="2">
        <v>2232</v>
      </c>
      <c r="B2234" s="2" t="str">
        <f>"何人培"</f>
        <v>何人培</v>
      </c>
      <c r="C2234" s="2" t="s">
        <v>2095</v>
      </c>
      <c r="D2234" s="2" t="s">
        <v>2130</v>
      </c>
      <c r="E2234" s="3"/>
    </row>
    <row r="2235" spans="1:5" ht="24.75" customHeight="1">
      <c r="A2235" s="2">
        <v>2233</v>
      </c>
      <c r="B2235" s="2" t="str">
        <f>"王斐"</f>
        <v>王斐</v>
      </c>
      <c r="C2235" s="2" t="s">
        <v>2095</v>
      </c>
      <c r="D2235" s="2" t="s">
        <v>2131</v>
      </c>
      <c r="E2235" s="3"/>
    </row>
    <row r="2236" spans="1:5" ht="24.75" customHeight="1">
      <c r="A2236" s="2">
        <v>2234</v>
      </c>
      <c r="B2236" s="2" t="str">
        <f>"黄鸿"</f>
        <v>黄鸿</v>
      </c>
      <c r="C2236" s="2" t="s">
        <v>2095</v>
      </c>
      <c r="D2236" s="2" t="s">
        <v>2132</v>
      </c>
      <c r="E2236" s="3"/>
    </row>
    <row r="2237" spans="1:5" ht="24.75" customHeight="1">
      <c r="A2237" s="2">
        <v>2235</v>
      </c>
      <c r="B2237" s="2" t="str">
        <f>"李尔康"</f>
        <v>李尔康</v>
      </c>
      <c r="C2237" s="2" t="s">
        <v>2095</v>
      </c>
      <c r="D2237" s="2" t="s">
        <v>2133</v>
      </c>
      <c r="E2237" s="3"/>
    </row>
    <row r="2238" spans="1:5" ht="24.75" customHeight="1">
      <c r="A2238" s="2">
        <v>2236</v>
      </c>
      <c r="B2238" s="2" t="str">
        <f>"林海城"</f>
        <v>林海城</v>
      </c>
      <c r="C2238" s="2" t="s">
        <v>2095</v>
      </c>
      <c r="D2238" s="2" t="s">
        <v>1066</v>
      </c>
      <c r="E2238" s="3"/>
    </row>
    <row r="2239" spans="1:5" ht="24.75" customHeight="1">
      <c r="A2239" s="2">
        <v>2237</v>
      </c>
      <c r="B2239" s="2" t="str">
        <f>"李宏昊"</f>
        <v>李宏昊</v>
      </c>
      <c r="C2239" s="2" t="s">
        <v>2095</v>
      </c>
      <c r="D2239" s="2" t="s">
        <v>2134</v>
      </c>
      <c r="E2239" s="3"/>
    </row>
    <row r="2240" spans="1:5" ht="24.75" customHeight="1">
      <c r="A2240" s="2">
        <v>2238</v>
      </c>
      <c r="B2240" s="2" t="str">
        <f>"王壮兴"</f>
        <v>王壮兴</v>
      </c>
      <c r="C2240" s="2" t="s">
        <v>2095</v>
      </c>
      <c r="D2240" s="2" t="s">
        <v>2135</v>
      </c>
      <c r="E2240" s="3"/>
    </row>
    <row r="2241" spans="1:5" ht="24.75" customHeight="1">
      <c r="A2241" s="2">
        <v>2239</v>
      </c>
      <c r="B2241" s="2" t="str">
        <f>"张熙晓"</f>
        <v>张熙晓</v>
      </c>
      <c r="C2241" s="2" t="s">
        <v>2095</v>
      </c>
      <c r="D2241" s="2" t="s">
        <v>2136</v>
      </c>
      <c r="E2241" s="3"/>
    </row>
    <row r="2242" spans="1:5" ht="24.75" customHeight="1">
      <c r="A2242" s="2">
        <v>2240</v>
      </c>
      <c r="B2242" s="2" t="str">
        <f>"王皓民"</f>
        <v>王皓民</v>
      </c>
      <c r="C2242" s="2" t="s">
        <v>2095</v>
      </c>
      <c r="D2242" s="2" t="s">
        <v>2137</v>
      </c>
      <c r="E2242" s="3"/>
    </row>
    <row r="2243" spans="1:5" ht="24.75" customHeight="1">
      <c r="A2243" s="2">
        <v>2241</v>
      </c>
      <c r="B2243" s="2" t="str">
        <f>"降福东"</f>
        <v>降福东</v>
      </c>
      <c r="C2243" s="2" t="s">
        <v>2095</v>
      </c>
      <c r="D2243" s="2" t="s">
        <v>2138</v>
      </c>
      <c r="E2243" s="3"/>
    </row>
    <row r="2244" spans="1:5" ht="24.75" customHeight="1">
      <c r="A2244" s="2">
        <v>2242</v>
      </c>
      <c r="B2244" s="2" t="str">
        <f>"黄昶睿"</f>
        <v>黄昶睿</v>
      </c>
      <c r="C2244" s="2" t="s">
        <v>2095</v>
      </c>
      <c r="D2244" s="2" t="s">
        <v>2139</v>
      </c>
      <c r="E2244" s="3"/>
    </row>
    <row r="2245" spans="1:5" ht="24.75" customHeight="1">
      <c r="A2245" s="2">
        <v>2243</v>
      </c>
      <c r="B2245" s="2" t="str">
        <f>"梁奇华"</f>
        <v>梁奇华</v>
      </c>
      <c r="C2245" s="2" t="s">
        <v>2095</v>
      </c>
      <c r="D2245" s="2" t="s">
        <v>2140</v>
      </c>
      <c r="E2245" s="3"/>
    </row>
    <row r="2246" spans="1:5" ht="24.75" customHeight="1">
      <c r="A2246" s="2">
        <v>2244</v>
      </c>
      <c r="B2246" s="2" t="str">
        <f>"许治照"</f>
        <v>许治照</v>
      </c>
      <c r="C2246" s="2" t="s">
        <v>2095</v>
      </c>
      <c r="D2246" s="2" t="s">
        <v>2141</v>
      </c>
      <c r="E2246" s="3"/>
    </row>
    <row r="2247" spans="1:5" ht="24.75" customHeight="1">
      <c r="A2247" s="2">
        <v>2245</v>
      </c>
      <c r="B2247" s="2" t="str">
        <f>"王敏先"</f>
        <v>王敏先</v>
      </c>
      <c r="C2247" s="2" t="s">
        <v>2095</v>
      </c>
      <c r="D2247" s="2" t="s">
        <v>2142</v>
      </c>
      <c r="E2247" s="3"/>
    </row>
    <row r="2248" spans="1:5" ht="24.75" customHeight="1">
      <c r="A2248" s="2">
        <v>2246</v>
      </c>
      <c r="B2248" s="2" t="str">
        <f>"王川铸"</f>
        <v>王川铸</v>
      </c>
      <c r="C2248" s="2" t="s">
        <v>2095</v>
      </c>
      <c r="D2248" s="2" t="s">
        <v>2143</v>
      </c>
      <c r="E2248" s="3"/>
    </row>
    <row r="2249" spans="1:5" ht="24.75" customHeight="1">
      <c r="A2249" s="2">
        <v>2247</v>
      </c>
      <c r="B2249" s="2" t="str">
        <f>"卢裕明"</f>
        <v>卢裕明</v>
      </c>
      <c r="C2249" s="2" t="s">
        <v>2095</v>
      </c>
      <c r="D2249" s="2" t="s">
        <v>2144</v>
      </c>
      <c r="E2249" s="3"/>
    </row>
    <row r="2250" spans="1:5" ht="24.75" customHeight="1">
      <c r="A2250" s="2">
        <v>2248</v>
      </c>
      <c r="B2250" s="2" t="str">
        <f>"岑选畅"</f>
        <v>岑选畅</v>
      </c>
      <c r="C2250" s="2" t="s">
        <v>2095</v>
      </c>
      <c r="D2250" s="2" t="s">
        <v>2145</v>
      </c>
      <c r="E2250" s="3"/>
    </row>
    <row r="2251" spans="1:5" ht="24.75" customHeight="1">
      <c r="A2251" s="2">
        <v>2249</v>
      </c>
      <c r="B2251" s="2" t="str">
        <f>"欧开腾"</f>
        <v>欧开腾</v>
      </c>
      <c r="C2251" s="2" t="s">
        <v>2095</v>
      </c>
      <c r="D2251" s="2" t="s">
        <v>2146</v>
      </c>
      <c r="E2251" s="3"/>
    </row>
    <row r="2252" spans="1:5" ht="24.75" customHeight="1">
      <c r="A2252" s="2">
        <v>2250</v>
      </c>
      <c r="B2252" s="2" t="str">
        <f>"梁耀俊"</f>
        <v>梁耀俊</v>
      </c>
      <c r="C2252" s="2" t="s">
        <v>2095</v>
      </c>
      <c r="D2252" s="2" t="s">
        <v>2147</v>
      </c>
      <c r="E2252" s="3"/>
    </row>
    <row r="2253" spans="1:5" ht="24.75" customHeight="1">
      <c r="A2253" s="2">
        <v>2251</v>
      </c>
      <c r="B2253" s="2" t="str">
        <f>"孟焰焰"</f>
        <v>孟焰焰</v>
      </c>
      <c r="C2253" s="2" t="s">
        <v>2095</v>
      </c>
      <c r="D2253" s="2" t="s">
        <v>2148</v>
      </c>
      <c r="E2253" s="3"/>
    </row>
    <row r="2254" spans="1:5" ht="24.75" customHeight="1">
      <c r="A2254" s="2">
        <v>2252</v>
      </c>
      <c r="B2254" s="2" t="str">
        <f>"丁群"</f>
        <v>丁群</v>
      </c>
      <c r="C2254" s="2" t="s">
        <v>2095</v>
      </c>
      <c r="D2254" s="2" t="s">
        <v>2149</v>
      </c>
      <c r="E2254" s="3"/>
    </row>
    <row r="2255" spans="1:5" ht="24.75" customHeight="1">
      <c r="A2255" s="2">
        <v>2253</v>
      </c>
      <c r="B2255" s="2" t="str">
        <f>"王刚"</f>
        <v>王刚</v>
      </c>
      <c r="C2255" s="2" t="s">
        <v>2095</v>
      </c>
      <c r="D2255" s="2" t="s">
        <v>2150</v>
      </c>
      <c r="E2255" s="3"/>
    </row>
    <row r="2256" spans="1:5" ht="24.75" customHeight="1">
      <c r="A2256" s="2">
        <v>2254</v>
      </c>
      <c r="B2256" s="2" t="str">
        <f>"韩峰"</f>
        <v>韩峰</v>
      </c>
      <c r="C2256" s="2" t="s">
        <v>2095</v>
      </c>
      <c r="D2256" s="2" t="s">
        <v>2151</v>
      </c>
      <c r="E2256" s="3"/>
    </row>
    <row r="2257" spans="1:5" ht="24.75" customHeight="1">
      <c r="A2257" s="2">
        <v>2255</v>
      </c>
      <c r="B2257" s="2" t="str">
        <f>"王咸程"</f>
        <v>王咸程</v>
      </c>
      <c r="C2257" s="2" t="s">
        <v>2095</v>
      </c>
      <c r="D2257" s="2" t="s">
        <v>2152</v>
      </c>
      <c r="E2257" s="3"/>
    </row>
    <row r="2258" spans="1:5" ht="24.75" customHeight="1">
      <c r="A2258" s="2">
        <v>2256</v>
      </c>
      <c r="B2258" s="2" t="str">
        <f>"杨克浓"</f>
        <v>杨克浓</v>
      </c>
      <c r="C2258" s="2" t="s">
        <v>2095</v>
      </c>
      <c r="D2258" s="2" t="s">
        <v>2153</v>
      </c>
      <c r="E2258" s="3"/>
    </row>
    <row r="2259" spans="1:5" ht="24.75" customHeight="1">
      <c r="A2259" s="2">
        <v>2257</v>
      </c>
      <c r="B2259" s="2" t="str">
        <f>"肖仕明"</f>
        <v>肖仕明</v>
      </c>
      <c r="C2259" s="2" t="s">
        <v>2095</v>
      </c>
      <c r="D2259" s="2" t="s">
        <v>2154</v>
      </c>
      <c r="E2259" s="3"/>
    </row>
    <row r="2260" spans="1:5" ht="24.75" customHeight="1">
      <c r="A2260" s="2">
        <v>2258</v>
      </c>
      <c r="B2260" s="2" t="str">
        <f>"卢悦生"</f>
        <v>卢悦生</v>
      </c>
      <c r="C2260" s="2" t="s">
        <v>2095</v>
      </c>
      <c r="D2260" s="2" t="s">
        <v>2155</v>
      </c>
      <c r="E2260" s="3"/>
    </row>
    <row r="2261" spans="1:5" ht="24.75" customHeight="1">
      <c r="A2261" s="2">
        <v>2259</v>
      </c>
      <c r="B2261" s="2" t="str">
        <f>"云惟榜"</f>
        <v>云惟榜</v>
      </c>
      <c r="C2261" s="2" t="s">
        <v>2095</v>
      </c>
      <c r="D2261" s="2" t="s">
        <v>2156</v>
      </c>
      <c r="E2261" s="3"/>
    </row>
    <row r="2262" spans="1:5" ht="24.75" customHeight="1">
      <c r="A2262" s="2">
        <v>2260</v>
      </c>
      <c r="B2262" s="2" t="str">
        <f>"洪能"</f>
        <v>洪能</v>
      </c>
      <c r="C2262" s="2" t="s">
        <v>2095</v>
      </c>
      <c r="D2262" s="2" t="s">
        <v>2157</v>
      </c>
      <c r="E2262" s="3"/>
    </row>
    <row r="2263" spans="1:5" ht="24.75" customHeight="1">
      <c r="A2263" s="2">
        <v>2261</v>
      </c>
      <c r="B2263" s="2" t="str">
        <f>"王青青"</f>
        <v>王青青</v>
      </c>
      <c r="C2263" s="2" t="s">
        <v>2095</v>
      </c>
      <c r="D2263" s="2" t="s">
        <v>1427</v>
      </c>
      <c r="E2263" s="3"/>
    </row>
    <row r="2264" spans="1:5" ht="24.75" customHeight="1">
      <c r="A2264" s="2">
        <v>2262</v>
      </c>
      <c r="B2264" s="2" t="str">
        <f>"陈慨"</f>
        <v>陈慨</v>
      </c>
      <c r="C2264" s="2" t="s">
        <v>2095</v>
      </c>
      <c r="D2264" s="2" t="s">
        <v>2158</v>
      </c>
      <c r="E2264" s="3"/>
    </row>
    <row r="2265" spans="1:5" ht="24.75" customHeight="1">
      <c r="A2265" s="2">
        <v>2263</v>
      </c>
      <c r="B2265" s="2" t="str">
        <f>"王嘉怡"</f>
        <v>王嘉怡</v>
      </c>
      <c r="C2265" s="2" t="s">
        <v>2095</v>
      </c>
      <c r="D2265" s="2" t="s">
        <v>2159</v>
      </c>
      <c r="E2265" s="3"/>
    </row>
    <row r="2266" spans="1:5" ht="24.75" customHeight="1">
      <c r="A2266" s="2">
        <v>2264</v>
      </c>
      <c r="B2266" s="2" t="str">
        <f>"黄大富"</f>
        <v>黄大富</v>
      </c>
      <c r="C2266" s="2" t="s">
        <v>2095</v>
      </c>
      <c r="D2266" s="2" t="s">
        <v>2160</v>
      </c>
      <c r="E2266" s="3"/>
    </row>
    <row r="2267" spans="1:5" ht="24.75" customHeight="1">
      <c r="A2267" s="2">
        <v>2265</v>
      </c>
      <c r="B2267" s="2" t="str">
        <f>"雷洹铧"</f>
        <v>雷洹铧</v>
      </c>
      <c r="C2267" s="2" t="s">
        <v>2095</v>
      </c>
      <c r="D2267" s="2" t="s">
        <v>2161</v>
      </c>
      <c r="E2267" s="3"/>
    </row>
    <row r="2268" spans="1:5" ht="24.75" customHeight="1">
      <c r="A2268" s="2">
        <v>2266</v>
      </c>
      <c r="B2268" s="2" t="str">
        <f>"陈之权"</f>
        <v>陈之权</v>
      </c>
      <c r="C2268" s="2" t="s">
        <v>2095</v>
      </c>
      <c r="D2268" s="2" t="s">
        <v>2162</v>
      </c>
      <c r="E2268" s="3"/>
    </row>
    <row r="2269" spans="1:5" ht="24.75" customHeight="1">
      <c r="A2269" s="2">
        <v>2267</v>
      </c>
      <c r="B2269" s="2" t="str">
        <f>"王良珠"</f>
        <v>王良珠</v>
      </c>
      <c r="C2269" s="2" t="s">
        <v>2095</v>
      </c>
      <c r="D2269" s="2" t="s">
        <v>2163</v>
      </c>
      <c r="E2269" s="3"/>
    </row>
    <row r="2270" spans="1:5" ht="24.75" customHeight="1">
      <c r="A2270" s="2">
        <v>2268</v>
      </c>
      <c r="B2270" s="2" t="str">
        <f>"龙仕吉"</f>
        <v>龙仕吉</v>
      </c>
      <c r="C2270" s="2" t="s">
        <v>2095</v>
      </c>
      <c r="D2270" s="2" t="s">
        <v>2164</v>
      </c>
      <c r="E2270" s="3"/>
    </row>
    <row r="2271" spans="1:5" ht="24.75" customHeight="1">
      <c r="A2271" s="2">
        <v>2269</v>
      </c>
      <c r="B2271" s="2" t="str">
        <f>"陈梅颜"</f>
        <v>陈梅颜</v>
      </c>
      <c r="C2271" s="2" t="s">
        <v>2095</v>
      </c>
      <c r="D2271" s="2" t="s">
        <v>2165</v>
      </c>
      <c r="E2271" s="3"/>
    </row>
    <row r="2272" spans="1:5" ht="24.75" customHeight="1">
      <c r="A2272" s="2">
        <v>2270</v>
      </c>
      <c r="B2272" s="2" t="str">
        <f>"邱麟"</f>
        <v>邱麟</v>
      </c>
      <c r="C2272" s="2" t="s">
        <v>2095</v>
      </c>
      <c r="D2272" s="2" t="s">
        <v>2166</v>
      </c>
      <c r="E2272" s="3"/>
    </row>
    <row r="2273" spans="1:5" ht="24.75" customHeight="1">
      <c r="A2273" s="2">
        <v>2271</v>
      </c>
      <c r="B2273" s="2" t="str">
        <f>"柳澍琛"</f>
        <v>柳澍琛</v>
      </c>
      <c r="C2273" s="2" t="s">
        <v>2095</v>
      </c>
      <c r="D2273" s="2" t="s">
        <v>2167</v>
      </c>
      <c r="E2273" s="3"/>
    </row>
    <row r="2274" spans="1:5" ht="24.75" customHeight="1">
      <c r="A2274" s="2">
        <v>2272</v>
      </c>
      <c r="B2274" s="2" t="str">
        <f>"陈明硕"</f>
        <v>陈明硕</v>
      </c>
      <c r="C2274" s="2" t="s">
        <v>2095</v>
      </c>
      <c r="D2274" s="2" t="s">
        <v>2168</v>
      </c>
      <c r="E2274" s="3"/>
    </row>
    <row r="2275" spans="1:5" ht="24.75" customHeight="1">
      <c r="A2275" s="2">
        <v>2273</v>
      </c>
      <c r="B2275" s="2" t="str">
        <f>"李庆超"</f>
        <v>李庆超</v>
      </c>
      <c r="C2275" s="2" t="s">
        <v>2095</v>
      </c>
      <c r="D2275" s="2" t="s">
        <v>2169</v>
      </c>
      <c r="E2275" s="3"/>
    </row>
    <row r="2276" spans="1:5" ht="24.75" customHeight="1">
      <c r="A2276" s="2">
        <v>2274</v>
      </c>
      <c r="B2276" s="2" t="str">
        <f>"洪昆旺"</f>
        <v>洪昆旺</v>
      </c>
      <c r="C2276" s="2" t="s">
        <v>2095</v>
      </c>
      <c r="D2276" s="2" t="s">
        <v>2170</v>
      </c>
      <c r="E2276" s="3"/>
    </row>
    <row r="2277" spans="1:5" ht="24.75" customHeight="1">
      <c r="A2277" s="2">
        <v>2275</v>
      </c>
      <c r="B2277" s="2" t="str">
        <f>"柳明菊"</f>
        <v>柳明菊</v>
      </c>
      <c r="C2277" s="2" t="s">
        <v>2171</v>
      </c>
      <c r="D2277" s="2" t="s">
        <v>2033</v>
      </c>
      <c r="E2277" s="3"/>
    </row>
    <row r="2278" spans="1:5" ht="24.75" customHeight="1">
      <c r="A2278" s="2">
        <v>2276</v>
      </c>
      <c r="B2278" s="2" t="str">
        <f>"许靖婕"</f>
        <v>许靖婕</v>
      </c>
      <c r="C2278" s="2" t="s">
        <v>2171</v>
      </c>
      <c r="D2278" s="2" t="s">
        <v>2172</v>
      </c>
      <c r="E2278" s="3"/>
    </row>
    <row r="2279" spans="1:5" ht="24.75" customHeight="1">
      <c r="A2279" s="2">
        <v>2277</v>
      </c>
      <c r="B2279" s="2" t="str">
        <f>"洪德宇"</f>
        <v>洪德宇</v>
      </c>
      <c r="C2279" s="2" t="s">
        <v>2171</v>
      </c>
      <c r="D2279" s="2" t="s">
        <v>2173</v>
      </c>
      <c r="E2279" s="3"/>
    </row>
    <row r="2280" spans="1:5" ht="24.75" customHeight="1">
      <c r="A2280" s="2">
        <v>2278</v>
      </c>
      <c r="B2280" s="2" t="str">
        <f>"符云彩儿"</f>
        <v>符云彩儿</v>
      </c>
      <c r="C2280" s="2" t="s">
        <v>2171</v>
      </c>
      <c r="D2280" s="2" t="s">
        <v>2174</v>
      </c>
      <c r="E2280" s="3"/>
    </row>
    <row r="2281" spans="1:5" ht="24.75" customHeight="1">
      <c r="A2281" s="2">
        <v>2279</v>
      </c>
      <c r="B2281" s="2" t="str">
        <f>"王莹莹"</f>
        <v>王莹莹</v>
      </c>
      <c r="C2281" s="2" t="s">
        <v>2171</v>
      </c>
      <c r="D2281" s="2" t="s">
        <v>2175</v>
      </c>
      <c r="E2281" s="3"/>
    </row>
    <row r="2282" spans="1:5" ht="24.75" customHeight="1">
      <c r="A2282" s="2">
        <v>2280</v>
      </c>
      <c r="B2282" s="2" t="str">
        <f>"王咸林"</f>
        <v>王咸林</v>
      </c>
      <c r="C2282" s="2" t="s">
        <v>2171</v>
      </c>
      <c r="D2282" s="2" t="s">
        <v>2176</v>
      </c>
      <c r="E2282" s="3"/>
    </row>
    <row r="2283" spans="1:5" ht="24.75" customHeight="1">
      <c r="A2283" s="2">
        <v>2281</v>
      </c>
      <c r="B2283" s="2" t="str">
        <f>"符娟"</f>
        <v>符娟</v>
      </c>
      <c r="C2283" s="2" t="s">
        <v>2171</v>
      </c>
      <c r="D2283" s="2" t="s">
        <v>2177</v>
      </c>
      <c r="E2283" s="3"/>
    </row>
    <row r="2284" spans="1:5" ht="24.75" customHeight="1">
      <c r="A2284" s="2">
        <v>2282</v>
      </c>
      <c r="B2284" s="2" t="str">
        <f>"梁妮"</f>
        <v>梁妮</v>
      </c>
      <c r="C2284" s="2" t="s">
        <v>2171</v>
      </c>
      <c r="D2284" s="2" t="s">
        <v>2178</v>
      </c>
      <c r="E2284" s="3"/>
    </row>
    <row r="2285" spans="1:5" ht="24.75" customHeight="1">
      <c r="A2285" s="2">
        <v>2283</v>
      </c>
      <c r="B2285" s="2" t="str">
        <f>"王文军"</f>
        <v>王文军</v>
      </c>
      <c r="C2285" s="2" t="s">
        <v>2171</v>
      </c>
      <c r="D2285" s="2" t="s">
        <v>2179</v>
      </c>
      <c r="E2285" s="3"/>
    </row>
    <row r="2286" spans="1:5" ht="24.75" customHeight="1">
      <c r="A2286" s="2">
        <v>2284</v>
      </c>
      <c r="B2286" s="2" t="str">
        <f>"王凤玲"</f>
        <v>王凤玲</v>
      </c>
      <c r="C2286" s="2" t="s">
        <v>2171</v>
      </c>
      <c r="D2286" s="2" t="s">
        <v>2180</v>
      </c>
      <c r="E2286" s="3"/>
    </row>
    <row r="2287" spans="1:5" ht="24.75" customHeight="1">
      <c r="A2287" s="2">
        <v>2285</v>
      </c>
      <c r="B2287" s="2" t="str">
        <f>"周雄裕"</f>
        <v>周雄裕</v>
      </c>
      <c r="C2287" s="2" t="s">
        <v>2181</v>
      </c>
      <c r="D2287" s="2" t="s">
        <v>179</v>
      </c>
      <c r="E2287" s="3"/>
    </row>
    <row r="2288" spans="1:5" ht="24.75" customHeight="1">
      <c r="A2288" s="2">
        <v>2286</v>
      </c>
      <c r="B2288" s="2" t="str">
        <f>"陈癸余"</f>
        <v>陈癸余</v>
      </c>
      <c r="C2288" s="2" t="s">
        <v>2181</v>
      </c>
      <c r="D2288" s="2" t="s">
        <v>2182</v>
      </c>
      <c r="E2288" s="3"/>
    </row>
    <row r="2289" spans="1:5" ht="24.75" customHeight="1">
      <c r="A2289" s="2">
        <v>2287</v>
      </c>
      <c r="B2289" s="2" t="str">
        <f>"陈霞"</f>
        <v>陈霞</v>
      </c>
      <c r="C2289" s="2" t="s">
        <v>2181</v>
      </c>
      <c r="D2289" s="2" t="s">
        <v>2183</v>
      </c>
      <c r="E2289" s="3"/>
    </row>
    <row r="2290" spans="1:5" ht="24.75" customHeight="1">
      <c r="A2290" s="2">
        <v>2288</v>
      </c>
      <c r="B2290" s="2" t="str">
        <f>"王江滢"</f>
        <v>王江滢</v>
      </c>
      <c r="C2290" s="2" t="s">
        <v>2181</v>
      </c>
      <c r="D2290" s="2" t="s">
        <v>2184</v>
      </c>
      <c r="E2290" s="3"/>
    </row>
    <row r="2291" spans="1:5" ht="24.75" customHeight="1">
      <c r="A2291" s="2">
        <v>2289</v>
      </c>
      <c r="B2291" s="2" t="str">
        <f>"薛子瞻"</f>
        <v>薛子瞻</v>
      </c>
      <c r="C2291" s="2" t="s">
        <v>2181</v>
      </c>
      <c r="D2291" s="2" t="s">
        <v>2185</v>
      </c>
      <c r="E2291" s="3"/>
    </row>
    <row r="2292" spans="1:5" ht="24.75" customHeight="1">
      <c r="A2292" s="2">
        <v>2290</v>
      </c>
      <c r="B2292" s="2" t="str">
        <f>"万文接"</f>
        <v>万文接</v>
      </c>
      <c r="C2292" s="2" t="s">
        <v>2181</v>
      </c>
      <c r="D2292" s="2" t="s">
        <v>2186</v>
      </c>
      <c r="E2292" s="3"/>
    </row>
    <row r="2293" spans="1:5" ht="24.75" customHeight="1">
      <c r="A2293" s="2">
        <v>2291</v>
      </c>
      <c r="B2293" s="2" t="str">
        <f>"欧哲深"</f>
        <v>欧哲深</v>
      </c>
      <c r="C2293" s="2" t="s">
        <v>2181</v>
      </c>
      <c r="D2293" s="2" t="s">
        <v>2187</v>
      </c>
      <c r="E2293" s="3"/>
    </row>
    <row r="2294" spans="1:5" ht="24.75" customHeight="1">
      <c r="A2294" s="2">
        <v>2292</v>
      </c>
      <c r="B2294" s="2" t="str">
        <f>"李源"</f>
        <v>李源</v>
      </c>
      <c r="C2294" s="2" t="s">
        <v>2181</v>
      </c>
      <c r="D2294" s="2" t="s">
        <v>2188</v>
      </c>
      <c r="E2294" s="3"/>
    </row>
    <row r="2295" spans="1:5" ht="24.75" customHeight="1">
      <c r="A2295" s="2">
        <v>2293</v>
      </c>
      <c r="B2295" s="2" t="str">
        <f>"李干喜"</f>
        <v>李干喜</v>
      </c>
      <c r="C2295" s="2" t="s">
        <v>2181</v>
      </c>
      <c r="D2295" s="2" t="s">
        <v>2189</v>
      </c>
      <c r="E2295" s="3"/>
    </row>
    <row r="2296" spans="1:5" ht="24.75" customHeight="1">
      <c r="A2296" s="2">
        <v>2294</v>
      </c>
      <c r="B2296" s="2" t="str">
        <f>"陈鑫"</f>
        <v>陈鑫</v>
      </c>
      <c r="C2296" s="2" t="s">
        <v>2181</v>
      </c>
      <c r="D2296" s="2" t="s">
        <v>2190</v>
      </c>
      <c r="E2296" s="3"/>
    </row>
    <row r="2297" spans="1:5" ht="24.75" customHeight="1">
      <c r="A2297" s="2">
        <v>2295</v>
      </c>
      <c r="B2297" s="2" t="str">
        <f>"文精艺"</f>
        <v>文精艺</v>
      </c>
      <c r="C2297" s="2" t="s">
        <v>2181</v>
      </c>
      <c r="D2297" s="2" t="s">
        <v>2191</v>
      </c>
      <c r="E2297" s="3"/>
    </row>
    <row r="2298" spans="1:5" ht="24.75" customHeight="1">
      <c r="A2298" s="2">
        <v>2296</v>
      </c>
      <c r="B2298" s="2" t="str">
        <f>"蔡明江"</f>
        <v>蔡明江</v>
      </c>
      <c r="C2298" s="2" t="s">
        <v>2181</v>
      </c>
      <c r="D2298" s="2" t="s">
        <v>2192</v>
      </c>
      <c r="E2298" s="3"/>
    </row>
    <row r="2299" spans="1:5" ht="24.75" customHeight="1">
      <c r="A2299" s="2">
        <v>2297</v>
      </c>
      <c r="B2299" s="2" t="str">
        <f>"何雪"</f>
        <v>何雪</v>
      </c>
      <c r="C2299" s="2" t="s">
        <v>2181</v>
      </c>
      <c r="D2299" s="2" t="s">
        <v>2193</v>
      </c>
      <c r="E2299" s="3"/>
    </row>
    <row r="2300" spans="1:5" ht="24.75" customHeight="1">
      <c r="A2300" s="2">
        <v>2298</v>
      </c>
      <c r="B2300" s="2" t="str">
        <f>"符海玲"</f>
        <v>符海玲</v>
      </c>
      <c r="C2300" s="2" t="s">
        <v>2181</v>
      </c>
      <c r="D2300" s="2" t="s">
        <v>2194</v>
      </c>
      <c r="E2300" s="3"/>
    </row>
    <row r="2301" spans="1:5" ht="24.75" customHeight="1">
      <c r="A2301" s="2">
        <v>2299</v>
      </c>
      <c r="B2301" s="2" t="str">
        <f>"谭发行"</f>
        <v>谭发行</v>
      </c>
      <c r="C2301" s="2" t="s">
        <v>2181</v>
      </c>
      <c r="D2301" s="2" t="s">
        <v>2195</v>
      </c>
      <c r="E2301" s="3"/>
    </row>
    <row r="2302" spans="1:5" ht="24.75" customHeight="1">
      <c r="A2302" s="2">
        <v>2300</v>
      </c>
      <c r="B2302" s="2" t="str">
        <f>"吉李安"</f>
        <v>吉李安</v>
      </c>
      <c r="C2302" s="2" t="s">
        <v>2181</v>
      </c>
      <c r="D2302" s="2" t="s">
        <v>2196</v>
      </c>
      <c r="E2302" s="3"/>
    </row>
    <row r="2303" spans="1:5" ht="24.75" customHeight="1">
      <c r="A2303" s="2">
        <v>2301</v>
      </c>
      <c r="B2303" s="2" t="str">
        <f>"董梦寒"</f>
        <v>董梦寒</v>
      </c>
      <c r="C2303" s="2" t="s">
        <v>2181</v>
      </c>
      <c r="D2303" s="2" t="s">
        <v>2197</v>
      </c>
      <c r="E2303" s="3"/>
    </row>
    <row r="2304" spans="1:5" ht="24.75" customHeight="1">
      <c r="A2304" s="2">
        <v>2302</v>
      </c>
      <c r="B2304" s="2" t="str">
        <f>"魏佳琪"</f>
        <v>魏佳琪</v>
      </c>
      <c r="C2304" s="2" t="s">
        <v>2181</v>
      </c>
      <c r="D2304" s="2" t="s">
        <v>2198</v>
      </c>
      <c r="E2304" s="3"/>
    </row>
    <row r="2305" spans="1:5" ht="24.75" customHeight="1">
      <c r="A2305" s="2">
        <v>2303</v>
      </c>
      <c r="B2305" s="2" t="str">
        <f>"林福顺"</f>
        <v>林福顺</v>
      </c>
      <c r="C2305" s="2" t="s">
        <v>2181</v>
      </c>
      <c r="D2305" s="2" t="s">
        <v>2199</v>
      </c>
      <c r="E2305" s="3"/>
    </row>
    <row r="2306" spans="1:5" ht="24.75" customHeight="1">
      <c r="A2306" s="2">
        <v>2304</v>
      </c>
      <c r="B2306" s="2" t="str">
        <f>"林玲玉"</f>
        <v>林玲玉</v>
      </c>
      <c r="C2306" s="2" t="s">
        <v>2181</v>
      </c>
      <c r="D2306" s="2" t="s">
        <v>2200</v>
      </c>
      <c r="E2306" s="3"/>
    </row>
    <row r="2307" spans="1:5" ht="24.75" customHeight="1">
      <c r="A2307" s="2">
        <v>2305</v>
      </c>
      <c r="B2307" s="2" t="str">
        <f>"吴柳焰"</f>
        <v>吴柳焰</v>
      </c>
      <c r="C2307" s="2" t="s">
        <v>2181</v>
      </c>
      <c r="D2307" s="2" t="s">
        <v>2201</v>
      </c>
      <c r="E2307" s="3"/>
    </row>
    <row r="2308" spans="1:5" ht="24.75" customHeight="1">
      <c r="A2308" s="2">
        <v>2306</v>
      </c>
      <c r="B2308" s="2" t="str">
        <f>"钟毓豪"</f>
        <v>钟毓豪</v>
      </c>
      <c r="C2308" s="2" t="s">
        <v>2181</v>
      </c>
      <c r="D2308" s="2" t="s">
        <v>2202</v>
      </c>
      <c r="E2308" s="3"/>
    </row>
    <row r="2309" spans="1:5" ht="24.75" customHeight="1">
      <c r="A2309" s="2">
        <v>2307</v>
      </c>
      <c r="B2309" s="2" t="str">
        <f>"刘佳奇"</f>
        <v>刘佳奇</v>
      </c>
      <c r="C2309" s="2" t="s">
        <v>2181</v>
      </c>
      <c r="D2309" s="2" t="s">
        <v>2203</v>
      </c>
      <c r="E2309" s="3"/>
    </row>
    <row r="2310" spans="1:5" ht="24.75" customHeight="1">
      <c r="A2310" s="2">
        <v>2308</v>
      </c>
      <c r="B2310" s="2" t="str">
        <f>"刘雯"</f>
        <v>刘雯</v>
      </c>
      <c r="C2310" s="2" t="s">
        <v>2181</v>
      </c>
      <c r="D2310" s="2" t="s">
        <v>785</v>
      </c>
      <c r="E2310" s="3"/>
    </row>
    <row r="2311" spans="1:5" ht="24.75" customHeight="1">
      <c r="A2311" s="2">
        <v>2309</v>
      </c>
      <c r="B2311" s="2" t="str">
        <f>"黄娟"</f>
        <v>黄娟</v>
      </c>
      <c r="C2311" s="2" t="s">
        <v>2181</v>
      </c>
      <c r="D2311" s="2" t="s">
        <v>2204</v>
      </c>
      <c r="E2311" s="3"/>
    </row>
    <row r="2312" spans="1:5" ht="24.75" customHeight="1">
      <c r="A2312" s="2">
        <v>2310</v>
      </c>
      <c r="B2312" s="2" t="str">
        <f>"邓献升"</f>
        <v>邓献升</v>
      </c>
      <c r="C2312" s="2" t="s">
        <v>2181</v>
      </c>
      <c r="D2312" s="2" t="s">
        <v>2205</v>
      </c>
      <c r="E2312" s="3"/>
    </row>
    <row r="2313" spans="1:5" ht="24.75" customHeight="1">
      <c r="A2313" s="2">
        <v>2311</v>
      </c>
      <c r="B2313" s="2" t="str">
        <f>"王川健"</f>
        <v>王川健</v>
      </c>
      <c r="C2313" s="2" t="s">
        <v>2181</v>
      </c>
      <c r="D2313" s="2" t="s">
        <v>2206</v>
      </c>
      <c r="E2313" s="3"/>
    </row>
    <row r="2314" spans="1:5" ht="24.75" customHeight="1">
      <c r="A2314" s="2">
        <v>2312</v>
      </c>
      <c r="B2314" s="2" t="str">
        <f>"冯娈凤"</f>
        <v>冯娈凤</v>
      </c>
      <c r="C2314" s="2" t="s">
        <v>2181</v>
      </c>
      <c r="D2314" s="2" t="s">
        <v>2207</v>
      </c>
      <c r="E2314" s="3"/>
    </row>
    <row r="2315" spans="1:5" ht="24.75" customHeight="1">
      <c r="A2315" s="2">
        <v>2313</v>
      </c>
      <c r="B2315" s="2" t="str">
        <f>"李蔚艳"</f>
        <v>李蔚艳</v>
      </c>
      <c r="C2315" s="2" t="s">
        <v>2181</v>
      </c>
      <c r="D2315" s="2" t="s">
        <v>181</v>
      </c>
      <c r="E2315" s="3"/>
    </row>
    <row r="2316" spans="1:5" ht="24.75" customHeight="1">
      <c r="A2316" s="2">
        <v>2314</v>
      </c>
      <c r="B2316" s="2" t="str">
        <f>"吴俊杰"</f>
        <v>吴俊杰</v>
      </c>
      <c r="C2316" s="2" t="s">
        <v>2181</v>
      </c>
      <c r="D2316" s="2" t="s">
        <v>2208</v>
      </c>
      <c r="E2316" s="3"/>
    </row>
    <row r="2317" spans="1:5" ht="24.75" customHeight="1">
      <c r="A2317" s="2">
        <v>2315</v>
      </c>
      <c r="B2317" s="2" t="str">
        <f>"彭丹丹"</f>
        <v>彭丹丹</v>
      </c>
      <c r="C2317" s="2" t="s">
        <v>2181</v>
      </c>
      <c r="D2317" s="2" t="s">
        <v>2209</v>
      </c>
      <c r="E2317" s="3"/>
    </row>
    <row r="2318" spans="1:5" ht="24.75" customHeight="1">
      <c r="A2318" s="2">
        <v>2316</v>
      </c>
      <c r="B2318" s="2" t="str">
        <f>"叶虹"</f>
        <v>叶虹</v>
      </c>
      <c r="C2318" s="2" t="s">
        <v>2181</v>
      </c>
      <c r="D2318" s="2" t="s">
        <v>2210</v>
      </c>
      <c r="E2318" s="3"/>
    </row>
    <row r="2319" spans="1:5" ht="24.75" customHeight="1">
      <c r="A2319" s="2">
        <v>2317</v>
      </c>
      <c r="B2319" s="2" t="str">
        <f>"许鹏"</f>
        <v>许鹏</v>
      </c>
      <c r="C2319" s="2" t="s">
        <v>2181</v>
      </c>
      <c r="D2319" s="2" t="s">
        <v>2211</v>
      </c>
      <c r="E2319" s="3"/>
    </row>
    <row r="2320" spans="1:5" ht="24.75" customHeight="1">
      <c r="A2320" s="2">
        <v>2318</v>
      </c>
      <c r="B2320" s="2" t="str">
        <f>"郝圆月"</f>
        <v>郝圆月</v>
      </c>
      <c r="C2320" s="2" t="s">
        <v>2181</v>
      </c>
      <c r="D2320" s="2" t="s">
        <v>2212</v>
      </c>
      <c r="E2320" s="3"/>
    </row>
    <row r="2321" spans="1:5" ht="24.75" customHeight="1">
      <c r="A2321" s="2">
        <v>2319</v>
      </c>
      <c r="B2321" s="2" t="str">
        <f>"陈博杰"</f>
        <v>陈博杰</v>
      </c>
      <c r="C2321" s="2" t="s">
        <v>2181</v>
      </c>
      <c r="D2321" s="2" t="s">
        <v>2213</v>
      </c>
      <c r="E2321" s="3"/>
    </row>
    <row r="2322" spans="1:5" ht="24.75" customHeight="1">
      <c r="A2322" s="2">
        <v>2320</v>
      </c>
      <c r="B2322" s="2" t="str">
        <f>"张玲"</f>
        <v>张玲</v>
      </c>
      <c r="C2322" s="2" t="s">
        <v>2181</v>
      </c>
      <c r="D2322" s="2" t="s">
        <v>2214</v>
      </c>
      <c r="E2322" s="3"/>
    </row>
    <row r="2323" spans="1:5" ht="24.75" customHeight="1">
      <c r="A2323" s="2">
        <v>2321</v>
      </c>
      <c r="B2323" s="2" t="str">
        <f>"王小娇"</f>
        <v>王小娇</v>
      </c>
      <c r="C2323" s="2" t="s">
        <v>2181</v>
      </c>
      <c r="D2323" s="2" t="s">
        <v>2215</v>
      </c>
      <c r="E2323" s="3"/>
    </row>
    <row r="2324" spans="1:5" ht="24.75" customHeight="1">
      <c r="A2324" s="2">
        <v>2322</v>
      </c>
      <c r="B2324" s="2" t="str">
        <f>"苏蓝丽"</f>
        <v>苏蓝丽</v>
      </c>
      <c r="C2324" s="2" t="s">
        <v>2181</v>
      </c>
      <c r="D2324" s="2" t="s">
        <v>2216</v>
      </c>
      <c r="E2324" s="3"/>
    </row>
    <row r="2325" spans="1:5" ht="24.75" customHeight="1">
      <c r="A2325" s="2">
        <v>2323</v>
      </c>
      <c r="B2325" s="2" t="str">
        <f>"卢裕然"</f>
        <v>卢裕然</v>
      </c>
      <c r="C2325" s="2" t="s">
        <v>2181</v>
      </c>
      <c r="D2325" s="2" t="s">
        <v>2217</v>
      </c>
      <c r="E2325" s="3"/>
    </row>
    <row r="2326" spans="1:5" ht="24.75" customHeight="1">
      <c r="A2326" s="2">
        <v>2324</v>
      </c>
      <c r="B2326" s="2" t="str">
        <f>"张润"</f>
        <v>张润</v>
      </c>
      <c r="C2326" s="2" t="s">
        <v>2181</v>
      </c>
      <c r="D2326" s="2" t="s">
        <v>2218</v>
      </c>
      <c r="E2326" s="3"/>
    </row>
    <row r="2327" spans="1:5" ht="24.75" customHeight="1">
      <c r="A2327" s="2">
        <v>2325</v>
      </c>
      <c r="B2327" s="2" t="str">
        <f>"李子霓"</f>
        <v>李子霓</v>
      </c>
      <c r="C2327" s="2" t="s">
        <v>2181</v>
      </c>
      <c r="D2327" s="2" t="s">
        <v>2219</v>
      </c>
      <c r="E2327" s="3"/>
    </row>
    <row r="2328" spans="1:5" ht="24.75" customHeight="1">
      <c r="A2328" s="2">
        <v>2326</v>
      </c>
      <c r="B2328" s="2" t="str">
        <f>"陈鹏"</f>
        <v>陈鹏</v>
      </c>
      <c r="C2328" s="2" t="s">
        <v>2181</v>
      </c>
      <c r="D2328" s="2" t="s">
        <v>1247</v>
      </c>
      <c r="E2328" s="3"/>
    </row>
    <row r="2329" spans="1:5" ht="24.75" customHeight="1">
      <c r="A2329" s="2">
        <v>2327</v>
      </c>
      <c r="B2329" s="2" t="str">
        <f>"王山"</f>
        <v>王山</v>
      </c>
      <c r="C2329" s="2" t="s">
        <v>2181</v>
      </c>
      <c r="D2329" s="2" t="s">
        <v>2220</v>
      </c>
      <c r="E2329" s="3"/>
    </row>
    <row r="2330" spans="1:5" ht="24.75" customHeight="1">
      <c r="A2330" s="2">
        <v>2328</v>
      </c>
      <c r="B2330" s="2" t="str">
        <f>"符燕云"</f>
        <v>符燕云</v>
      </c>
      <c r="C2330" s="2" t="s">
        <v>2181</v>
      </c>
      <c r="D2330" s="2" t="s">
        <v>2221</v>
      </c>
      <c r="E2330" s="3"/>
    </row>
    <row r="2331" spans="1:5" ht="24.75" customHeight="1">
      <c r="A2331" s="2">
        <v>2329</v>
      </c>
      <c r="B2331" s="2" t="str">
        <f>"陈元婷"</f>
        <v>陈元婷</v>
      </c>
      <c r="C2331" s="2" t="s">
        <v>2181</v>
      </c>
      <c r="D2331" s="2" t="s">
        <v>2222</v>
      </c>
      <c r="E2331" s="3"/>
    </row>
    <row r="2332" spans="1:5" ht="24.75" customHeight="1">
      <c r="A2332" s="2">
        <v>2330</v>
      </c>
      <c r="B2332" s="2" t="str">
        <f>"李莉娜"</f>
        <v>李莉娜</v>
      </c>
      <c r="C2332" s="2" t="s">
        <v>2181</v>
      </c>
      <c r="D2332" s="2" t="s">
        <v>1074</v>
      </c>
      <c r="E2332" s="3"/>
    </row>
    <row r="2333" spans="1:5" ht="24.75" customHeight="1">
      <c r="A2333" s="2">
        <v>2331</v>
      </c>
      <c r="B2333" s="2" t="str">
        <f>"符蓉莉"</f>
        <v>符蓉莉</v>
      </c>
      <c r="C2333" s="2" t="s">
        <v>2181</v>
      </c>
      <c r="D2333" s="2" t="s">
        <v>2223</v>
      </c>
      <c r="E2333" s="3"/>
    </row>
    <row r="2334" spans="1:5" ht="24.75" customHeight="1">
      <c r="A2334" s="2">
        <v>2332</v>
      </c>
      <c r="B2334" s="2" t="str">
        <f>"梁臻"</f>
        <v>梁臻</v>
      </c>
      <c r="C2334" s="2" t="s">
        <v>2181</v>
      </c>
      <c r="D2334" s="2" t="s">
        <v>1624</v>
      </c>
      <c r="E2334" s="3"/>
    </row>
    <row r="2335" spans="1:5" ht="24.75" customHeight="1">
      <c r="A2335" s="2">
        <v>2333</v>
      </c>
      <c r="B2335" s="2" t="str">
        <f>"王小凤"</f>
        <v>王小凤</v>
      </c>
      <c r="C2335" s="2" t="s">
        <v>2181</v>
      </c>
      <c r="D2335" s="2" t="s">
        <v>2224</v>
      </c>
      <c r="E2335" s="3"/>
    </row>
    <row r="2336" spans="1:5" ht="24.75" customHeight="1">
      <c r="A2336" s="2">
        <v>2334</v>
      </c>
      <c r="B2336" s="2" t="str">
        <f>"陈家盛"</f>
        <v>陈家盛</v>
      </c>
      <c r="C2336" s="2" t="s">
        <v>2181</v>
      </c>
      <c r="D2336" s="2" t="s">
        <v>2225</v>
      </c>
      <c r="E2336" s="3"/>
    </row>
    <row r="2337" spans="1:5" ht="24.75" customHeight="1">
      <c r="A2337" s="2">
        <v>2335</v>
      </c>
      <c r="B2337" s="2" t="str">
        <f>"吴贻培"</f>
        <v>吴贻培</v>
      </c>
      <c r="C2337" s="2" t="s">
        <v>2181</v>
      </c>
      <c r="D2337" s="2" t="s">
        <v>2226</v>
      </c>
      <c r="E2337" s="3"/>
    </row>
    <row r="2338" spans="1:5" ht="24.75" customHeight="1">
      <c r="A2338" s="2">
        <v>2336</v>
      </c>
      <c r="B2338" s="2" t="str">
        <f>"黄晓欢"</f>
        <v>黄晓欢</v>
      </c>
      <c r="C2338" s="2" t="s">
        <v>2181</v>
      </c>
      <c r="D2338" s="2" t="s">
        <v>913</v>
      </c>
      <c r="E2338" s="3"/>
    </row>
    <row r="2339" spans="1:5" ht="24.75" customHeight="1">
      <c r="A2339" s="2">
        <v>2337</v>
      </c>
      <c r="B2339" s="2" t="str">
        <f>"甄浩然"</f>
        <v>甄浩然</v>
      </c>
      <c r="C2339" s="2" t="s">
        <v>2181</v>
      </c>
      <c r="D2339" s="2" t="s">
        <v>2227</v>
      </c>
      <c r="E2339" s="3"/>
    </row>
    <row r="2340" spans="1:5" ht="24.75" customHeight="1">
      <c r="A2340" s="2">
        <v>2338</v>
      </c>
      <c r="B2340" s="2" t="str">
        <f>"王叁益"</f>
        <v>王叁益</v>
      </c>
      <c r="C2340" s="2" t="s">
        <v>2181</v>
      </c>
      <c r="D2340" s="2" t="s">
        <v>2228</v>
      </c>
      <c r="E2340" s="3"/>
    </row>
    <row r="2341" spans="1:5" ht="24.75" customHeight="1">
      <c r="A2341" s="2">
        <v>2339</v>
      </c>
      <c r="B2341" s="2" t="str">
        <f>"林少荟"</f>
        <v>林少荟</v>
      </c>
      <c r="C2341" s="2" t="s">
        <v>2181</v>
      </c>
      <c r="D2341" s="2" t="s">
        <v>457</v>
      </c>
      <c r="E2341" s="3"/>
    </row>
    <row r="2342" spans="1:5" ht="24.75" customHeight="1">
      <c r="A2342" s="2">
        <v>2340</v>
      </c>
      <c r="B2342" s="2" t="str">
        <f>"倪苗"</f>
        <v>倪苗</v>
      </c>
      <c r="C2342" s="2" t="s">
        <v>2181</v>
      </c>
      <c r="D2342" s="2" t="s">
        <v>2229</v>
      </c>
      <c r="E2342" s="3"/>
    </row>
    <row r="2343" spans="1:5" ht="24.75" customHeight="1">
      <c r="A2343" s="2">
        <v>2341</v>
      </c>
      <c r="B2343" s="2" t="str">
        <f>"朱双"</f>
        <v>朱双</v>
      </c>
      <c r="C2343" s="2" t="s">
        <v>2181</v>
      </c>
      <c r="D2343" s="2" t="s">
        <v>2230</v>
      </c>
      <c r="E2343" s="3"/>
    </row>
    <row r="2344" spans="1:5" ht="24.75" customHeight="1">
      <c r="A2344" s="2">
        <v>2342</v>
      </c>
      <c r="B2344" s="2" t="str">
        <f>"吴庆婷"</f>
        <v>吴庆婷</v>
      </c>
      <c r="C2344" s="2" t="s">
        <v>2181</v>
      </c>
      <c r="D2344" s="2" t="s">
        <v>2231</v>
      </c>
      <c r="E2344" s="3"/>
    </row>
    <row r="2345" spans="1:5" ht="24.75" customHeight="1">
      <c r="A2345" s="2">
        <v>2343</v>
      </c>
      <c r="B2345" s="2" t="str">
        <f>"杜心婉"</f>
        <v>杜心婉</v>
      </c>
      <c r="C2345" s="2" t="s">
        <v>2181</v>
      </c>
      <c r="D2345" s="2" t="s">
        <v>2232</v>
      </c>
      <c r="E2345" s="3"/>
    </row>
    <row r="2346" spans="1:5" ht="24.75" customHeight="1">
      <c r="A2346" s="2">
        <v>2344</v>
      </c>
      <c r="B2346" s="2" t="str">
        <f>"张钰钦"</f>
        <v>张钰钦</v>
      </c>
      <c r="C2346" s="2" t="s">
        <v>2181</v>
      </c>
      <c r="D2346" s="2" t="s">
        <v>2233</v>
      </c>
      <c r="E2346" s="3"/>
    </row>
    <row r="2347" spans="1:5" ht="24.75" customHeight="1">
      <c r="A2347" s="2">
        <v>2345</v>
      </c>
      <c r="B2347" s="2" t="str">
        <f>"吴菊花"</f>
        <v>吴菊花</v>
      </c>
      <c r="C2347" s="2" t="s">
        <v>2181</v>
      </c>
      <c r="D2347" s="2" t="s">
        <v>2234</v>
      </c>
      <c r="E2347" s="3"/>
    </row>
    <row r="2348" spans="1:5" ht="24.75" customHeight="1">
      <c r="A2348" s="2">
        <v>2346</v>
      </c>
      <c r="B2348" s="2" t="str">
        <f>"林俏米"</f>
        <v>林俏米</v>
      </c>
      <c r="C2348" s="2" t="s">
        <v>2181</v>
      </c>
      <c r="D2348" s="2" t="s">
        <v>2235</v>
      </c>
      <c r="E2348" s="3"/>
    </row>
    <row r="2349" spans="1:5" ht="24.75" customHeight="1">
      <c r="A2349" s="2">
        <v>2347</v>
      </c>
      <c r="B2349" s="2" t="str">
        <f>"吴清旺"</f>
        <v>吴清旺</v>
      </c>
      <c r="C2349" s="2" t="s">
        <v>2181</v>
      </c>
      <c r="D2349" s="2" t="s">
        <v>2236</v>
      </c>
      <c r="E2349" s="3"/>
    </row>
    <row r="2350" spans="1:5" ht="24.75" customHeight="1">
      <c r="A2350" s="2">
        <v>2348</v>
      </c>
      <c r="B2350" s="2" t="str">
        <f>"雷欣"</f>
        <v>雷欣</v>
      </c>
      <c r="C2350" s="2" t="s">
        <v>2181</v>
      </c>
      <c r="D2350" s="2" t="s">
        <v>2237</v>
      </c>
      <c r="E2350" s="3"/>
    </row>
    <row r="2351" spans="1:5" ht="24.75" customHeight="1">
      <c r="A2351" s="2">
        <v>2349</v>
      </c>
      <c r="B2351" s="2" t="str">
        <f>"吴佳青"</f>
        <v>吴佳青</v>
      </c>
      <c r="C2351" s="2" t="s">
        <v>2181</v>
      </c>
      <c r="D2351" s="2" t="s">
        <v>2238</v>
      </c>
      <c r="E2351" s="3"/>
    </row>
    <row r="2352" spans="1:5" ht="24.75" customHeight="1">
      <c r="A2352" s="2">
        <v>2350</v>
      </c>
      <c r="B2352" s="2" t="str">
        <f>"陈昌鸿"</f>
        <v>陈昌鸿</v>
      </c>
      <c r="C2352" s="2" t="s">
        <v>2181</v>
      </c>
      <c r="D2352" s="2" t="s">
        <v>2239</v>
      </c>
      <c r="E2352" s="3"/>
    </row>
    <row r="2353" spans="1:5" ht="24.75" customHeight="1">
      <c r="A2353" s="2">
        <v>2351</v>
      </c>
      <c r="B2353" s="2" t="str">
        <f>"林贝"</f>
        <v>林贝</v>
      </c>
      <c r="C2353" s="2" t="s">
        <v>2181</v>
      </c>
      <c r="D2353" s="2" t="s">
        <v>2240</v>
      </c>
      <c r="E2353" s="3"/>
    </row>
    <row r="2354" spans="1:5" ht="24.75" customHeight="1">
      <c r="A2354" s="2">
        <v>2352</v>
      </c>
      <c r="B2354" s="2" t="str">
        <f>"林汉生"</f>
        <v>林汉生</v>
      </c>
      <c r="C2354" s="2" t="s">
        <v>2181</v>
      </c>
      <c r="D2354" s="2" t="s">
        <v>2241</v>
      </c>
      <c r="E2354" s="3"/>
    </row>
    <row r="2355" spans="1:5" ht="24.75" customHeight="1">
      <c r="A2355" s="2">
        <v>2353</v>
      </c>
      <c r="B2355" s="2" t="str">
        <f>"徐华荣"</f>
        <v>徐华荣</v>
      </c>
      <c r="C2355" s="2" t="s">
        <v>2181</v>
      </c>
      <c r="D2355" s="2" t="s">
        <v>2242</v>
      </c>
      <c r="E2355" s="3"/>
    </row>
    <row r="2356" spans="1:5" ht="24.75" customHeight="1">
      <c r="A2356" s="2">
        <v>2354</v>
      </c>
      <c r="B2356" s="2" t="str">
        <f>"吴清锐"</f>
        <v>吴清锐</v>
      </c>
      <c r="C2356" s="2" t="s">
        <v>2181</v>
      </c>
      <c r="D2356" s="2" t="s">
        <v>2243</v>
      </c>
      <c r="E2356" s="3"/>
    </row>
    <row r="2357" spans="1:5" ht="24.75" customHeight="1">
      <c r="A2357" s="2">
        <v>2355</v>
      </c>
      <c r="B2357" s="2" t="str">
        <f>"许原瑜"</f>
        <v>许原瑜</v>
      </c>
      <c r="C2357" s="2" t="s">
        <v>2181</v>
      </c>
      <c r="D2357" s="2" t="s">
        <v>2244</v>
      </c>
      <c r="E2357" s="3"/>
    </row>
    <row r="2358" spans="1:5" ht="24.75" customHeight="1">
      <c r="A2358" s="2">
        <v>2356</v>
      </c>
      <c r="B2358" s="2" t="str">
        <f>"吴毓乘"</f>
        <v>吴毓乘</v>
      </c>
      <c r="C2358" s="2" t="s">
        <v>2181</v>
      </c>
      <c r="D2358" s="2" t="s">
        <v>2245</v>
      </c>
      <c r="E2358" s="3"/>
    </row>
    <row r="2359" spans="1:5" ht="24.75" customHeight="1">
      <c r="A2359" s="2">
        <v>2357</v>
      </c>
      <c r="B2359" s="2" t="str">
        <f>"符干"</f>
        <v>符干</v>
      </c>
      <c r="C2359" s="2" t="s">
        <v>2246</v>
      </c>
      <c r="D2359" s="2" t="s">
        <v>2247</v>
      </c>
      <c r="E2359" s="3"/>
    </row>
    <row r="2360" spans="1:5" ht="24.75" customHeight="1">
      <c r="A2360" s="2">
        <v>2358</v>
      </c>
      <c r="B2360" s="2" t="str">
        <f>"黄明瑜"</f>
        <v>黄明瑜</v>
      </c>
      <c r="C2360" s="2" t="s">
        <v>2246</v>
      </c>
      <c r="D2360" s="2" t="s">
        <v>2248</v>
      </c>
      <c r="E2360" s="3"/>
    </row>
    <row r="2361" spans="1:5" ht="24.75" customHeight="1">
      <c r="A2361" s="2">
        <v>2359</v>
      </c>
      <c r="B2361" s="2" t="str">
        <f>"冯平"</f>
        <v>冯平</v>
      </c>
      <c r="C2361" s="2" t="s">
        <v>2246</v>
      </c>
      <c r="D2361" s="2" t="s">
        <v>2249</v>
      </c>
      <c r="E2361" s="3"/>
    </row>
    <row r="2362" spans="1:5" ht="24.75" customHeight="1">
      <c r="A2362" s="2">
        <v>2360</v>
      </c>
      <c r="B2362" s="2" t="str">
        <f>"梁振文"</f>
        <v>梁振文</v>
      </c>
      <c r="C2362" s="2" t="s">
        <v>2246</v>
      </c>
      <c r="D2362" s="2" t="s">
        <v>2250</v>
      </c>
      <c r="E2362" s="3"/>
    </row>
    <row r="2363" spans="1:5" ht="24.75" customHeight="1">
      <c r="A2363" s="2">
        <v>2361</v>
      </c>
      <c r="B2363" s="2" t="str">
        <f>"莫惠洁"</f>
        <v>莫惠洁</v>
      </c>
      <c r="C2363" s="2" t="s">
        <v>2246</v>
      </c>
      <c r="D2363" s="2" t="s">
        <v>2251</v>
      </c>
      <c r="E2363" s="3"/>
    </row>
    <row r="2364" spans="1:5" ht="24.75" customHeight="1">
      <c r="A2364" s="2">
        <v>2362</v>
      </c>
      <c r="B2364" s="2" t="str">
        <f>"莫聪"</f>
        <v>莫聪</v>
      </c>
      <c r="C2364" s="2" t="s">
        <v>2252</v>
      </c>
      <c r="D2364" s="2" t="s">
        <v>2253</v>
      </c>
      <c r="E2364" s="3"/>
    </row>
    <row r="2365" spans="1:5" ht="24.75" customHeight="1">
      <c r="A2365" s="2">
        <v>2363</v>
      </c>
      <c r="B2365" s="2" t="str">
        <f>"符馨尹"</f>
        <v>符馨尹</v>
      </c>
      <c r="C2365" s="2" t="s">
        <v>2252</v>
      </c>
      <c r="D2365" s="2" t="s">
        <v>2254</v>
      </c>
      <c r="E2365" s="3"/>
    </row>
    <row r="2366" spans="1:5" ht="24.75" customHeight="1">
      <c r="A2366" s="2">
        <v>2364</v>
      </c>
      <c r="B2366" s="2" t="str">
        <f>"宋宏良"</f>
        <v>宋宏良</v>
      </c>
      <c r="C2366" s="2" t="s">
        <v>2252</v>
      </c>
      <c r="D2366" s="2" t="s">
        <v>2255</v>
      </c>
      <c r="E2366" s="3"/>
    </row>
    <row r="2367" spans="1:5" ht="24.75" customHeight="1">
      <c r="A2367" s="2">
        <v>2365</v>
      </c>
      <c r="B2367" s="2" t="str">
        <f>"石浪"</f>
        <v>石浪</v>
      </c>
      <c r="C2367" s="2" t="s">
        <v>2252</v>
      </c>
      <c r="D2367" s="2" t="s">
        <v>1970</v>
      </c>
      <c r="E2367" s="3"/>
    </row>
    <row r="2368" spans="1:5" ht="24.75" customHeight="1">
      <c r="A2368" s="2">
        <v>2366</v>
      </c>
      <c r="B2368" s="2" t="str">
        <f>"杨体俊"</f>
        <v>杨体俊</v>
      </c>
      <c r="C2368" s="2" t="s">
        <v>2252</v>
      </c>
      <c r="D2368" s="2" t="s">
        <v>2256</v>
      </c>
      <c r="E2368" s="3"/>
    </row>
    <row r="2369" spans="1:5" ht="24.75" customHeight="1">
      <c r="A2369" s="2">
        <v>2367</v>
      </c>
      <c r="B2369" s="2" t="str">
        <f>"王贤征"</f>
        <v>王贤征</v>
      </c>
      <c r="C2369" s="2" t="s">
        <v>2252</v>
      </c>
      <c r="D2369" s="2" t="s">
        <v>2257</v>
      </c>
      <c r="E2369" s="3"/>
    </row>
    <row r="2370" spans="1:5" ht="24.75" customHeight="1">
      <c r="A2370" s="2">
        <v>2368</v>
      </c>
      <c r="B2370" s="2" t="str">
        <f>"李杨"</f>
        <v>李杨</v>
      </c>
      <c r="C2370" s="2" t="s">
        <v>2252</v>
      </c>
      <c r="D2370" s="2" t="s">
        <v>2258</v>
      </c>
      <c r="E2370" s="3"/>
    </row>
    <row r="2371" spans="1:5" ht="24.75" customHeight="1">
      <c r="A2371" s="2">
        <v>2369</v>
      </c>
      <c r="B2371" s="2" t="str">
        <f>"符卓"</f>
        <v>符卓</v>
      </c>
      <c r="C2371" s="2" t="s">
        <v>2252</v>
      </c>
      <c r="D2371" s="2" t="s">
        <v>2259</v>
      </c>
      <c r="E2371" s="3"/>
    </row>
    <row r="2372" spans="1:5" ht="24.75" customHeight="1">
      <c r="A2372" s="2">
        <v>2370</v>
      </c>
      <c r="B2372" s="2" t="str">
        <f>"张跃"</f>
        <v>张跃</v>
      </c>
      <c r="C2372" s="2" t="s">
        <v>2252</v>
      </c>
      <c r="D2372" s="2" t="s">
        <v>2260</v>
      </c>
      <c r="E2372" s="3"/>
    </row>
    <row r="2373" spans="1:5" ht="24.75" customHeight="1">
      <c r="A2373" s="2">
        <v>2371</v>
      </c>
      <c r="B2373" s="2" t="str">
        <f>"韦泽涛"</f>
        <v>韦泽涛</v>
      </c>
      <c r="C2373" s="2" t="s">
        <v>2252</v>
      </c>
      <c r="D2373" s="2" t="s">
        <v>2261</v>
      </c>
      <c r="E2373" s="3"/>
    </row>
    <row r="2374" spans="1:5" ht="24.75" customHeight="1">
      <c r="A2374" s="2">
        <v>2372</v>
      </c>
      <c r="B2374" s="2" t="str">
        <f>"陈辉星"</f>
        <v>陈辉星</v>
      </c>
      <c r="C2374" s="2" t="s">
        <v>2252</v>
      </c>
      <c r="D2374" s="2" t="s">
        <v>2262</v>
      </c>
      <c r="E2374" s="3"/>
    </row>
    <row r="2375" spans="1:5" ht="24.75" customHeight="1">
      <c r="A2375" s="2">
        <v>2373</v>
      </c>
      <c r="B2375" s="2" t="str">
        <f>"王树凯"</f>
        <v>王树凯</v>
      </c>
      <c r="C2375" s="2" t="s">
        <v>2252</v>
      </c>
      <c r="D2375" s="2" t="s">
        <v>2263</v>
      </c>
      <c r="E2375" s="3"/>
    </row>
    <row r="2376" spans="1:5" ht="24.75" customHeight="1">
      <c r="A2376" s="2">
        <v>2374</v>
      </c>
      <c r="B2376" s="2" t="str">
        <f>"何子文"</f>
        <v>何子文</v>
      </c>
      <c r="C2376" s="2" t="s">
        <v>2252</v>
      </c>
      <c r="D2376" s="2" t="s">
        <v>2264</v>
      </c>
      <c r="E2376" s="3"/>
    </row>
    <row r="2377" spans="1:5" ht="24.75" customHeight="1">
      <c r="A2377" s="2">
        <v>2375</v>
      </c>
      <c r="B2377" s="2" t="str">
        <f>"王拨高"</f>
        <v>王拨高</v>
      </c>
      <c r="C2377" s="2" t="s">
        <v>2252</v>
      </c>
      <c r="D2377" s="2" t="s">
        <v>1452</v>
      </c>
      <c r="E2377" s="3"/>
    </row>
    <row r="2378" spans="1:5" ht="24.75" customHeight="1">
      <c r="A2378" s="2">
        <v>2376</v>
      </c>
      <c r="B2378" s="2" t="str">
        <f>"黄君"</f>
        <v>黄君</v>
      </c>
      <c r="C2378" s="2" t="s">
        <v>2252</v>
      </c>
      <c r="D2378" s="2" t="s">
        <v>2265</v>
      </c>
      <c r="E2378" s="3"/>
    </row>
    <row r="2379" spans="1:5" ht="24.75" customHeight="1">
      <c r="A2379" s="2">
        <v>2377</v>
      </c>
      <c r="B2379" s="2" t="str">
        <f>"符传诺"</f>
        <v>符传诺</v>
      </c>
      <c r="C2379" s="2" t="s">
        <v>2252</v>
      </c>
      <c r="D2379" s="2" t="s">
        <v>2266</v>
      </c>
      <c r="E2379" s="3"/>
    </row>
    <row r="2380" spans="1:5" ht="24.75" customHeight="1">
      <c r="A2380" s="2">
        <v>2378</v>
      </c>
      <c r="B2380" s="2" t="str">
        <f>"张相炜"</f>
        <v>张相炜</v>
      </c>
      <c r="C2380" s="2" t="s">
        <v>2252</v>
      </c>
      <c r="D2380" s="2" t="s">
        <v>2267</v>
      </c>
      <c r="E2380" s="3"/>
    </row>
    <row r="2381" spans="1:5" ht="24.75" customHeight="1">
      <c r="A2381" s="2">
        <v>2379</v>
      </c>
      <c r="B2381" s="2" t="str">
        <f>"刘宏骞"</f>
        <v>刘宏骞</v>
      </c>
      <c r="C2381" s="2" t="s">
        <v>2252</v>
      </c>
      <c r="D2381" s="2" t="s">
        <v>2268</v>
      </c>
      <c r="E2381" s="3"/>
    </row>
    <row r="2382" spans="1:5" ht="24.75" customHeight="1">
      <c r="A2382" s="2">
        <v>2380</v>
      </c>
      <c r="B2382" s="2" t="str">
        <f>"胡瑞林"</f>
        <v>胡瑞林</v>
      </c>
      <c r="C2382" s="2" t="s">
        <v>2252</v>
      </c>
      <c r="D2382" s="2" t="s">
        <v>2269</v>
      </c>
      <c r="E2382" s="3"/>
    </row>
    <row r="2383" spans="1:5" ht="24.75" customHeight="1">
      <c r="A2383" s="2">
        <v>2381</v>
      </c>
      <c r="B2383" s="2" t="str">
        <f>"卢旭"</f>
        <v>卢旭</v>
      </c>
      <c r="C2383" s="2" t="s">
        <v>2252</v>
      </c>
      <c r="D2383" s="2" t="s">
        <v>2270</v>
      </c>
      <c r="E2383" s="3"/>
    </row>
    <row r="2384" spans="1:5" ht="24.75" customHeight="1">
      <c r="A2384" s="2">
        <v>2382</v>
      </c>
      <c r="B2384" s="2" t="str">
        <f>"梁茜茜"</f>
        <v>梁茜茜</v>
      </c>
      <c r="C2384" s="2" t="s">
        <v>2252</v>
      </c>
      <c r="D2384" s="2" t="s">
        <v>750</v>
      </c>
      <c r="E2384" s="3"/>
    </row>
    <row r="2385" spans="1:5" ht="24.75" customHeight="1">
      <c r="A2385" s="2">
        <v>2383</v>
      </c>
      <c r="B2385" s="2" t="str">
        <f>"陈明鸿"</f>
        <v>陈明鸿</v>
      </c>
      <c r="C2385" s="2" t="s">
        <v>2252</v>
      </c>
      <c r="D2385" s="2" t="s">
        <v>2271</v>
      </c>
      <c r="E2385" s="3"/>
    </row>
    <row r="2386" spans="1:5" ht="24.75" customHeight="1">
      <c r="A2386" s="2">
        <v>2384</v>
      </c>
      <c r="B2386" s="2" t="str">
        <f>"占兴标"</f>
        <v>占兴标</v>
      </c>
      <c r="C2386" s="2" t="s">
        <v>2252</v>
      </c>
      <c r="D2386" s="2" t="s">
        <v>2272</v>
      </c>
      <c r="E2386" s="3"/>
    </row>
    <row r="2387" spans="1:5" ht="24.75" customHeight="1">
      <c r="A2387" s="2">
        <v>2385</v>
      </c>
      <c r="B2387" s="2" t="str">
        <f>"蔡笃栋"</f>
        <v>蔡笃栋</v>
      </c>
      <c r="C2387" s="2" t="s">
        <v>2252</v>
      </c>
      <c r="D2387" s="2" t="s">
        <v>2273</v>
      </c>
      <c r="E2387" s="3"/>
    </row>
    <row r="2388" spans="1:5" ht="24.75" customHeight="1">
      <c r="A2388" s="2">
        <v>2386</v>
      </c>
      <c r="B2388" s="2" t="str">
        <f>"杨大成"</f>
        <v>杨大成</v>
      </c>
      <c r="C2388" s="2" t="s">
        <v>2252</v>
      </c>
      <c r="D2388" s="2" t="s">
        <v>2274</v>
      </c>
      <c r="E2388" s="3"/>
    </row>
    <row r="2389" spans="1:5" ht="24.75" customHeight="1">
      <c r="A2389" s="2">
        <v>2387</v>
      </c>
      <c r="B2389" s="2" t="str">
        <f>"李松键"</f>
        <v>李松键</v>
      </c>
      <c r="C2389" s="2" t="s">
        <v>2252</v>
      </c>
      <c r="D2389" s="2" t="s">
        <v>2275</v>
      </c>
      <c r="E2389" s="3"/>
    </row>
    <row r="2390" spans="1:5" ht="24.75" customHeight="1">
      <c r="A2390" s="2">
        <v>2388</v>
      </c>
      <c r="B2390" s="2" t="str">
        <f>"吉秋原"</f>
        <v>吉秋原</v>
      </c>
      <c r="C2390" s="2" t="s">
        <v>2276</v>
      </c>
      <c r="D2390" s="2" t="s">
        <v>2277</v>
      </c>
      <c r="E2390" s="3"/>
    </row>
    <row r="2391" spans="1:5" ht="24.75" customHeight="1">
      <c r="A2391" s="2">
        <v>2389</v>
      </c>
      <c r="B2391" s="2" t="str">
        <f>"吴勉"</f>
        <v>吴勉</v>
      </c>
      <c r="C2391" s="2" t="s">
        <v>2276</v>
      </c>
      <c r="D2391" s="2" t="s">
        <v>2278</v>
      </c>
      <c r="E2391" s="3"/>
    </row>
    <row r="2392" spans="1:5" ht="24.75" customHeight="1">
      <c r="A2392" s="2">
        <v>2390</v>
      </c>
      <c r="B2392" s="2" t="str">
        <f>"陈明智"</f>
        <v>陈明智</v>
      </c>
      <c r="C2392" s="2" t="s">
        <v>2276</v>
      </c>
      <c r="D2392" s="2" t="s">
        <v>1599</v>
      </c>
      <c r="E2392" s="3"/>
    </row>
    <row r="2393" spans="1:5" ht="24.75" customHeight="1">
      <c r="A2393" s="2">
        <v>2391</v>
      </c>
      <c r="B2393" s="2" t="str">
        <f>"王琪"</f>
        <v>王琪</v>
      </c>
      <c r="C2393" s="2" t="s">
        <v>2276</v>
      </c>
      <c r="D2393" s="2" t="s">
        <v>2279</v>
      </c>
      <c r="E2393" s="3"/>
    </row>
    <row r="2394" spans="1:5" ht="24.75" customHeight="1">
      <c r="A2394" s="2">
        <v>2392</v>
      </c>
      <c r="B2394" s="2" t="str">
        <f>"李香香"</f>
        <v>李香香</v>
      </c>
      <c r="C2394" s="2" t="s">
        <v>2276</v>
      </c>
      <c r="D2394" s="2" t="s">
        <v>2280</v>
      </c>
      <c r="E2394" s="3"/>
    </row>
    <row r="2395" spans="1:5" ht="24.75" customHeight="1">
      <c r="A2395" s="2">
        <v>2393</v>
      </c>
      <c r="B2395" s="2" t="str">
        <f>"王秀菊"</f>
        <v>王秀菊</v>
      </c>
      <c r="C2395" s="2" t="s">
        <v>2276</v>
      </c>
      <c r="D2395" s="2" t="s">
        <v>704</v>
      </c>
      <c r="E2395" s="3"/>
    </row>
    <row r="2396" spans="1:5" ht="24.75" customHeight="1">
      <c r="A2396" s="2">
        <v>2394</v>
      </c>
      <c r="B2396" s="2" t="str">
        <f>"王家庚"</f>
        <v>王家庚</v>
      </c>
      <c r="C2396" s="2" t="s">
        <v>2276</v>
      </c>
      <c r="D2396" s="2" t="s">
        <v>2281</v>
      </c>
      <c r="E2396" s="3"/>
    </row>
    <row r="2397" spans="1:5" ht="24.75" customHeight="1">
      <c r="A2397" s="2">
        <v>2395</v>
      </c>
      <c r="B2397" s="2" t="str">
        <f>"肖万立"</f>
        <v>肖万立</v>
      </c>
      <c r="C2397" s="2" t="s">
        <v>2276</v>
      </c>
      <c r="D2397" s="2" t="s">
        <v>552</v>
      </c>
      <c r="E2397" s="3"/>
    </row>
    <row r="2398" spans="1:5" ht="24.75" customHeight="1">
      <c r="A2398" s="2">
        <v>2396</v>
      </c>
      <c r="B2398" s="2" t="str">
        <f>"金航羽"</f>
        <v>金航羽</v>
      </c>
      <c r="C2398" s="2" t="s">
        <v>2276</v>
      </c>
      <c r="D2398" s="2" t="s">
        <v>2282</v>
      </c>
      <c r="E2398" s="3"/>
    </row>
    <row r="2399" spans="1:5" ht="24.75" customHeight="1">
      <c r="A2399" s="2">
        <v>2397</v>
      </c>
      <c r="B2399" s="2" t="str">
        <f>"周慧君"</f>
        <v>周慧君</v>
      </c>
      <c r="C2399" s="2" t="s">
        <v>2276</v>
      </c>
      <c r="D2399" s="2" t="s">
        <v>2283</v>
      </c>
      <c r="E2399" s="3"/>
    </row>
    <row r="2400" spans="1:5" ht="24.75" customHeight="1">
      <c r="A2400" s="2">
        <v>2398</v>
      </c>
      <c r="B2400" s="2" t="str">
        <f>"陈大锦"</f>
        <v>陈大锦</v>
      </c>
      <c r="C2400" s="2" t="s">
        <v>2276</v>
      </c>
      <c r="D2400" s="2" t="s">
        <v>2284</v>
      </c>
      <c r="E2400" s="3"/>
    </row>
    <row r="2401" spans="1:5" ht="24.75" customHeight="1">
      <c r="A2401" s="2">
        <v>2399</v>
      </c>
      <c r="B2401" s="2" t="str">
        <f>"郭绍远"</f>
        <v>郭绍远</v>
      </c>
      <c r="C2401" s="2" t="s">
        <v>2276</v>
      </c>
      <c r="D2401" s="2" t="s">
        <v>2285</v>
      </c>
      <c r="E2401" s="3"/>
    </row>
    <row r="2402" spans="1:5" ht="24.75" customHeight="1">
      <c r="A2402" s="2">
        <v>2400</v>
      </c>
      <c r="B2402" s="2" t="str">
        <f>"陈清云"</f>
        <v>陈清云</v>
      </c>
      <c r="C2402" s="2" t="s">
        <v>2276</v>
      </c>
      <c r="D2402" s="2" t="s">
        <v>2286</v>
      </c>
      <c r="E2402" s="3"/>
    </row>
    <row r="2403" spans="1:5" ht="24.75" customHeight="1">
      <c r="A2403" s="2">
        <v>2401</v>
      </c>
      <c r="B2403" s="2" t="str">
        <f>"廖淑娟"</f>
        <v>廖淑娟</v>
      </c>
      <c r="C2403" s="2" t="s">
        <v>2276</v>
      </c>
      <c r="D2403" s="2" t="s">
        <v>2287</v>
      </c>
      <c r="E2403" s="3"/>
    </row>
    <row r="2404" spans="1:5" ht="24.75" customHeight="1">
      <c r="A2404" s="2">
        <v>2402</v>
      </c>
      <c r="B2404" s="2" t="str">
        <f>"吴彩云"</f>
        <v>吴彩云</v>
      </c>
      <c r="C2404" s="2" t="s">
        <v>2276</v>
      </c>
      <c r="D2404" s="2" t="s">
        <v>2288</v>
      </c>
      <c r="E2404" s="3"/>
    </row>
    <row r="2405" spans="1:5" ht="24.75" customHeight="1">
      <c r="A2405" s="2">
        <v>2403</v>
      </c>
      <c r="B2405" s="2" t="str">
        <f>"吴丽"</f>
        <v>吴丽</v>
      </c>
      <c r="C2405" s="2" t="s">
        <v>2276</v>
      </c>
      <c r="D2405" s="2" t="s">
        <v>2289</v>
      </c>
      <c r="E2405" s="3"/>
    </row>
    <row r="2406" spans="1:5" ht="24.75" customHeight="1">
      <c r="A2406" s="2">
        <v>2404</v>
      </c>
      <c r="B2406" s="2" t="str">
        <f>"王雲"</f>
        <v>王雲</v>
      </c>
      <c r="C2406" s="2" t="s">
        <v>2276</v>
      </c>
      <c r="D2406" s="2" t="s">
        <v>2290</v>
      </c>
      <c r="E2406" s="3"/>
    </row>
    <row r="2407" spans="1:5" ht="24.75" customHeight="1">
      <c r="A2407" s="2">
        <v>2405</v>
      </c>
      <c r="B2407" s="2" t="str">
        <f>"李婷婷"</f>
        <v>李婷婷</v>
      </c>
      <c r="C2407" s="2" t="s">
        <v>2276</v>
      </c>
      <c r="D2407" s="2" t="s">
        <v>2291</v>
      </c>
      <c r="E2407" s="3"/>
    </row>
    <row r="2408" spans="1:5" ht="24.75" customHeight="1">
      <c r="A2408" s="2">
        <v>2406</v>
      </c>
      <c r="B2408" s="2" t="str">
        <f>"周宁"</f>
        <v>周宁</v>
      </c>
      <c r="C2408" s="2" t="s">
        <v>2276</v>
      </c>
      <c r="D2408" s="2" t="s">
        <v>331</v>
      </c>
      <c r="E2408" s="3"/>
    </row>
    <row r="2409" spans="1:5" ht="24.75" customHeight="1">
      <c r="A2409" s="2">
        <v>2407</v>
      </c>
      <c r="B2409" s="2" t="str">
        <f>"王淑莺"</f>
        <v>王淑莺</v>
      </c>
      <c r="C2409" s="2" t="s">
        <v>2276</v>
      </c>
      <c r="D2409" s="2" t="s">
        <v>2292</v>
      </c>
      <c r="E2409" s="3"/>
    </row>
    <row r="2410" spans="1:5" ht="24.75" customHeight="1">
      <c r="A2410" s="2">
        <v>2408</v>
      </c>
      <c r="B2410" s="2" t="str">
        <f>"李茂源"</f>
        <v>李茂源</v>
      </c>
      <c r="C2410" s="2" t="s">
        <v>2276</v>
      </c>
      <c r="D2410" s="2" t="s">
        <v>2293</v>
      </c>
      <c r="E2410" s="3"/>
    </row>
    <row r="2411" spans="1:5" ht="24.75" customHeight="1">
      <c r="A2411" s="2">
        <v>2409</v>
      </c>
      <c r="B2411" s="2" t="str">
        <f>"危映錡"</f>
        <v>危映錡</v>
      </c>
      <c r="C2411" s="2" t="s">
        <v>2276</v>
      </c>
      <c r="D2411" s="2" t="s">
        <v>402</v>
      </c>
      <c r="E2411" s="3"/>
    </row>
    <row r="2412" spans="1:5" ht="24.75" customHeight="1">
      <c r="A2412" s="2">
        <v>2410</v>
      </c>
      <c r="B2412" s="2" t="str">
        <f>"王彩霞"</f>
        <v>王彩霞</v>
      </c>
      <c r="C2412" s="2" t="s">
        <v>2276</v>
      </c>
      <c r="D2412" s="2" t="s">
        <v>119</v>
      </c>
      <c r="E2412" s="3"/>
    </row>
    <row r="2413" spans="1:5" ht="24.75" customHeight="1">
      <c r="A2413" s="2">
        <v>2411</v>
      </c>
      <c r="B2413" s="2" t="str">
        <f>"杜向瑜"</f>
        <v>杜向瑜</v>
      </c>
      <c r="C2413" s="2" t="s">
        <v>2276</v>
      </c>
      <c r="D2413" s="2" t="s">
        <v>2294</v>
      </c>
      <c r="E2413" s="3"/>
    </row>
    <row r="2414" spans="1:5" ht="24.75" customHeight="1">
      <c r="A2414" s="2">
        <v>2412</v>
      </c>
      <c r="B2414" s="2" t="str">
        <f>"吴愉"</f>
        <v>吴愉</v>
      </c>
      <c r="C2414" s="2" t="s">
        <v>2276</v>
      </c>
      <c r="D2414" s="2" t="s">
        <v>2295</v>
      </c>
      <c r="E2414" s="3"/>
    </row>
    <row r="2415" spans="1:5" ht="24.75" customHeight="1">
      <c r="A2415" s="2">
        <v>2413</v>
      </c>
      <c r="B2415" s="2" t="str">
        <f>"林婕"</f>
        <v>林婕</v>
      </c>
      <c r="C2415" s="2" t="s">
        <v>2276</v>
      </c>
      <c r="D2415" s="2" t="s">
        <v>2296</v>
      </c>
      <c r="E2415" s="3"/>
    </row>
    <row r="2416" spans="1:5" ht="24.75" customHeight="1">
      <c r="A2416" s="2">
        <v>2414</v>
      </c>
      <c r="B2416" s="2" t="str">
        <f>"谭方霞"</f>
        <v>谭方霞</v>
      </c>
      <c r="C2416" s="2" t="s">
        <v>2276</v>
      </c>
      <c r="D2416" s="2" t="s">
        <v>2297</v>
      </c>
      <c r="E2416" s="3"/>
    </row>
    <row r="2417" spans="1:5" ht="24.75" customHeight="1">
      <c r="A2417" s="2">
        <v>2415</v>
      </c>
      <c r="B2417" s="2" t="str">
        <f>"刘学明"</f>
        <v>刘学明</v>
      </c>
      <c r="C2417" s="2" t="s">
        <v>2276</v>
      </c>
      <c r="D2417" s="2" t="s">
        <v>1095</v>
      </c>
      <c r="E2417" s="3"/>
    </row>
    <row r="2418" spans="1:5" ht="24.75" customHeight="1">
      <c r="A2418" s="2">
        <v>2416</v>
      </c>
      <c r="B2418" s="2" t="str">
        <f>"朱敏"</f>
        <v>朱敏</v>
      </c>
      <c r="C2418" s="2" t="s">
        <v>2276</v>
      </c>
      <c r="D2418" s="2" t="s">
        <v>2298</v>
      </c>
      <c r="E2418" s="3"/>
    </row>
    <row r="2419" spans="1:5" ht="24.75" customHeight="1">
      <c r="A2419" s="2">
        <v>2417</v>
      </c>
      <c r="B2419" s="2" t="str">
        <f>"梁能能"</f>
        <v>梁能能</v>
      </c>
      <c r="C2419" s="2" t="s">
        <v>2276</v>
      </c>
      <c r="D2419" s="2" t="s">
        <v>954</v>
      </c>
      <c r="E2419" s="3"/>
    </row>
    <row r="2420" spans="1:5" ht="24.75" customHeight="1">
      <c r="A2420" s="2">
        <v>2418</v>
      </c>
      <c r="B2420" s="2" t="str">
        <f>"吴海桂"</f>
        <v>吴海桂</v>
      </c>
      <c r="C2420" s="2" t="s">
        <v>2276</v>
      </c>
      <c r="D2420" s="2" t="s">
        <v>2299</v>
      </c>
      <c r="E2420" s="3"/>
    </row>
    <row r="2421" spans="1:5" ht="24.75" customHeight="1">
      <c r="A2421" s="2">
        <v>2419</v>
      </c>
      <c r="B2421" s="2" t="str">
        <f>"张文静"</f>
        <v>张文静</v>
      </c>
      <c r="C2421" s="2" t="s">
        <v>2276</v>
      </c>
      <c r="D2421" s="2" t="s">
        <v>2180</v>
      </c>
      <c r="E2421" s="3"/>
    </row>
    <row r="2422" spans="1:5" ht="24.75" customHeight="1">
      <c r="A2422" s="2">
        <v>2420</v>
      </c>
      <c r="B2422" s="2" t="str">
        <f>"陈慧玲"</f>
        <v>陈慧玲</v>
      </c>
      <c r="C2422" s="2" t="s">
        <v>2276</v>
      </c>
      <c r="D2422" s="2" t="s">
        <v>2300</v>
      </c>
      <c r="E2422" s="3"/>
    </row>
    <row r="2423" spans="1:5" ht="24.75" customHeight="1">
      <c r="A2423" s="2">
        <v>2421</v>
      </c>
      <c r="B2423" s="2" t="str">
        <f>"陈强"</f>
        <v>陈强</v>
      </c>
      <c r="C2423" s="2" t="s">
        <v>2276</v>
      </c>
      <c r="D2423" s="2" t="s">
        <v>2301</v>
      </c>
      <c r="E2423" s="3"/>
    </row>
    <row r="2424" spans="1:5" ht="24.75" customHeight="1">
      <c r="A2424" s="2">
        <v>2422</v>
      </c>
      <c r="B2424" s="2" t="str">
        <f>"洪敏"</f>
        <v>洪敏</v>
      </c>
      <c r="C2424" s="2" t="s">
        <v>2276</v>
      </c>
      <c r="D2424" s="2" t="s">
        <v>2302</v>
      </c>
      <c r="E2424" s="3"/>
    </row>
    <row r="2425" spans="1:5" ht="24.75" customHeight="1">
      <c r="A2425" s="2">
        <v>2423</v>
      </c>
      <c r="B2425" s="2" t="str">
        <f>"王梓权"</f>
        <v>王梓权</v>
      </c>
      <c r="C2425" s="2" t="s">
        <v>2276</v>
      </c>
      <c r="D2425" s="2" t="s">
        <v>2303</v>
      </c>
      <c r="E2425" s="3"/>
    </row>
    <row r="2426" spans="1:5" ht="24.75" customHeight="1">
      <c r="A2426" s="2">
        <v>2424</v>
      </c>
      <c r="B2426" s="2" t="str">
        <f>"王亿真"</f>
        <v>王亿真</v>
      </c>
      <c r="C2426" s="2" t="s">
        <v>2276</v>
      </c>
      <c r="D2426" s="2" t="s">
        <v>2304</v>
      </c>
      <c r="E2426" s="3"/>
    </row>
    <row r="2427" spans="1:5" ht="24.75" customHeight="1">
      <c r="A2427" s="2">
        <v>2425</v>
      </c>
      <c r="B2427" s="2" t="str">
        <f>"陈奕标"</f>
        <v>陈奕标</v>
      </c>
      <c r="C2427" s="2" t="s">
        <v>2276</v>
      </c>
      <c r="D2427" s="2" t="s">
        <v>2305</v>
      </c>
      <c r="E2427" s="3"/>
    </row>
    <row r="2428" spans="1:5" ht="24.75" customHeight="1">
      <c r="A2428" s="2">
        <v>2426</v>
      </c>
      <c r="B2428" s="2" t="str">
        <f>"郭金仁"</f>
        <v>郭金仁</v>
      </c>
      <c r="C2428" s="2" t="s">
        <v>2276</v>
      </c>
      <c r="D2428" s="2" t="s">
        <v>2306</v>
      </c>
      <c r="E2428" s="3"/>
    </row>
    <row r="2429" spans="1:5" ht="24.75" customHeight="1">
      <c r="A2429" s="2">
        <v>2427</v>
      </c>
      <c r="B2429" s="2" t="str">
        <f>"黄彤"</f>
        <v>黄彤</v>
      </c>
      <c r="C2429" s="2" t="s">
        <v>2276</v>
      </c>
      <c r="D2429" s="2" t="s">
        <v>2307</v>
      </c>
      <c r="E2429" s="3"/>
    </row>
    <row r="2430" spans="1:5" ht="24.75" customHeight="1">
      <c r="A2430" s="2">
        <v>2428</v>
      </c>
      <c r="B2430" s="2" t="str">
        <f>"黄海引"</f>
        <v>黄海引</v>
      </c>
      <c r="C2430" s="2" t="s">
        <v>2276</v>
      </c>
      <c r="D2430" s="2" t="s">
        <v>2308</v>
      </c>
      <c r="E2430" s="3"/>
    </row>
    <row r="2431" spans="1:5" ht="24.75" customHeight="1">
      <c r="A2431" s="2">
        <v>2429</v>
      </c>
      <c r="B2431" s="2" t="str">
        <f>"廖苑彤"</f>
        <v>廖苑彤</v>
      </c>
      <c r="C2431" s="2" t="s">
        <v>2276</v>
      </c>
      <c r="D2431" s="2" t="s">
        <v>2309</v>
      </c>
      <c r="E2431" s="3"/>
    </row>
    <row r="2432" spans="1:5" ht="24.75" customHeight="1">
      <c r="A2432" s="2">
        <v>2430</v>
      </c>
      <c r="B2432" s="2" t="str">
        <f>"黄英灵"</f>
        <v>黄英灵</v>
      </c>
      <c r="C2432" s="2" t="s">
        <v>2276</v>
      </c>
      <c r="D2432" s="2" t="s">
        <v>2310</v>
      </c>
      <c r="E2432" s="3"/>
    </row>
    <row r="2433" spans="1:5" ht="24.75" customHeight="1">
      <c r="A2433" s="2">
        <v>2431</v>
      </c>
      <c r="B2433" s="2" t="str">
        <f>"王家美"</f>
        <v>王家美</v>
      </c>
      <c r="C2433" s="2" t="s">
        <v>2276</v>
      </c>
      <c r="D2433" s="2" t="s">
        <v>2311</v>
      </c>
      <c r="E2433" s="3"/>
    </row>
    <row r="2434" spans="1:5" ht="24.75" customHeight="1">
      <c r="A2434" s="2">
        <v>2432</v>
      </c>
      <c r="B2434" s="2" t="str">
        <f>"黄海静"</f>
        <v>黄海静</v>
      </c>
      <c r="C2434" s="2" t="s">
        <v>2276</v>
      </c>
      <c r="D2434" s="2" t="s">
        <v>2312</v>
      </c>
      <c r="E2434" s="3"/>
    </row>
    <row r="2435" spans="1:5" ht="24.75" customHeight="1">
      <c r="A2435" s="2">
        <v>2433</v>
      </c>
      <c r="B2435" s="2" t="str">
        <f>"潘美娘"</f>
        <v>潘美娘</v>
      </c>
      <c r="C2435" s="2" t="s">
        <v>2276</v>
      </c>
      <c r="D2435" s="2" t="s">
        <v>1990</v>
      </c>
      <c r="E2435" s="3"/>
    </row>
    <row r="2436" spans="1:5" ht="24.75" customHeight="1">
      <c r="A2436" s="2">
        <v>2434</v>
      </c>
      <c r="B2436" s="2" t="str">
        <f>"林冬"</f>
        <v>林冬</v>
      </c>
      <c r="C2436" s="2" t="s">
        <v>2276</v>
      </c>
      <c r="D2436" s="2" t="s">
        <v>587</v>
      </c>
      <c r="E2436" s="3"/>
    </row>
    <row r="2437" spans="1:5" ht="24.75" customHeight="1">
      <c r="A2437" s="2">
        <v>2435</v>
      </c>
      <c r="B2437" s="2" t="str">
        <f>"蔡妃"</f>
        <v>蔡妃</v>
      </c>
      <c r="C2437" s="2" t="s">
        <v>2276</v>
      </c>
      <c r="D2437" s="2" t="s">
        <v>811</v>
      </c>
      <c r="E2437" s="3"/>
    </row>
    <row r="2438" spans="1:5" ht="24.75" customHeight="1">
      <c r="A2438" s="2">
        <v>2436</v>
      </c>
      <c r="B2438" s="2" t="str">
        <f>"吴长峰"</f>
        <v>吴长峰</v>
      </c>
      <c r="C2438" s="2" t="s">
        <v>2276</v>
      </c>
      <c r="D2438" s="2" t="s">
        <v>2313</v>
      </c>
      <c r="E2438" s="3"/>
    </row>
    <row r="2439" spans="1:5" ht="24.75" customHeight="1">
      <c r="A2439" s="2">
        <v>2437</v>
      </c>
      <c r="B2439" s="2" t="str">
        <f>"冯文思"</f>
        <v>冯文思</v>
      </c>
      <c r="C2439" s="2" t="s">
        <v>2276</v>
      </c>
      <c r="D2439" s="2" t="s">
        <v>2314</v>
      </c>
      <c r="E2439" s="3"/>
    </row>
    <row r="2440" spans="1:5" ht="24.75" customHeight="1">
      <c r="A2440" s="2">
        <v>2438</v>
      </c>
      <c r="B2440" s="2" t="str">
        <f>"朱声泽"</f>
        <v>朱声泽</v>
      </c>
      <c r="C2440" s="2" t="s">
        <v>2276</v>
      </c>
      <c r="D2440" s="2" t="s">
        <v>2315</v>
      </c>
      <c r="E2440" s="3"/>
    </row>
    <row r="2441" spans="1:5" ht="24.75" customHeight="1">
      <c r="A2441" s="2">
        <v>2439</v>
      </c>
      <c r="B2441" s="2" t="str">
        <f>"黄薇"</f>
        <v>黄薇</v>
      </c>
      <c r="C2441" s="2" t="s">
        <v>2276</v>
      </c>
      <c r="D2441" s="2" t="s">
        <v>2316</v>
      </c>
      <c r="E2441" s="3"/>
    </row>
    <row r="2442" spans="1:5" ht="24.75" customHeight="1">
      <c r="A2442" s="2">
        <v>2440</v>
      </c>
      <c r="B2442" s="2" t="str">
        <f>"陈虹羽"</f>
        <v>陈虹羽</v>
      </c>
      <c r="C2442" s="2" t="s">
        <v>2276</v>
      </c>
      <c r="D2442" s="2" t="s">
        <v>2317</v>
      </c>
      <c r="E2442" s="3"/>
    </row>
    <row r="2443" spans="1:5" ht="24.75" customHeight="1">
      <c r="A2443" s="2">
        <v>2441</v>
      </c>
      <c r="B2443" s="2" t="str">
        <f>"李选丽"</f>
        <v>李选丽</v>
      </c>
      <c r="C2443" s="2" t="s">
        <v>2276</v>
      </c>
      <c r="D2443" s="2" t="s">
        <v>2318</v>
      </c>
      <c r="E2443" s="3"/>
    </row>
    <row r="2444" spans="1:5" ht="24.75" customHeight="1">
      <c r="A2444" s="2">
        <v>2442</v>
      </c>
      <c r="B2444" s="2" t="str">
        <f>"苏定胶"</f>
        <v>苏定胶</v>
      </c>
      <c r="C2444" s="2" t="s">
        <v>2276</v>
      </c>
      <c r="D2444" s="2" t="s">
        <v>253</v>
      </c>
      <c r="E2444" s="3"/>
    </row>
    <row r="2445" spans="1:5" ht="24.75" customHeight="1">
      <c r="A2445" s="2">
        <v>2443</v>
      </c>
      <c r="B2445" s="2" t="str">
        <f>"吉亚梅"</f>
        <v>吉亚梅</v>
      </c>
      <c r="C2445" s="2" t="s">
        <v>2276</v>
      </c>
      <c r="D2445" s="2" t="s">
        <v>2319</v>
      </c>
      <c r="E2445" s="3"/>
    </row>
    <row r="2446" spans="1:5" ht="24.75" customHeight="1">
      <c r="A2446" s="2">
        <v>2444</v>
      </c>
      <c r="B2446" s="2" t="str">
        <f>"黄荷格"</f>
        <v>黄荷格</v>
      </c>
      <c r="C2446" s="2" t="s">
        <v>2276</v>
      </c>
      <c r="D2446" s="2" t="s">
        <v>2320</v>
      </c>
      <c r="E2446" s="3"/>
    </row>
    <row r="2447" spans="1:5" ht="24.75" customHeight="1">
      <c r="A2447" s="2">
        <v>2445</v>
      </c>
      <c r="B2447" s="2" t="str">
        <f>"陈芬"</f>
        <v>陈芬</v>
      </c>
      <c r="C2447" s="2" t="s">
        <v>2276</v>
      </c>
      <c r="D2447" s="2" t="s">
        <v>2321</v>
      </c>
      <c r="E2447" s="3"/>
    </row>
    <row r="2448" spans="1:5" ht="24.75" customHeight="1">
      <c r="A2448" s="2">
        <v>2446</v>
      </c>
      <c r="B2448" s="2" t="str">
        <f>"温镇宇"</f>
        <v>温镇宇</v>
      </c>
      <c r="C2448" s="2" t="s">
        <v>2276</v>
      </c>
      <c r="D2448" s="2" t="s">
        <v>1226</v>
      </c>
      <c r="E2448" s="3"/>
    </row>
    <row r="2449" spans="1:5" ht="24.75" customHeight="1">
      <c r="A2449" s="2">
        <v>2447</v>
      </c>
      <c r="B2449" s="2" t="str">
        <f>"陈跃"</f>
        <v>陈跃</v>
      </c>
      <c r="C2449" s="2" t="s">
        <v>2276</v>
      </c>
      <c r="D2449" s="2" t="s">
        <v>2322</v>
      </c>
      <c r="E2449" s="3"/>
    </row>
    <row r="2450" spans="1:5" ht="24.75" customHeight="1">
      <c r="A2450" s="2">
        <v>2448</v>
      </c>
      <c r="B2450" s="2" t="str">
        <f>"符春慧"</f>
        <v>符春慧</v>
      </c>
      <c r="C2450" s="2" t="s">
        <v>2276</v>
      </c>
      <c r="D2450" s="2" t="s">
        <v>2323</v>
      </c>
      <c r="E2450" s="3"/>
    </row>
    <row r="2451" spans="1:5" ht="24.75" customHeight="1">
      <c r="A2451" s="2">
        <v>2449</v>
      </c>
      <c r="B2451" s="2" t="str">
        <f>"李昌衡"</f>
        <v>李昌衡</v>
      </c>
      <c r="C2451" s="2" t="s">
        <v>2276</v>
      </c>
      <c r="D2451" s="2" t="s">
        <v>2324</v>
      </c>
      <c r="E2451" s="3"/>
    </row>
    <row r="2452" spans="1:5" ht="24.75" customHeight="1">
      <c r="A2452" s="2">
        <v>2450</v>
      </c>
      <c r="B2452" s="2" t="str">
        <f>"陈月"</f>
        <v>陈月</v>
      </c>
      <c r="C2452" s="2" t="s">
        <v>2276</v>
      </c>
      <c r="D2452" s="2" t="s">
        <v>780</v>
      </c>
      <c r="E2452" s="3"/>
    </row>
    <row r="2453" spans="1:5" ht="24.75" customHeight="1">
      <c r="A2453" s="2">
        <v>2451</v>
      </c>
      <c r="B2453" s="2" t="str">
        <f>"颜为祥"</f>
        <v>颜为祥</v>
      </c>
      <c r="C2453" s="2" t="s">
        <v>2276</v>
      </c>
      <c r="D2453" s="2" t="s">
        <v>2325</v>
      </c>
      <c r="E2453" s="3"/>
    </row>
    <row r="2454" spans="1:5" ht="24.75" customHeight="1">
      <c r="A2454" s="2">
        <v>2452</v>
      </c>
      <c r="B2454" s="2" t="str">
        <f>"黄钰"</f>
        <v>黄钰</v>
      </c>
      <c r="C2454" s="2" t="s">
        <v>2276</v>
      </c>
      <c r="D2454" s="2" t="s">
        <v>2326</v>
      </c>
      <c r="E2454" s="3"/>
    </row>
    <row r="2455" spans="1:5" ht="24.75" customHeight="1">
      <c r="A2455" s="2">
        <v>2453</v>
      </c>
      <c r="B2455" s="2" t="str">
        <f>"钟有鑫"</f>
        <v>钟有鑫</v>
      </c>
      <c r="C2455" s="2" t="s">
        <v>2276</v>
      </c>
      <c r="D2455" s="2" t="s">
        <v>657</v>
      </c>
      <c r="E2455" s="3"/>
    </row>
    <row r="2456" spans="1:5" ht="24.75" customHeight="1">
      <c r="A2456" s="2">
        <v>2454</v>
      </c>
      <c r="B2456" s="2" t="str">
        <f>"姜虹"</f>
        <v>姜虹</v>
      </c>
      <c r="C2456" s="2" t="s">
        <v>2276</v>
      </c>
      <c r="D2456" s="2" t="s">
        <v>2327</v>
      </c>
      <c r="E2456" s="3"/>
    </row>
    <row r="2457" spans="1:5" ht="24.75" customHeight="1">
      <c r="A2457" s="2">
        <v>2455</v>
      </c>
      <c r="B2457" s="2" t="str">
        <f>"王品熙"</f>
        <v>王品熙</v>
      </c>
      <c r="C2457" s="2" t="s">
        <v>2276</v>
      </c>
      <c r="D2457" s="2" t="s">
        <v>1373</v>
      </c>
      <c r="E2457" s="3"/>
    </row>
    <row r="2458" spans="1:5" ht="24.75" customHeight="1">
      <c r="A2458" s="2">
        <v>2456</v>
      </c>
      <c r="B2458" s="2" t="str">
        <f>"陈镜伊"</f>
        <v>陈镜伊</v>
      </c>
      <c r="C2458" s="2" t="s">
        <v>2276</v>
      </c>
      <c r="D2458" s="2" t="s">
        <v>2328</v>
      </c>
      <c r="E2458" s="3"/>
    </row>
    <row r="2459" spans="1:5" ht="24.75" customHeight="1">
      <c r="A2459" s="2">
        <v>2457</v>
      </c>
      <c r="B2459" s="2" t="str">
        <f>"彭恋"</f>
        <v>彭恋</v>
      </c>
      <c r="C2459" s="2" t="s">
        <v>2276</v>
      </c>
      <c r="D2459" s="2" t="s">
        <v>2329</v>
      </c>
      <c r="E2459" s="3"/>
    </row>
    <row r="2460" spans="1:5" ht="24.75" customHeight="1">
      <c r="A2460" s="2">
        <v>2458</v>
      </c>
      <c r="B2460" s="2" t="str">
        <f>"黄翠虹"</f>
        <v>黄翠虹</v>
      </c>
      <c r="C2460" s="2" t="s">
        <v>2276</v>
      </c>
      <c r="D2460" s="2" t="s">
        <v>2330</v>
      </c>
      <c r="E2460" s="3"/>
    </row>
    <row r="2461" spans="1:5" ht="24.75" customHeight="1">
      <c r="A2461" s="2">
        <v>2459</v>
      </c>
      <c r="B2461" s="2" t="str">
        <f>"吴祖禧"</f>
        <v>吴祖禧</v>
      </c>
      <c r="C2461" s="2" t="s">
        <v>2276</v>
      </c>
      <c r="D2461" s="2" t="s">
        <v>1226</v>
      </c>
      <c r="E2461" s="3"/>
    </row>
    <row r="2462" spans="1:5" ht="24.75" customHeight="1">
      <c r="A2462" s="2">
        <v>2460</v>
      </c>
      <c r="B2462" s="2" t="str">
        <f>"王春娇"</f>
        <v>王春娇</v>
      </c>
      <c r="C2462" s="2" t="s">
        <v>2276</v>
      </c>
      <c r="D2462" s="2" t="s">
        <v>2331</v>
      </c>
      <c r="E2462" s="3"/>
    </row>
    <row r="2463" spans="1:5" ht="24.75" customHeight="1">
      <c r="A2463" s="2">
        <v>2461</v>
      </c>
      <c r="B2463" s="2" t="str">
        <f>"唐于琏"</f>
        <v>唐于琏</v>
      </c>
      <c r="C2463" s="2" t="s">
        <v>2276</v>
      </c>
      <c r="D2463" s="2" t="s">
        <v>2332</v>
      </c>
      <c r="E2463" s="3"/>
    </row>
    <row r="2464" spans="1:5" ht="24.75" customHeight="1">
      <c r="A2464" s="2">
        <v>2462</v>
      </c>
      <c r="B2464" s="2" t="str">
        <f>"吴祖毓"</f>
        <v>吴祖毓</v>
      </c>
      <c r="C2464" s="2" t="s">
        <v>2276</v>
      </c>
      <c r="D2464" s="2" t="s">
        <v>2333</v>
      </c>
      <c r="E2464" s="3"/>
    </row>
    <row r="2465" spans="1:5" ht="24.75" customHeight="1">
      <c r="A2465" s="2">
        <v>2463</v>
      </c>
      <c r="B2465" s="2" t="str">
        <f>"苏敦起"</f>
        <v>苏敦起</v>
      </c>
      <c r="C2465" s="2" t="s">
        <v>2276</v>
      </c>
      <c r="D2465" s="2" t="s">
        <v>2334</v>
      </c>
      <c r="E2465" s="3"/>
    </row>
    <row r="2466" spans="1:5" ht="24.75" customHeight="1">
      <c r="A2466" s="2">
        <v>2464</v>
      </c>
      <c r="B2466" s="2" t="str">
        <f>"吕萱"</f>
        <v>吕萱</v>
      </c>
      <c r="C2466" s="2" t="s">
        <v>2276</v>
      </c>
      <c r="D2466" s="2" t="s">
        <v>2335</v>
      </c>
      <c r="E2466" s="3"/>
    </row>
    <row r="2467" spans="1:5" ht="24.75" customHeight="1">
      <c r="A2467" s="2">
        <v>2465</v>
      </c>
      <c r="B2467" s="2" t="str">
        <f>"符凯亮"</f>
        <v>符凯亮</v>
      </c>
      <c r="C2467" s="2" t="s">
        <v>2276</v>
      </c>
      <c r="D2467" s="2" t="s">
        <v>2336</v>
      </c>
      <c r="E2467" s="3"/>
    </row>
    <row r="2468" spans="1:5" ht="24.75" customHeight="1">
      <c r="A2468" s="2">
        <v>2466</v>
      </c>
      <c r="B2468" s="2" t="str">
        <f>"王林华"</f>
        <v>王林华</v>
      </c>
      <c r="C2468" s="2" t="s">
        <v>2276</v>
      </c>
      <c r="D2468" s="2" t="s">
        <v>2337</v>
      </c>
      <c r="E2468" s="3"/>
    </row>
    <row r="2469" spans="1:5" ht="24.75" customHeight="1">
      <c r="A2469" s="2">
        <v>2467</v>
      </c>
      <c r="B2469" s="2" t="str">
        <f>"张晋珲"</f>
        <v>张晋珲</v>
      </c>
      <c r="C2469" s="2" t="s">
        <v>2276</v>
      </c>
      <c r="D2469" s="2" t="s">
        <v>2338</v>
      </c>
      <c r="E2469" s="3"/>
    </row>
    <row r="2470" spans="1:5" ht="24.75" customHeight="1">
      <c r="A2470" s="2">
        <v>2468</v>
      </c>
      <c r="B2470" s="2" t="str">
        <f>"许艳环"</f>
        <v>许艳环</v>
      </c>
      <c r="C2470" s="2" t="s">
        <v>2276</v>
      </c>
      <c r="D2470" s="2" t="s">
        <v>2339</v>
      </c>
      <c r="E2470" s="3"/>
    </row>
    <row r="2471" spans="1:5" ht="24.75" customHeight="1">
      <c r="A2471" s="2">
        <v>2469</v>
      </c>
      <c r="B2471" s="2" t="str">
        <f>"冯惠"</f>
        <v>冯惠</v>
      </c>
      <c r="C2471" s="2" t="s">
        <v>2276</v>
      </c>
      <c r="D2471" s="2" t="s">
        <v>1042</v>
      </c>
      <c r="E2471" s="3"/>
    </row>
    <row r="2472" spans="1:5" ht="24.75" customHeight="1">
      <c r="A2472" s="2">
        <v>2470</v>
      </c>
      <c r="B2472" s="2" t="str">
        <f>"郑雯燕"</f>
        <v>郑雯燕</v>
      </c>
      <c r="C2472" s="2" t="s">
        <v>2276</v>
      </c>
      <c r="D2472" s="2" t="s">
        <v>2340</v>
      </c>
      <c r="E2472" s="3"/>
    </row>
    <row r="2473" spans="1:5" ht="24.75" customHeight="1">
      <c r="A2473" s="2">
        <v>2471</v>
      </c>
      <c r="B2473" s="2" t="str">
        <f>"蔡南虎"</f>
        <v>蔡南虎</v>
      </c>
      <c r="C2473" s="2" t="s">
        <v>2276</v>
      </c>
      <c r="D2473" s="2" t="s">
        <v>2341</v>
      </c>
      <c r="E2473" s="3"/>
    </row>
    <row r="2474" spans="1:5" ht="24.75" customHeight="1">
      <c r="A2474" s="2">
        <v>2472</v>
      </c>
      <c r="B2474" s="2" t="str">
        <f>"杨连玉"</f>
        <v>杨连玉</v>
      </c>
      <c r="C2474" s="2" t="s">
        <v>2276</v>
      </c>
      <c r="D2474" s="2" t="s">
        <v>2342</v>
      </c>
      <c r="E2474" s="3"/>
    </row>
    <row r="2475" spans="1:5" ht="24.75" customHeight="1">
      <c r="A2475" s="2">
        <v>2473</v>
      </c>
      <c r="B2475" s="2" t="str">
        <f>"劳晓杰"</f>
        <v>劳晓杰</v>
      </c>
      <c r="C2475" s="2" t="s">
        <v>2276</v>
      </c>
      <c r="D2475" s="2" t="s">
        <v>2343</v>
      </c>
      <c r="E2475" s="3"/>
    </row>
    <row r="2476" spans="1:5" ht="24.75" customHeight="1">
      <c r="A2476" s="2">
        <v>2474</v>
      </c>
      <c r="B2476" s="2" t="str">
        <f>"王锦丽"</f>
        <v>王锦丽</v>
      </c>
      <c r="C2476" s="2" t="s">
        <v>2276</v>
      </c>
      <c r="D2476" s="2" t="s">
        <v>2288</v>
      </c>
      <c r="E2476" s="3"/>
    </row>
    <row r="2477" spans="1:5" ht="24.75" customHeight="1">
      <c r="A2477" s="2">
        <v>2475</v>
      </c>
      <c r="B2477" s="2" t="str">
        <f>"吴昶瑾"</f>
        <v>吴昶瑾</v>
      </c>
      <c r="C2477" s="2" t="s">
        <v>2276</v>
      </c>
      <c r="D2477" s="2" t="s">
        <v>331</v>
      </c>
      <c r="E2477" s="3"/>
    </row>
    <row r="2478" spans="1:5" ht="24.75" customHeight="1">
      <c r="A2478" s="2">
        <v>2476</v>
      </c>
      <c r="B2478" s="2" t="str">
        <f>"王国精"</f>
        <v>王国精</v>
      </c>
      <c r="C2478" s="2" t="s">
        <v>2276</v>
      </c>
      <c r="D2478" s="2" t="s">
        <v>2344</v>
      </c>
      <c r="E2478" s="3"/>
    </row>
    <row r="2479" spans="1:5" ht="24.75" customHeight="1">
      <c r="A2479" s="2">
        <v>2477</v>
      </c>
      <c r="B2479" s="2" t="str">
        <f>"施雨纯"</f>
        <v>施雨纯</v>
      </c>
      <c r="C2479" s="2" t="s">
        <v>2276</v>
      </c>
      <c r="D2479" s="2" t="s">
        <v>2345</v>
      </c>
      <c r="E2479" s="3"/>
    </row>
    <row r="2480" spans="1:5" ht="24.75" customHeight="1">
      <c r="A2480" s="2">
        <v>2478</v>
      </c>
      <c r="B2480" s="2" t="str">
        <f>"黎桂柳"</f>
        <v>黎桂柳</v>
      </c>
      <c r="C2480" s="2" t="s">
        <v>2276</v>
      </c>
      <c r="D2480" s="2" t="s">
        <v>1431</v>
      </c>
      <c r="E2480" s="3"/>
    </row>
    <row r="2481" spans="1:5" ht="24.75" customHeight="1">
      <c r="A2481" s="2">
        <v>2479</v>
      </c>
      <c r="B2481" s="2" t="str">
        <f>"叶晟豪"</f>
        <v>叶晟豪</v>
      </c>
      <c r="C2481" s="2" t="s">
        <v>2276</v>
      </c>
      <c r="D2481" s="2" t="s">
        <v>2346</v>
      </c>
      <c r="E2481" s="3"/>
    </row>
    <row r="2482" spans="1:5" ht="24.75" customHeight="1">
      <c r="A2482" s="2">
        <v>2480</v>
      </c>
      <c r="B2482" s="2" t="str">
        <f>"刘管弦"</f>
        <v>刘管弦</v>
      </c>
      <c r="C2482" s="2" t="s">
        <v>2276</v>
      </c>
      <c r="D2482" s="2" t="s">
        <v>2347</v>
      </c>
      <c r="E2482" s="3"/>
    </row>
    <row r="2483" spans="1:5" ht="24.75" customHeight="1">
      <c r="A2483" s="2">
        <v>2481</v>
      </c>
      <c r="B2483" s="2" t="str">
        <f>"李娣滨"</f>
        <v>李娣滨</v>
      </c>
      <c r="C2483" s="2" t="s">
        <v>2276</v>
      </c>
      <c r="D2483" s="2" t="s">
        <v>2348</v>
      </c>
      <c r="E2483" s="3"/>
    </row>
    <row r="2484" spans="1:5" ht="24.75" customHeight="1">
      <c r="A2484" s="2">
        <v>2482</v>
      </c>
      <c r="B2484" s="2" t="str">
        <f>"莫祺"</f>
        <v>莫祺</v>
      </c>
      <c r="C2484" s="2" t="s">
        <v>2276</v>
      </c>
      <c r="D2484" s="2" t="s">
        <v>2349</v>
      </c>
      <c r="E2484" s="3"/>
    </row>
    <row r="2485" spans="1:5" ht="24.75" customHeight="1">
      <c r="A2485" s="2">
        <v>2483</v>
      </c>
      <c r="B2485" s="2" t="str">
        <f>"朱春燕"</f>
        <v>朱春燕</v>
      </c>
      <c r="C2485" s="2" t="s">
        <v>2276</v>
      </c>
      <c r="D2485" s="2" t="s">
        <v>2350</v>
      </c>
      <c r="E2485" s="3"/>
    </row>
    <row r="2486" spans="1:5" ht="24.75" customHeight="1">
      <c r="A2486" s="2">
        <v>2484</v>
      </c>
      <c r="B2486" s="2" t="str">
        <f>"钟若园"</f>
        <v>钟若园</v>
      </c>
      <c r="C2486" s="2" t="s">
        <v>2276</v>
      </c>
      <c r="D2486" s="2" t="s">
        <v>2351</v>
      </c>
      <c r="E2486" s="3"/>
    </row>
    <row r="2487" spans="1:5" ht="24.75" customHeight="1">
      <c r="A2487" s="2">
        <v>2485</v>
      </c>
      <c r="B2487" s="2" t="str">
        <f>"彭秀文"</f>
        <v>彭秀文</v>
      </c>
      <c r="C2487" s="2" t="s">
        <v>2276</v>
      </c>
      <c r="D2487" s="2" t="s">
        <v>2352</v>
      </c>
      <c r="E2487" s="3"/>
    </row>
    <row r="2488" spans="1:5" ht="24.75" customHeight="1">
      <c r="A2488" s="2">
        <v>2486</v>
      </c>
      <c r="B2488" s="2" t="str">
        <f>"詹行行"</f>
        <v>詹行行</v>
      </c>
      <c r="C2488" s="2" t="s">
        <v>2276</v>
      </c>
      <c r="D2488" s="2" t="s">
        <v>2353</v>
      </c>
      <c r="E2488" s="3"/>
    </row>
    <row r="2489" spans="1:5" ht="24.75" customHeight="1">
      <c r="A2489" s="2">
        <v>2487</v>
      </c>
      <c r="B2489" s="2" t="str">
        <f>"王献珏"</f>
        <v>王献珏</v>
      </c>
      <c r="C2489" s="2" t="s">
        <v>2276</v>
      </c>
      <c r="D2489" s="2" t="s">
        <v>2354</v>
      </c>
      <c r="E2489" s="3"/>
    </row>
    <row r="2490" spans="1:5" ht="24.75" customHeight="1">
      <c r="A2490" s="2">
        <v>2488</v>
      </c>
      <c r="B2490" s="2" t="str">
        <f>"吴诗彤"</f>
        <v>吴诗彤</v>
      </c>
      <c r="C2490" s="2" t="s">
        <v>2276</v>
      </c>
      <c r="D2490" s="2" t="s">
        <v>2355</v>
      </c>
      <c r="E2490" s="3"/>
    </row>
    <row r="2491" spans="1:5" ht="24.75" customHeight="1">
      <c r="A2491" s="2">
        <v>2489</v>
      </c>
      <c r="B2491" s="2" t="str">
        <f>"王艺"</f>
        <v>王艺</v>
      </c>
      <c r="C2491" s="2" t="s">
        <v>2276</v>
      </c>
      <c r="D2491" s="2" t="s">
        <v>2356</v>
      </c>
      <c r="E2491" s="3"/>
    </row>
    <row r="2492" spans="1:5" ht="24.75" customHeight="1">
      <c r="A2492" s="2">
        <v>2490</v>
      </c>
      <c r="B2492" s="2" t="str">
        <f>"卢穗蕊"</f>
        <v>卢穗蕊</v>
      </c>
      <c r="C2492" s="2" t="s">
        <v>2276</v>
      </c>
      <c r="D2492" s="2" t="s">
        <v>2357</v>
      </c>
      <c r="E2492" s="3"/>
    </row>
    <row r="2493" spans="1:5" ht="24.75" customHeight="1">
      <c r="A2493" s="2">
        <v>2491</v>
      </c>
      <c r="B2493" s="2" t="str">
        <f>"陈丽"</f>
        <v>陈丽</v>
      </c>
      <c r="C2493" s="2" t="s">
        <v>2276</v>
      </c>
      <c r="D2493" s="2" t="s">
        <v>2358</v>
      </c>
      <c r="E2493" s="3"/>
    </row>
    <row r="2494" spans="1:5" ht="24.75" customHeight="1">
      <c r="A2494" s="2">
        <v>2492</v>
      </c>
      <c r="B2494" s="2" t="str">
        <f>"朱小蕾"</f>
        <v>朱小蕾</v>
      </c>
      <c r="C2494" s="2" t="s">
        <v>2276</v>
      </c>
      <c r="D2494" s="2" t="s">
        <v>1789</v>
      </c>
      <c r="E2494" s="3"/>
    </row>
    <row r="2495" spans="1:5" ht="24.75" customHeight="1">
      <c r="A2495" s="2">
        <v>2493</v>
      </c>
      <c r="B2495" s="2" t="str">
        <f>"黎小倩"</f>
        <v>黎小倩</v>
      </c>
      <c r="C2495" s="2" t="s">
        <v>2276</v>
      </c>
      <c r="D2495" s="2" t="s">
        <v>2359</v>
      </c>
      <c r="E2495" s="3"/>
    </row>
    <row r="2496" spans="1:5" ht="24.75" customHeight="1">
      <c r="A2496" s="2">
        <v>2494</v>
      </c>
      <c r="B2496" s="2" t="str">
        <f>"吴虹谕"</f>
        <v>吴虹谕</v>
      </c>
      <c r="C2496" s="2" t="s">
        <v>2276</v>
      </c>
      <c r="D2496" s="2" t="s">
        <v>954</v>
      </c>
      <c r="E2496" s="3"/>
    </row>
    <row r="2497" spans="1:5" ht="24.75" customHeight="1">
      <c r="A2497" s="2">
        <v>2495</v>
      </c>
      <c r="B2497" s="2" t="str">
        <f>"陈美玲"</f>
        <v>陈美玲</v>
      </c>
      <c r="C2497" s="2" t="s">
        <v>2276</v>
      </c>
      <c r="D2497" s="2" t="s">
        <v>2360</v>
      </c>
      <c r="E2497" s="3"/>
    </row>
    <row r="2498" spans="1:5" ht="24.75" customHeight="1">
      <c r="A2498" s="2">
        <v>2496</v>
      </c>
      <c r="B2498" s="2" t="str">
        <f>"梁兆艳"</f>
        <v>梁兆艳</v>
      </c>
      <c r="C2498" s="2" t="s">
        <v>2276</v>
      </c>
      <c r="D2498" s="2" t="s">
        <v>2361</v>
      </c>
      <c r="E2498" s="3"/>
    </row>
    <row r="2499" spans="1:5" ht="24.75" customHeight="1">
      <c r="A2499" s="2">
        <v>2497</v>
      </c>
      <c r="B2499" s="2" t="str">
        <f>"符誉松"</f>
        <v>符誉松</v>
      </c>
      <c r="C2499" s="2" t="s">
        <v>2276</v>
      </c>
      <c r="D2499" s="2" t="s">
        <v>2362</v>
      </c>
      <c r="E2499" s="3"/>
    </row>
    <row r="2500" spans="1:5" ht="24.75" customHeight="1">
      <c r="A2500" s="2">
        <v>2498</v>
      </c>
      <c r="B2500" s="2" t="str">
        <f>"陈艺倩"</f>
        <v>陈艺倩</v>
      </c>
      <c r="C2500" s="2" t="s">
        <v>2276</v>
      </c>
      <c r="D2500" s="2" t="s">
        <v>1801</v>
      </c>
      <c r="E2500" s="3"/>
    </row>
    <row r="2501" spans="1:5" ht="24.75" customHeight="1">
      <c r="A2501" s="2">
        <v>2499</v>
      </c>
      <c r="B2501" s="2" t="str">
        <f>"黄小吟"</f>
        <v>黄小吟</v>
      </c>
      <c r="C2501" s="2" t="s">
        <v>2276</v>
      </c>
      <c r="D2501" s="2" t="s">
        <v>2363</v>
      </c>
      <c r="E2501" s="3"/>
    </row>
    <row r="2502" spans="1:5" ht="24.75" customHeight="1">
      <c r="A2502" s="2">
        <v>2500</v>
      </c>
      <c r="B2502" s="2" t="str">
        <f>"黄健峰"</f>
        <v>黄健峰</v>
      </c>
      <c r="C2502" s="2" t="s">
        <v>2276</v>
      </c>
      <c r="D2502" s="2" t="s">
        <v>2364</v>
      </c>
      <c r="E2502" s="3"/>
    </row>
    <row r="2503" spans="1:5" ht="24.75" customHeight="1">
      <c r="A2503" s="2">
        <v>2501</v>
      </c>
      <c r="B2503" s="2" t="str">
        <f>"梁杨柳"</f>
        <v>梁杨柳</v>
      </c>
      <c r="C2503" s="2" t="s">
        <v>2276</v>
      </c>
      <c r="D2503" s="2" t="s">
        <v>2365</v>
      </c>
      <c r="E2503" s="3"/>
    </row>
    <row r="2504" spans="1:5" ht="24.75" customHeight="1">
      <c r="A2504" s="2">
        <v>2502</v>
      </c>
      <c r="B2504" s="2" t="str">
        <f>"陈雪薇"</f>
        <v>陈雪薇</v>
      </c>
      <c r="C2504" s="2" t="s">
        <v>2276</v>
      </c>
      <c r="D2504" s="2" t="s">
        <v>2366</v>
      </c>
      <c r="E2504" s="3"/>
    </row>
    <row r="2505" spans="1:5" ht="24.75" customHeight="1">
      <c r="A2505" s="2">
        <v>2503</v>
      </c>
      <c r="B2505" s="2" t="str">
        <f>"吴富贤"</f>
        <v>吴富贤</v>
      </c>
      <c r="C2505" s="2" t="s">
        <v>2276</v>
      </c>
      <c r="D2505" s="2" t="s">
        <v>2367</v>
      </c>
      <c r="E2505" s="3"/>
    </row>
    <row r="2506" spans="1:5" ht="24.75" customHeight="1">
      <c r="A2506" s="2">
        <v>2504</v>
      </c>
      <c r="B2506" s="2" t="str">
        <f>"郭承增"</f>
        <v>郭承增</v>
      </c>
      <c r="C2506" s="2" t="s">
        <v>2276</v>
      </c>
      <c r="D2506" s="2" t="s">
        <v>710</v>
      </c>
      <c r="E2506" s="3"/>
    </row>
    <row r="2507" spans="1:5" ht="24.75" customHeight="1">
      <c r="A2507" s="2">
        <v>2505</v>
      </c>
      <c r="B2507" s="2" t="str">
        <f>"王滋辉"</f>
        <v>王滋辉</v>
      </c>
      <c r="C2507" s="2" t="s">
        <v>2276</v>
      </c>
      <c r="D2507" s="2" t="s">
        <v>2368</v>
      </c>
      <c r="E2507" s="3"/>
    </row>
    <row r="2508" spans="1:5" ht="24.75" customHeight="1">
      <c r="A2508" s="2">
        <v>2506</v>
      </c>
      <c r="B2508" s="2" t="str">
        <f>"蔡穗桥"</f>
        <v>蔡穗桥</v>
      </c>
      <c r="C2508" s="2" t="s">
        <v>2276</v>
      </c>
      <c r="D2508" s="2" t="s">
        <v>2369</v>
      </c>
      <c r="E2508" s="3"/>
    </row>
    <row r="2509" spans="1:5" ht="24.75" customHeight="1">
      <c r="A2509" s="2">
        <v>2507</v>
      </c>
      <c r="B2509" s="2" t="str">
        <f>"裴丽玥"</f>
        <v>裴丽玥</v>
      </c>
      <c r="C2509" s="2" t="s">
        <v>2276</v>
      </c>
      <c r="D2509" s="2" t="s">
        <v>2370</v>
      </c>
      <c r="E2509" s="3"/>
    </row>
    <row r="2510" spans="1:5" ht="24.75" customHeight="1">
      <c r="A2510" s="2">
        <v>2508</v>
      </c>
      <c r="B2510" s="2" t="str">
        <f>"陈瑞芮"</f>
        <v>陈瑞芮</v>
      </c>
      <c r="C2510" s="2" t="s">
        <v>2276</v>
      </c>
      <c r="D2510" s="2" t="s">
        <v>276</v>
      </c>
      <c r="E2510" s="3"/>
    </row>
    <row r="2511" spans="1:5" ht="24.75" customHeight="1">
      <c r="A2511" s="2">
        <v>2509</v>
      </c>
      <c r="B2511" s="2" t="str">
        <f>"钟静静"</f>
        <v>钟静静</v>
      </c>
      <c r="C2511" s="2" t="s">
        <v>2276</v>
      </c>
      <c r="D2511" s="2" t="s">
        <v>2371</v>
      </c>
      <c r="E2511" s="3"/>
    </row>
    <row r="2512" spans="1:5" ht="24.75" customHeight="1">
      <c r="A2512" s="2">
        <v>2510</v>
      </c>
      <c r="B2512" s="2" t="str">
        <f>"吴婧"</f>
        <v>吴婧</v>
      </c>
      <c r="C2512" s="2" t="s">
        <v>2276</v>
      </c>
      <c r="D2512" s="2" t="s">
        <v>2372</v>
      </c>
      <c r="E2512" s="3"/>
    </row>
    <row r="2513" spans="1:5" ht="24.75" customHeight="1">
      <c r="A2513" s="2">
        <v>2511</v>
      </c>
      <c r="B2513" s="2" t="str">
        <f>"柳艺"</f>
        <v>柳艺</v>
      </c>
      <c r="C2513" s="2" t="s">
        <v>2276</v>
      </c>
      <c r="D2513" s="2" t="s">
        <v>2314</v>
      </c>
      <c r="E2513" s="3"/>
    </row>
    <row r="2514" spans="1:5" ht="24.75" customHeight="1">
      <c r="A2514" s="2">
        <v>2512</v>
      </c>
      <c r="B2514" s="2" t="str">
        <f>"吴良清"</f>
        <v>吴良清</v>
      </c>
      <c r="C2514" s="2" t="s">
        <v>2276</v>
      </c>
      <c r="D2514" s="2" t="s">
        <v>2373</v>
      </c>
      <c r="E2514" s="3"/>
    </row>
    <row r="2515" spans="1:5" ht="24.75" customHeight="1">
      <c r="A2515" s="2">
        <v>2513</v>
      </c>
      <c r="B2515" s="2" t="str">
        <f>"陈永帅"</f>
        <v>陈永帅</v>
      </c>
      <c r="C2515" s="2" t="s">
        <v>2276</v>
      </c>
      <c r="D2515" s="2" t="s">
        <v>2374</v>
      </c>
      <c r="E2515" s="3"/>
    </row>
    <row r="2516" spans="1:5" ht="24.75" customHeight="1">
      <c r="A2516" s="2">
        <v>2514</v>
      </c>
      <c r="B2516" s="2" t="str">
        <f>"戴永晴"</f>
        <v>戴永晴</v>
      </c>
      <c r="C2516" s="2" t="s">
        <v>2276</v>
      </c>
      <c r="D2516" s="2" t="s">
        <v>2375</v>
      </c>
      <c r="E2516" s="3"/>
    </row>
    <row r="2517" spans="1:5" ht="24.75" customHeight="1">
      <c r="A2517" s="2">
        <v>2515</v>
      </c>
      <c r="B2517" s="2" t="str">
        <f>"邱婷婷"</f>
        <v>邱婷婷</v>
      </c>
      <c r="C2517" s="2" t="s">
        <v>2276</v>
      </c>
      <c r="D2517" s="2" t="s">
        <v>2376</v>
      </c>
      <c r="E2517" s="3"/>
    </row>
    <row r="2518" spans="1:5" ht="24.75" customHeight="1">
      <c r="A2518" s="2">
        <v>2516</v>
      </c>
      <c r="B2518" s="2" t="str">
        <f>"李丽"</f>
        <v>李丽</v>
      </c>
      <c r="C2518" s="2" t="s">
        <v>2276</v>
      </c>
      <c r="D2518" s="2" t="s">
        <v>2377</v>
      </c>
      <c r="E2518" s="3"/>
    </row>
    <row r="2519" spans="1:5" ht="24.75" customHeight="1">
      <c r="A2519" s="2">
        <v>2517</v>
      </c>
      <c r="B2519" s="2" t="str">
        <f>"江丽倩"</f>
        <v>江丽倩</v>
      </c>
      <c r="C2519" s="2" t="s">
        <v>2276</v>
      </c>
      <c r="D2519" s="2" t="s">
        <v>2378</v>
      </c>
      <c r="E2519" s="3"/>
    </row>
    <row r="2520" spans="1:5" ht="24.75" customHeight="1">
      <c r="A2520" s="2">
        <v>2518</v>
      </c>
      <c r="B2520" s="2" t="str">
        <f>"廖美漫"</f>
        <v>廖美漫</v>
      </c>
      <c r="C2520" s="2" t="s">
        <v>2276</v>
      </c>
      <c r="D2520" s="2" t="s">
        <v>2379</v>
      </c>
      <c r="E2520" s="3"/>
    </row>
    <row r="2521" spans="1:5" ht="24.75" customHeight="1">
      <c r="A2521" s="2">
        <v>2519</v>
      </c>
      <c r="B2521" s="2" t="str">
        <f>"符桐华"</f>
        <v>符桐华</v>
      </c>
      <c r="C2521" s="2" t="s">
        <v>2276</v>
      </c>
      <c r="D2521" s="2" t="s">
        <v>1344</v>
      </c>
      <c r="E2521" s="3"/>
    </row>
    <row r="2522" spans="1:5" ht="24.75" customHeight="1">
      <c r="A2522" s="2">
        <v>2520</v>
      </c>
      <c r="B2522" s="2" t="str">
        <f>"莫小婷"</f>
        <v>莫小婷</v>
      </c>
      <c r="C2522" s="2" t="s">
        <v>2276</v>
      </c>
      <c r="D2522" s="2" t="s">
        <v>2380</v>
      </c>
      <c r="E2522" s="3"/>
    </row>
    <row r="2523" spans="1:5" ht="24.75" customHeight="1">
      <c r="A2523" s="2">
        <v>2521</v>
      </c>
      <c r="B2523" s="2" t="str">
        <f>"王妮"</f>
        <v>王妮</v>
      </c>
      <c r="C2523" s="2" t="s">
        <v>2276</v>
      </c>
      <c r="D2523" s="2" t="s">
        <v>2381</v>
      </c>
      <c r="E2523" s="3"/>
    </row>
    <row r="2524" spans="1:5" ht="24.75" customHeight="1">
      <c r="A2524" s="2">
        <v>2522</v>
      </c>
      <c r="B2524" s="2" t="str">
        <f>"何奕颖"</f>
        <v>何奕颖</v>
      </c>
      <c r="C2524" s="2" t="s">
        <v>2276</v>
      </c>
      <c r="D2524" s="2" t="s">
        <v>2382</v>
      </c>
      <c r="E2524" s="3"/>
    </row>
    <row r="2525" spans="1:5" ht="24.75" customHeight="1">
      <c r="A2525" s="2">
        <v>2523</v>
      </c>
      <c r="B2525" s="2" t="str">
        <f>"张玥"</f>
        <v>张玥</v>
      </c>
      <c r="C2525" s="2" t="s">
        <v>2276</v>
      </c>
      <c r="D2525" s="2" t="s">
        <v>2383</v>
      </c>
      <c r="E2525" s="3"/>
    </row>
    <row r="2526" spans="1:5" ht="24.75" customHeight="1">
      <c r="A2526" s="2">
        <v>2524</v>
      </c>
      <c r="B2526" s="2" t="str">
        <f>"何倩雨"</f>
        <v>何倩雨</v>
      </c>
      <c r="C2526" s="2" t="s">
        <v>2276</v>
      </c>
      <c r="D2526" s="2" t="s">
        <v>278</v>
      </c>
      <c r="E2526" s="3"/>
    </row>
    <row r="2527" spans="1:5" ht="24.75" customHeight="1">
      <c r="A2527" s="2">
        <v>2525</v>
      </c>
      <c r="B2527" s="2" t="str">
        <f>"王峻"</f>
        <v>王峻</v>
      </c>
      <c r="C2527" s="2" t="s">
        <v>2276</v>
      </c>
      <c r="D2527" s="2" t="s">
        <v>2384</v>
      </c>
      <c r="E2527" s="3"/>
    </row>
    <row r="2528" spans="1:5" ht="24.75" customHeight="1">
      <c r="A2528" s="2">
        <v>2526</v>
      </c>
      <c r="B2528" s="2" t="str">
        <f>"杨琳"</f>
        <v>杨琳</v>
      </c>
      <c r="C2528" s="2" t="s">
        <v>2276</v>
      </c>
      <c r="D2528" s="2" t="s">
        <v>997</v>
      </c>
      <c r="E2528" s="3"/>
    </row>
    <row r="2529" spans="1:5" ht="24.75" customHeight="1">
      <c r="A2529" s="2">
        <v>2527</v>
      </c>
      <c r="B2529" s="2" t="str">
        <f>"吴琼芳"</f>
        <v>吴琼芳</v>
      </c>
      <c r="C2529" s="2" t="s">
        <v>2276</v>
      </c>
      <c r="D2529" s="2" t="s">
        <v>1299</v>
      </c>
      <c r="E2529" s="3"/>
    </row>
    <row r="2530" spans="1:5" ht="24.75" customHeight="1">
      <c r="A2530" s="2">
        <v>2528</v>
      </c>
      <c r="B2530" s="2" t="str">
        <f>"吴晓慧"</f>
        <v>吴晓慧</v>
      </c>
      <c r="C2530" s="2" t="s">
        <v>2276</v>
      </c>
      <c r="D2530" s="2" t="s">
        <v>2385</v>
      </c>
      <c r="E2530" s="3"/>
    </row>
    <row r="2531" spans="1:5" ht="24.75" customHeight="1">
      <c r="A2531" s="2">
        <v>2529</v>
      </c>
      <c r="B2531" s="2" t="str">
        <f>"王小燕"</f>
        <v>王小燕</v>
      </c>
      <c r="C2531" s="2" t="s">
        <v>2276</v>
      </c>
      <c r="D2531" s="2" t="s">
        <v>613</v>
      </c>
      <c r="E2531" s="3"/>
    </row>
    <row r="2532" spans="1:5" ht="24.75" customHeight="1">
      <c r="A2532" s="2">
        <v>2530</v>
      </c>
      <c r="B2532" s="2" t="str">
        <f>"潘虹"</f>
        <v>潘虹</v>
      </c>
      <c r="C2532" s="2" t="s">
        <v>2276</v>
      </c>
      <c r="D2532" s="2" t="s">
        <v>2386</v>
      </c>
      <c r="E2532" s="3"/>
    </row>
    <row r="2533" spans="1:5" ht="24.75" customHeight="1">
      <c r="A2533" s="2">
        <v>2531</v>
      </c>
      <c r="B2533" s="2" t="str">
        <f>"谢慧"</f>
        <v>谢慧</v>
      </c>
      <c r="C2533" s="2" t="s">
        <v>2387</v>
      </c>
      <c r="D2533" s="2" t="s">
        <v>2388</v>
      </c>
      <c r="E2533" s="3"/>
    </row>
    <row r="2534" spans="1:5" ht="24.75" customHeight="1">
      <c r="A2534" s="2">
        <v>2532</v>
      </c>
      <c r="B2534" s="2" t="str">
        <f>"王育仙"</f>
        <v>王育仙</v>
      </c>
      <c r="C2534" s="2" t="s">
        <v>2387</v>
      </c>
      <c r="D2534" s="2" t="s">
        <v>2389</v>
      </c>
      <c r="E2534" s="3"/>
    </row>
    <row r="2535" spans="1:5" ht="24.75" customHeight="1">
      <c r="A2535" s="2">
        <v>2533</v>
      </c>
      <c r="B2535" s="2" t="str">
        <f>"王欣蓉"</f>
        <v>王欣蓉</v>
      </c>
      <c r="C2535" s="2" t="s">
        <v>2387</v>
      </c>
      <c r="D2535" s="2" t="s">
        <v>2390</v>
      </c>
      <c r="E2535" s="3"/>
    </row>
    <row r="2536" spans="1:5" ht="24.75" customHeight="1">
      <c r="A2536" s="2">
        <v>2534</v>
      </c>
      <c r="B2536" s="2" t="str">
        <f>"艾呈熹"</f>
        <v>艾呈熹</v>
      </c>
      <c r="C2536" s="2" t="s">
        <v>2387</v>
      </c>
      <c r="D2536" s="2" t="s">
        <v>2391</v>
      </c>
      <c r="E2536" s="3"/>
    </row>
    <row r="2537" spans="1:5" ht="24.75" customHeight="1">
      <c r="A2537" s="2">
        <v>2535</v>
      </c>
      <c r="B2537" s="2" t="str">
        <f>"崔银发"</f>
        <v>崔银发</v>
      </c>
      <c r="C2537" s="2" t="s">
        <v>2387</v>
      </c>
      <c r="D2537" s="2" t="s">
        <v>2392</v>
      </c>
      <c r="E2537" s="3"/>
    </row>
    <row r="2538" spans="1:5" ht="24.75" customHeight="1">
      <c r="A2538" s="2">
        <v>2536</v>
      </c>
      <c r="B2538" s="2" t="str">
        <f>"陈荟妃"</f>
        <v>陈荟妃</v>
      </c>
      <c r="C2538" s="2" t="s">
        <v>2387</v>
      </c>
      <c r="D2538" s="2" t="s">
        <v>2393</v>
      </c>
      <c r="E2538" s="3"/>
    </row>
    <row r="2539" spans="1:5" ht="24.75" customHeight="1">
      <c r="A2539" s="2">
        <v>2537</v>
      </c>
      <c r="B2539" s="2" t="str">
        <f>"陈绵奋"</f>
        <v>陈绵奋</v>
      </c>
      <c r="C2539" s="2" t="s">
        <v>2387</v>
      </c>
      <c r="D2539" s="2" t="s">
        <v>2394</v>
      </c>
      <c r="E2539" s="3"/>
    </row>
    <row r="2540" spans="1:5" ht="24.75" customHeight="1">
      <c r="A2540" s="2">
        <v>2538</v>
      </c>
      <c r="B2540" s="2" t="str">
        <f>"吴佳航"</f>
        <v>吴佳航</v>
      </c>
      <c r="C2540" s="2" t="s">
        <v>2387</v>
      </c>
      <c r="D2540" s="2" t="s">
        <v>2395</v>
      </c>
      <c r="E2540" s="3"/>
    </row>
    <row r="2541" spans="1:5" ht="24.75" customHeight="1">
      <c r="A2541" s="2">
        <v>2539</v>
      </c>
      <c r="B2541" s="2" t="str">
        <f>"刘家成"</f>
        <v>刘家成</v>
      </c>
      <c r="C2541" s="2" t="s">
        <v>2387</v>
      </c>
      <c r="D2541" s="2" t="s">
        <v>2396</v>
      </c>
      <c r="E2541" s="3"/>
    </row>
    <row r="2542" spans="1:5" ht="24.75" customHeight="1">
      <c r="A2542" s="2">
        <v>2540</v>
      </c>
      <c r="B2542" s="2" t="str">
        <f>"韩必"</f>
        <v>韩必</v>
      </c>
      <c r="C2542" s="2" t="s">
        <v>2387</v>
      </c>
      <c r="D2542" s="2" t="s">
        <v>2397</v>
      </c>
      <c r="E2542" s="3"/>
    </row>
    <row r="2543" spans="1:5" ht="24.75" customHeight="1">
      <c r="A2543" s="2">
        <v>2541</v>
      </c>
      <c r="B2543" s="2" t="str">
        <f>"何俞漫"</f>
        <v>何俞漫</v>
      </c>
      <c r="C2543" s="2" t="s">
        <v>2387</v>
      </c>
      <c r="D2543" s="2" t="s">
        <v>2398</v>
      </c>
      <c r="E2543" s="3"/>
    </row>
    <row r="2544" spans="1:5" ht="24.75" customHeight="1">
      <c r="A2544" s="2">
        <v>2542</v>
      </c>
      <c r="B2544" s="2" t="str">
        <f>"文晓银"</f>
        <v>文晓银</v>
      </c>
      <c r="C2544" s="2" t="s">
        <v>2399</v>
      </c>
      <c r="D2544" s="2" t="s">
        <v>2400</v>
      </c>
      <c r="E2544" s="3"/>
    </row>
    <row r="2545" spans="1:5" ht="24.75" customHeight="1">
      <c r="A2545" s="2">
        <v>2543</v>
      </c>
      <c r="B2545" s="2" t="str">
        <f>"徐睿"</f>
        <v>徐睿</v>
      </c>
      <c r="C2545" s="2" t="s">
        <v>2399</v>
      </c>
      <c r="D2545" s="2" t="s">
        <v>2401</v>
      </c>
      <c r="E2545" s="3"/>
    </row>
    <row r="2546" spans="1:5" ht="24.75" customHeight="1">
      <c r="A2546" s="2">
        <v>2544</v>
      </c>
      <c r="B2546" s="2" t="str">
        <f>"王发"</f>
        <v>王发</v>
      </c>
      <c r="C2546" s="2" t="s">
        <v>2399</v>
      </c>
      <c r="D2546" s="2" t="s">
        <v>2402</v>
      </c>
      <c r="E2546" s="3"/>
    </row>
    <row r="2547" spans="1:5" ht="24.75" customHeight="1">
      <c r="A2547" s="2">
        <v>2545</v>
      </c>
      <c r="B2547" s="2" t="str">
        <f>"何静"</f>
        <v>何静</v>
      </c>
      <c r="C2547" s="2" t="s">
        <v>2399</v>
      </c>
      <c r="D2547" s="2" t="s">
        <v>2403</v>
      </c>
      <c r="E2547" s="3"/>
    </row>
    <row r="2548" spans="1:5" ht="24.75" customHeight="1">
      <c r="A2548" s="2">
        <v>2546</v>
      </c>
      <c r="B2548" s="2" t="str">
        <f>"何松洋"</f>
        <v>何松洋</v>
      </c>
      <c r="C2548" s="2" t="s">
        <v>2399</v>
      </c>
      <c r="D2548" s="2" t="s">
        <v>2404</v>
      </c>
      <c r="E2548" s="3"/>
    </row>
    <row r="2549" spans="1:5" ht="24.75" customHeight="1">
      <c r="A2549" s="2">
        <v>2547</v>
      </c>
      <c r="B2549" s="2" t="str">
        <f>"邢辉"</f>
        <v>邢辉</v>
      </c>
      <c r="C2549" s="2" t="s">
        <v>2399</v>
      </c>
      <c r="D2549" s="2" t="s">
        <v>2405</v>
      </c>
      <c r="E2549" s="3"/>
    </row>
    <row r="2550" spans="1:5" ht="24.75" customHeight="1">
      <c r="A2550" s="2">
        <v>2548</v>
      </c>
      <c r="B2550" s="2" t="str">
        <f>"李佳达"</f>
        <v>李佳达</v>
      </c>
      <c r="C2550" s="2" t="s">
        <v>2399</v>
      </c>
      <c r="D2550" s="2" t="s">
        <v>2406</v>
      </c>
      <c r="E2550" s="3"/>
    </row>
    <row r="2551" spans="1:5" ht="24.75" customHeight="1">
      <c r="A2551" s="2">
        <v>2549</v>
      </c>
      <c r="B2551" s="2" t="str">
        <f>"郑春伟"</f>
        <v>郑春伟</v>
      </c>
      <c r="C2551" s="2" t="s">
        <v>2399</v>
      </c>
      <c r="D2551" s="2" t="s">
        <v>2407</v>
      </c>
      <c r="E2551" s="3"/>
    </row>
    <row r="2552" spans="1:5" ht="24.75" customHeight="1">
      <c r="A2552" s="2">
        <v>2550</v>
      </c>
      <c r="B2552" s="2" t="str">
        <f>"黄启佳"</f>
        <v>黄启佳</v>
      </c>
      <c r="C2552" s="2" t="s">
        <v>2399</v>
      </c>
      <c r="D2552" s="2" t="s">
        <v>2408</v>
      </c>
      <c r="E2552" s="3"/>
    </row>
    <row r="2553" spans="1:5" ht="24.75" customHeight="1">
      <c r="A2553" s="2">
        <v>2551</v>
      </c>
      <c r="B2553" s="2" t="str">
        <f>"邹众鸿"</f>
        <v>邹众鸿</v>
      </c>
      <c r="C2553" s="2" t="s">
        <v>2399</v>
      </c>
      <c r="D2553" s="2" t="s">
        <v>2409</v>
      </c>
      <c r="E2553" s="3"/>
    </row>
    <row r="2554" spans="1:5" ht="24.75" customHeight="1">
      <c r="A2554" s="2">
        <v>2552</v>
      </c>
      <c r="B2554" s="2" t="str">
        <f>"吴美川"</f>
        <v>吴美川</v>
      </c>
      <c r="C2554" s="2" t="s">
        <v>2399</v>
      </c>
      <c r="D2554" s="2" t="s">
        <v>2410</v>
      </c>
      <c r="E2554" s="3"/>
    </row>
    <row r="2555" spans="1:5" ht="24.75" customHeight="1">
      <c r="A2555" s="2">
        <v>2553</v>
      </c>
      <c r="B2555" s="2" t="str">
        <f>"吴晓谊"</f>
        <v>吴晓谊</v>
      </c>
      <c r="C2555" s="2" t="s">
        <v>2399</v>
      </c>
      <c r="D2555" s="2" t="s">
        <v>2411</v>
      </c>
      <c r="E2555" s="3"/>
    </row>
    <row r="2556" spans="1:5" ht="24.75" customHeight="1">
      <c r="A2556" s="2">
        <v>2554</v>
      </c>
      <c r="B2556" s="2" t="str">
        <f>"黄芳"</f>
        <v>黄芳</v>
      </c>
      <c r="C2556" s="2" t="s">
        <v>2399</v>
      </c>
      <c r="D2556" s="2" t="s">
        <v>2412</v>
      </c>
      <c r="E2556" s="3"/>
    </row>
    <row r="2557" spans="1:5" ht="24.75" customHeight="1">
      <c r="A2557" s="2">
        <v>2555</v>
      </c>
      <c r="B2557" s="2" t="str">
        <f>"邱文君"</f>
        <v>邱文君</v>
      </c>
      <c r="C2557" s="2" t="s">
        <v>2399</v>
      </c>
      <c r="D2557" s="2" t="s">
        <v>2413</v>
      </c>
      <c r="E2557" s="3"/>
    </row>
    <row r="2558" spans="1:5" ht="24.75" customHeight="1">
      <c r="A2558" s="2">
        <v>2556</v>
      </c>
      <c r="B2558" s="2" t="str">
        <f>"纪明画"</f>
        <v>纪明画</v>
      </c>
      <c r="C2558" s="2" t="s">
        <v>2399</v>
      </c>
      <c r="D2558" s="2" t="s">
        <v>2414</v>
      </c>
      <c r="E2558" s="3"/>
    </row>
    <row r="2559" spans="1:5" ht="24.75" customHeight="1">
      <c r="A2559" s="2">
        <v>2557</v>
      </c>
      <c r="B2559" s="2" t="str">
        <f>"黎柳岑"</f>
        <v>黎柳岑</v>
      </c>
      <c r="C2559" s="2" t="s">
        <v>2399</v>
      </c>
      <c r="D2559" s="2" t="s">
        <v>2415</v>
      </c>
      <c r="E2559" s="3"/>
    </row>
    <row r="2560" spans="1:5" ht="24.75" customHeight="1">
      <c r="A2560" s="2">
        <v>2558</v>
      </c>
      <c r="B2560" s="2" t="str">
        <f>"薛毓增"</f>
        <v>薛毓增</v>
      </c>
      <c r="C2560" s="2" t="s">
        <v>2399</v>
      </c>
      <c r="D2560" s="2" t="s">
        <v>2416</v>
      </c>
      <c r="E2560" s="3"/>
    </row>
    <row r="2561" spans="1:5" ht="24.75" customHeight="1">
      <c r="A2561" s="2">
        <v>2559</v>
      </c>
      <c r="B2561" s="2" t="str">
        <f>"李毅龙"</f>
        <v>李毅龙</v>
      </c>
      <c r="C2561" s="2" t="s">
        <v>2399</v>
      </c>
      <c r="D2561" s="2" t="s">
        <v>2147</v>
      </c>
      <c r="E2561" s="3"/>
    </row>
    <row r="2562" spans="1:5" ht="24.75" customHeight="1">
      <c r="A2562" s="2">
        <v>2560</v>
      </c>
      <c r="B2562" s="2" t="str">
        <f>"杨昌为"</f>
        <v>杨昌为</v>
      </c>
      <c r="C2562" s="2" t="s">
        <v>2399</v>
      </c>
      <c r="D2562" s="2" t="s">
        <v>2417</v>
      </c>
      <c r="E2562" s="3"/>
    </row>
    <row r="2563" spans="1:5" ht="24.75" customHeight="1">
      <c r="A2563" s="2">
        <v>2561</v>
      </c>
      <c r="B2563" s="2" t="str">
        <f>"潘秋茹"</f>
        <v>潘秋茹</v>
      </c>
      <c r="C2563" s="2" t="s">
        <v>2399</v>
      </c>
      <c r="D2563" s="2" t="s">
        <v>2418</v>
      </c>
      <c r="E2563" s="3"/>
    </row>
    <row r="2564" spans="1:5" ht="24.75" customHeight="1">
      <c r="A2564" s="2">
        <v>2562</v>
      </c>
      <c r="B2564" s="2" t="str">
        <f>"曾令慧"</f>
        <v>曾令慧</v>
      </c>
      <c r="C2564" s="2" t="s">
        <v>2399</v>
      </c>
      <c r="D2564" s="2" t="s">
        <v>2419</v>
      </c>
      <c r="E2564" s="3"/>
    </row>
    <row r="2565" spans="1:5" ht="24.75" customHeight="1">
      <c r="A2565" s="2">
        <v>2563</v>
      </c>
      <c r="B2565" s="2" t="str">
        <f>"郑树桐"</f>
        <v>郑树桐</v>
      </c>
      <c r="C2565" s="2" t="s">
        <v>2399</v>
      </c>
      <c r="D2565" s="2" t="s">
        <v>2420</v>
      </c>
      <c r="E2565" s="3"/>
    </row>
    <row r="2566" spans="1:5" ht="24.75" customHeight="1">
      <c r="A2566" s="2">
        <v>2564</v>
      </c>
      <c r="B2566" s="2" t="str">
        <f>"乔丹阳"</f>
        <v>乔丹阳</v>
      </c>
      <c r="C2566" s="2" t="s">
        <v>2399</v>
      </c>
      <c r="D2566" s="2" t="s">
        <v>2421</v>
      </c>
      <c r="E2566" s="3"/>
    </row>
    <row r="2567" spans="1:5" ht="24.75" customHeight="1">
      <c r="A2567" s="2">
        <v>2565</v>
      </c>
      <c r="B2567" s="2" t="str">
        <f>"张福达"</f>
        <v>张福达</v>
      </c>
      <c r="C2567" s="2" t="s">
        <v>2399</v>
      </c>
      <c r="D2567" s="2" t="s">
        <v>2422</v>
      </c>
      <c r="E2567" s="3"/>
    </row>
    <row r="2568" spans="1:5" ht="24.75" customHeight="1">
      <c r="A2568" s="2">
        <v>2566</v>
      </c>
      <c r="B2568" s="2" t="str">
        <f>"朱才淳"</f>
        <v>朱才淳</v>
      </c>
      <c r="C2568" s="2" t="s">
        <v>2399</v>
      </c>
      <c r="D2568" s="2" t="s">
        <v>114</v>
      </c>
      <c r="E2568" s="3"/>
    </row>
    <row r="2569" spans="1:5" ht="24.75" customHeight="1">
      <c r="A2569" s="2">
        <v>2567</v>
      </c>
      <c r="B2569" s="2" t="str">
        <f>"谢正辉"</f>
        <v>谢正辉</v>
      </c>
      <c r="C2569" s="2" t="s">
        <v>2399</v>
      </c>
      <c r="D2569" s="2" t="s">
        <v>2423</v>
      </c>
      <c r="E2569" s="3"/>
    </row>
    <row r="2570" spans="1:5" ht="24.75" customHeight="1">
      <c r="A2570" s="2">
        <v>2568</v>
      </c>
      <c r="B2570" s="2" t="str">
        <f>"邢明柳"</f>
        <v>邢明柳</v>
      </c>
      <c r="C2570" s="2" t="s">
        <v>2399</v>
      </c>
      <c r="D2570" s="2" t="s">
        <v>870</v>
      </c>
      <c r="E2570" s="3"/>
    </row>
    <row r="2571" spans="1:5" ht="24.75" customHeight="1">
      <c r="A2571" s="2">
        <v>2569</v>
      </c>
      <c r="B2571" s="2" t="str">
        <f>"陈昆逸"</f>
        <v>陈昆逸</v>
      </c>
      <c r="C2571" s="2" t="s">
        <v>2399</v>
      </c>
      <c r="D2571" s="2" t="s">
        <v>1439</v>
      </c>
      <c r="E2571" s="3"/>
    </row>
    <row r="2572" spans="1:5" ht="24.75" customHeight="1">
      <c r="A2572" s="2">
        <v>2570</v>
      </c>
      <c r="B2572" s="2" t="str">
        <f>"邢增果"</f>
        <v>邢增果</v>
      </c>
      <c r="C2572" s="2" t="s">
        <v>2399</v>
      </c>
      <c r="D2572" s="2" t="s">
        <v>662</v>
      </c>
      <c r="E2572" s="3"/>
    </row>
    <row r="2573" spans="1:5" ht="24.75" customHeight="1">
      <c r="A2573" s="2">
        <v>2571</v>
      </c>
      <c r="B2573" s="2" t="str">
        <f>"吉世果"</f>
        <v>吉世果</v>
      </c>
      <c r="C2573" s="2" t="s">
        <v>2424</v>
      </c>
      <c r="D2573" s="2" t="s">
        <v>2425</v>
      </c>
      <c r="E2573" s="3"/>
    </row>
    <row r="2574" spans="1:5" ht="24.75" customHeight="1">
      <c r="A2574" s="2">
        <v>2572</v>
      </c>
      <c r="B2574" s="2" t="str">
        <f>"罗子"</f>
        <v>罗子</v>
      </c>
      <c r="C2574" s="2" t="s">
        <v>2424</v>
      </c>
      <c r="D2574" s="2" t="s">
        <v>2426</v>
      </c>
      <c r="E2574" s="3"/>
    </row>
    <row r="2575" spans="1:5" ht="24.75" customHeight="1">
      <c r="A2575" s="2">
        <v>2573</v>
      </c>
      <c r="B2575" s="2" t="str">
        <f>"林燕玲"</f>
        <v>林燕玲</v>
      </c>
      <c r="C2575" s="2" t="s">
        <v>2424</v>
      </c>
      <c r="D2575" s="2" t="s">
        <v>2427</v>
      </c>
      <c r="E2575" s="3"/>
    </row>
    <row r="2576" spans="1:5" ht="24.75" customHeight="1">
      <c r="A2576" s="2">
        <v>2574</v>
      </c>
      <c r="B2576" s="2" t="str">
        <f>"曾维梓"</f>
        <v>曾维梓</v>
      </c>
      <c r="C2576" s="2" t="s">
        <v>2424</v>
      </c>
      <c r="D2576" s="2" t="s">
        <v>2428</v>
      </c>
      <c r="E2576" s="3"/>
    </row>
    <row r="2577" spans="1:5" ht="24.75" customHeight="1">
      <c r="A2577" s="2">
        <v>2575</v>
      </c>
      <c r="B2577" s="2" t="str">
        <f>"郑胜仁"</f>
        <v>郑胜仁</v>
      </c>
      <c r="C2577" s="2" t="s">
        <v>2424</v>
      </c>
      <c r="D2577" s="2" t="s">
        <v>2429</v>
      </c>
      <c r="E2577" s="3"/>
    </row>
    <row r="2578" spans="1:5" ht="24.75" customHeight="1">
      <c r="A2578" s="2">
        <v>2576</v>
      </c>
      <c r="B2578" s="2" t="str">
        <f>"许开新"</f>
        <v>许开新</v>
      </c>
      <c r="C2578" s="2" t="s">
        <v>2424</v>
      </c>
      <c r="D2578" s="2" t="s">
        <v>2430</v>
      </c>
      <c r="E2578" s="3"/>
    </row>
    <row r="2579" spans="1:5" ht="24.75" customHeight="1">
      <c r="A2579" s="2">
        <v>2577</v>
      </c>
      <c r="B2579" s="2" t="str">
        <f>"邱瑶"</f>
        <v>邱瑶</v>
      </c>
      <c r="C2579" s="2" t="s">
        <v>2424</v>
      </c>
      <c r="D2579" s="2" t="s">
        <v>501</v>
      </c>
      <c r="E2579" s="3"/>
    </row>
    <row r="2580" spans="1:5" ht="24.75" customHeight="1">
      <c r="A2580" s="2">
        <v>2578</v>
      </c>
      <c r="B2580" s="2" t="str">
        <f>"蔡娟玉"</f>
        <v>蔡娟玉</v>
      </c>
      <c r="C2580" s="2" t="s">
        <v>2431</v>
      </c>
      <c r="D2580" s="2" t="s">
        <v>2432</v>
      </c>
      <c r="E2580" s="3"/>
    </row>
    <row r="2581" spans="1:5" ht="24.75" customHeight="1">
      <c r="A2581" s="2">
        <v>2579</v>
      </c>
      <c r="B2581" s="2" t="str">
        <f>"王家宁"</f>
        <v>王家宁</v>
      </c>
      <c r="C2581" s="2" t="s">
        <v>2431</v>
      </c>
      <c r="D2581" s="2" t="s">
        <v>2433</v>
      </c>
      <c r="E2581" s="3"/>
    </row>
    <row r="2582" spans="1:5" ht="24.75" customHeight="1">
      <c r="A2582" s="2">
        <v>2580</v>
      </c>
      <c r="B2582" s="2" t="str">
        <f>"周斌"</f>
        <v>周斌</v>
      </c>
      <c r="C2582" s="2" t="s">
        <v>2431</v>
      </c>
      <c r="D2582" s="2" t="s">
        <v>2434</v>
      </c>
      <c r="E2582" s="3"/>
    </row>
    <row r="2583" spans="1:5" ht="24.75" customHeight="1">
      <c r="A2583" s="2">
        <v>2581</v>
      </c>
      <c r="B2583" s="2" t="str">
        <f>"冯煜泷"</f>
        <v>冯煜泷</v>
      </c>
      <c r="C2583" s="2" t="s">
        <v>2431</v>
      </c>
      <c r="D2583" s="2" t="s">
        <v>2435</v>
      </c>
      <c r="E2583" s="3"/>
    </row>
    <row r="2584" spans="1:5" ht="24.75" customHeight="1">
      <c r="A2584" s="2">
        <v>2582</v>
      </c>
      <c r="B2584" s="2" t="str">
        <f>"张莉莉"</f>
        <v>张莉莉</v>
      </c>
      <c r="C2584" s="2" t="s">
        <v>2431</v>
      </c>
      <c r="D2584" s="2" t="s">
        <v>2436</v>
      </c>
      <c r="E2584" s="3"/>
    </row>
    <row r="2585" spans="1:5" ht="24.75" customHeight="1">
      <c r="A2585" s="2">
        <v>2583</v>
      </c>
      <c r="B2585" s="2" t="str">
        <f>"林恩"</f>
        <v>林恩</v>
      </c>
      <c r="C2585" s="2" t="s">
        <v>2437</v>
      </c>
      <c r="D2585" s="2" t="s">
        <v>2438</v>
      </c>
      <c r="E2585" s="3"/>
    </row>
    <row r="2586" spans="1:5" ht="24.75" customHeight="1">
      <c r="A2586" s="2">
        <v>2584</v>
      </c>
      <c r="B2586" s="2" t="str">
        <f>"黄月洁"</f>
        <v>黄月洁</v>
      </c>
      <c r="C2586" s="2" t="s">
        <v>2437</v>
      </c>
      <c r="D2586" s="2" t="s">
        <v>2439</v>
      </c>
      <c r="E2586" s="3"/>
    </row>
    <row r="2587" spans="1:5" ht="24.75" customHeight="1">
      <c r="A2587" s="2">
        <v>2585</v>
      </c>
      <c r="B2587" s="2" t="str">
        <f>"肖燚婷"</f>
        <v>肖燚婷</v>
      </c>
      <c r="C2587" s="2" t="s">
        <v>2437</v>
      </c>
      <c r="D2587" s="2" t="s">
        <v>2440</v>
      </c>
      <c r="E2587" s="3"/>
    </row>
    <row r="2588" spans="1:5" ht="24.75" customHeight="1">
      <c r="A2588" s="2">
        <v>2586</v>
      </c>
      <c r="B2588" s="2" t="str">
        <f>"邱国上"</f>
        <v>邱国上</v>
      </c>
      <c r="C2588" s="2" t="s">
        <v>2437</v>
      </c>
      <c r="D2588" s="2" t="s">
        <v>2441</v>
      </c>
      <c r="E2588" s="3"/>
    </row>
    <row r="2589" spans="1:5" ht="24.75" customHeight="1">
      <c r="A2589" s="2">
        <v>2587</v>
      </c>
      <c r="B2589" s="2" t="str">
        <f>"陈火雅"</f>
        <v>陈火雅</v>
      </c>
      <c r="C2589" s="2" t="s">
        <v>2437</v>
      </c>
      <c r="D2589" s="2" t="s">
        <v>2442</v>
      </c>
      <c r="E2589" s="3"/>
    </row>
    <row r="2590" spans="1:5" ht="24.75" customHeight="1">
      <c r="A2590" s="2">
        <v>2588</v>
      </c>
      <c r="B2590" s="2" t="str">
        <f>"杨妮"</f>
        <v>杨妮</v>
      </c>
      <c r="C2590" s="2" t="s">
        <v>2437</v>
      </c>
      <c r="D2590" s="2" t="s">
        <v>2443</v>
      </c>
      <c r="E2590" s="3"/>
    </row>
    <row r="2591" spans="1:5" ht="24.75" customHeight="1">
      <c r="A2591" s="2">
        <v>2589</v>
      </c>
      <c r="B2591" s="2" t="str">
        <f>"申溪"</f>
        <v>申溪</v>
      </c>
      <c r="C2591" s="2" t="s">
        <v>2437</v>
      </c>
      <c r="D2591" s="2" t="s">
        <v>2444</v>
      </c>
      <c r="E2591" s="3"/>
    </row>
    <row r="2592" spans="1:5" ht="24.75" customHeight="1">
      <c r="A2592" s="2">
        <v>2590</v>
      </c>
      <c r="B2592" s="2" t="str">
        <f>"王寰柱"</f>
        <v>王寰柱</v>
      </c>
      <c r="C2592" s="2" t="s">
        <v>2437</v>
      </c>
      <c r="D2592" s="2" t="s">
        <v>2445</v>
      </c>
      <c r="E2592" s="3"/>
    </row>
    <row r="2593" spans="1:5" ht="24.75" customHeight="1">
      <c r="A2593" s="2">
        <v>2591</v>
      </c>
      <c r="B2593" s="2" t="str">
        <f>"陈志明"</f>
        <v>陈志明</v>
      </c>
      <c r="C2593" s="2" t="s">
        <v>2446</v>
      </c>
      <c r="D2593" s="2" t="s">
        <v>747</v>
      </c>
      <c r="E2593" s="3"/>
    </row>
    <row r="2594" spans="1:5" ht="24.75" customHeight="1">
      <c r="A2594" s="2">
        <v>2592</v>
      </c>
      <c r="B2594" s="2" t="str">
        <f>"揭云峰"</f>
        <v>揭云峰</v>
      </c>
      <c r="C2594" s="2" t="s">
        <v>2446</v>
      </c>
      <c r="D2594" s="2" t="s">
        <v>2447</v>
      </c>
      <c r="E2594" s="3"/>
    </row>
    <row r="2595" spans="1:5" ht="24.75" customHeight="1">
      <c r="A2595" s="2">
        <v>2593</v>
      </c>
      <c r="B2595" s="2" t="str">
        <f>"卓先俊"</f>
        <v>卓先俊</v>
      </c>
      <c r="C2595" s="2" t="s">
        <v>2446</v>
      </c>
      <c r="D2595" s="2" t="s">
        <v>2448</v>
      </c>
      <c r="E2595" s="3"/>
    </row>
    <row r="2596" spans="1:5" ht="24.75" customHeight="1">
      <c r="A2596" s="2">
        <v>2594</v>
      </c>
      <c r="B2596" s="2" t="str">
        <f>"冯崇醒"</f>
        <v>冯崇醒</v>
      </c>
      <c r="C2596" s="2" t="s">
        <v>2446</v>
      </c>
      <c r="D2596" s="2" t="s">
        <v>2449</v>
      </c>
      <c r="E2596" s="3"/>
    </row>
    <row r="2597" spans="1:5" ht="24.75" customHeight="1">
      <c r="A2597" s="2">
        <v>2595</v>
      </c>
      <c r="B2597" s="2" t="str">
        <f>"符扬敏"</f>
        <v>符扬敏</v>
      </c>
      <c r="C2597" s="2" t="s">
        <v>2446</v>
      </c>
      <c r="D2597" s="2" t="s">
        <v>2450</v>
      </c>
      <c r="E2597" s="3"/>
    </row>
    <row r="2598" spans="1:5" ht="24.75" customHeight="1">
      <c r="A2598" s="2">
        <v>2596</v>
      </c>
      <c r="B2598" s="2" t="str">
        <f>"陈玉剑"</f>
        <v>陈玉剑</v>
      </c>
      <c r="C2598" s="2" t="s">
        <v>2446</v>
      </c>
      <c r="D2598" s="2" t="s">
        <v>2451</v>
      </c>
      <c r="E2598" s="3"/>
    </row>
    <row r="2599" spans="1:5" ht="24.75" customHeight="1">
      <c r="A2599" s="2">
        <v>2597</v>
      </c>
      <c r="B2599" s="2" t="str">
        <f>"赖修明"</f>
        <v>赖修明</v>
      </c>
      <c r="C2599" s="2" t="s">
        <v>2446</v>
      </c>
      <c r="D2599" s="2" t="s">
        <v>2452</v>
      </c>
      <c r="E2599" s="3"/>
    </row>
    <row r="2600" spans="1:5" ht="24.75" customHeight="1">
      <c r="A2600" s="2">
        <v>2598</v>
      </c>
      <c r="B2600" s="2" t="str">
        <f>"王岑星"</f>
        <v>王岑星</v>
      </c>
      <c r="C2600" s="2" t="s">
        <v>2446</v>
      </c>
      <c r="D2600" s="2" t="s">
        <v>808</v>
      </c>
      <c r="E2600" s="3"/>
    </row>
    <row r="2601" spans="1:5" ht="24.75" customHeight="1">
      <c r="A2601" s="2">
        <v>2599</v>
      </c>
      <c r="B2601" s="2" t="str">
        <f>"李其伟"</f>
        <v>李其伟</v>
      </c>
      <c r="C2601" s="2" t="s">
        <v>2446</v>
      </c>
      <c r="D2601" s="2" t="s">
        <v>2453</v>
      </c>
      <c r="E2601" s="3"/>
    </row>
    <row r="2602" spans="1:5" ht="24.75" customHeight="1">
      <c r="A2602" s="2">
        <v>2600</v>
      </c>
      <c r="B2602" s="2" t="str">
        <f>"冯俊龙"</f>
        <v>冯俊龙</v>
      </c>
      <c r="C2602" s="2" t="s">
        <v>2446</v>
      </c>
      <c r="D2602" s="2" t="s">
        <v>2454</v>
      </c>
      <c r="E2602" s="3"/>
    </row>
    <row r="2603" spans="1:5" ht="24.75" customHeight="1">
      <c r="A2603" s="2">
        <v>2601</v>
      </c>
      <c r="B2603" s="2" t="str">
        <f>"颜炜钊"</f>
        <v>颜炜钊</v>
      </c>
      <c r="C2603" s="2" t="s">
        <v>2446</v>
      </c>
      <c r="D2603" s="2" t="s">
        <v>2455</v>
      </c>
      <c r="E2603" s="3"/>
    </row>
    <row r="2604" spans="1:5" ht="24.75" customHeight="1">
      <c r="A2604" s="2">
        <v>2602</v>
      </c>
      <c r="B2604" s="2" t="str">
        <f>"白剑钊"</f>
        <v>白剑钊</v>
      </c>
      <c r="C2604" s="2" t="s">
        <v>2446</v>
      </c>
      <c r="D2604" s="2" t="s">
        <v>2456</v>
      </c>
      <c r="E2604" s="3"/>
    </row>
    <row r="2605" spans="1:5" ht="24.75" customHeight="1">
      <c r="A2605" s="2">
        <v>2603</v>
      </c>
      <c r="B2605" s="2" t="str">
        <f>"李昌贵"</f>
        <v>李昌贵</v>
      </c>
      <c r="C2605" s="2" t="s">
        <v>2446</v>
      </c>
      <c r="D2605" s="2" t="s">
        <v>2457</v>
      </c>
      <c r="E2605" s="3"/>
    </row>
    <row r="2606" spans="1:5" ht="24.75" customHeight="1">
      <c r="A2606" s="2">
        <v>2604</v>
      </c>
      <c r="B2606" s="2" t="str">
        <f>"夏高松"</f>
        <v>夏高松</v>
      </c>
      <c r="C2606" s="2" t="s">
        <v>2446</v>
      </c>
      <c r="D2606" s="2" t="s">
        <v>2458</v>
      </c>
      <c r="E2606" s="3"/>
    </row>
    <row r="2607" spans="1:5" ht="24.75" customHeight="1">
      <c r="A2607" s="2">
        <v>2605</v>
      </c>
      <c r="B2607" s="2" t="str">
        <f>"孟玲剑"</f>
        <v>孟玲剑</v>
      </c>
      <c r="C2607" s="2" t="s">
        <v>2446</v>
      </c>
      <c r="D2607" s="2" t="s">
        <v>2459</v>
      </c>
      <c r="E2607" s="3"/>
    </row>
    <row r="2608" spans="1:5" ht="24.75" customHeight="1">
      <c r="A2608" s="2">
        <v>2606</v>
      </c>
      <c r="B2608" s="2" t="str">
        <f>"陈雪妮"</f>
        <v>陈雪妮</v>
      </c>
      <c r="C2608" s="2" t="s">
        <v>2446</v>
      </c>
      <c r="D2608" s="2" t="s">
        <v>2460</v>
      </c>
      <c r="E2608" s="3"/>
    </row>
    <row r="2609" spans="1:5" ht="24.75" customHeight="1">
      <c r="A2609" s="2">
        <v>2607</v>
      </c>
      <c r="B2609" s="2" t="str">
        <f>"黄坤宏"</f>
        <v>黄坤宏</v>
      </c>
      <c r="C2609" s="2" t="s">
        <v>2446</v>
      </c>
      <c r="D2609" s="2" t="s">
        <v>2461</v>
      </c>
      <c r="E2609" s="3"/>
    </row>
    <row r="2610" spans="1:5" ht="24.75" customHeight="1">
      <c r="A2610" s="2">
        <v>2608</v>
      </c>
      <c r="B2610" s="2" t="str">
        <f>"蔡笃海"</f>
        <v>蔡笃海</v>
      </c>
      <c r="C2610" s="2" t="s">
        <v>2446</v>
      </c>
      <c r="D2610" s="2" t="s">
        <v>2462</v>
      </c>
      <c r="E2610" s="3"/>
    </row>
    <row r="2611" spans="1:5" ht="24.75" customHeight="1">
      <c r="A2611" s="2">
        <v>2609</v>
      </c>
      <c r="B2611" s="2" t="str">
        <f>"郭光群"</f>
        <v>郭光群</v>
      </c>
      <c r="C2611" s="2" t="s">
        <v>2446</v>
      </c>
      <c r="D2611" s="2" t="s">
        <v>2463</v>
      </c>
      <c r="E2611" s="3"/>
    </row>
    <row r="2612" spans="1:5" ht="24.75" customHeight="1">
      <c r="A2612" s="2">
        <v>2610</v>
      </c>
      <c r="B2612" s="2" t="str">
        <f>"曾繁帅"</f>
        <v>曾繁帅</v>
      </c>
      <c r="C2612" s="2" t="s">
        <v>2446</v>
      </c>
      <c r="D2612" s="2" t="s">
        <v>2464</v>
      </c>
      <c r="E2612" s="3"/>
    </row>
    <row r="2613" spans="1:5" ht="24.75" customHeight="1">
      <c r="A2613" s="2">
        <v>2611</v>
      </c>
      <c r="B2613" s="2" t="str">
        <f>"周始锐"</f>
        <v>周始锐</v>
      </c>
      <c r="C2613" s="2" t="s">
        <v>2446</v>
      </c>
      <c r="D2613" s="2" t="s">
        <v>2465</v>
      </c>
      <c r="E2613" s="3"/>
    </row>
    <row r="2614" spans="1:5" ht="24.75" customHeight="1">
      <c r="A2614" s="2">
        <v>2612</v>
      </c>
      <c r="B2614" s="2" t="str">
        <f>"徐毅"</f>
        <v>徐毅</v>
      </c>
      <c r="C2614" s="2" t="s">
        <v>2446</v>
      </c>
      <c r="D2614" s="2" t="s">
        <v>2466</v>
      </c>
      <c r="E2614" s="3"/>
    </row>
    <row r="2615" spans="1:5" ht="24.75" customHeight="1">
      <c r="A2615" s="2">
        <v>2613</v>
      </c>
      <c r="B2615" s="2" t="str">
        <f>"郑启天"</f>
        <v>郑启天</v>
      </c>
      <c r="C2615" s="2" t="s">
        <v>2446</v>
      </c>
      <c r="D2615" s="2" t="s">
        <v>2467</v>
      </c>
      <c r="E2615" s="3"/>
    </row>
    <row r="2616" spans="1:5" ht="24.75" customHeight="1">
      <c r="A2616" s="2">
        <v>2614</v>
      </c>
      <c r="B2616" s="2" t="str">
        <f>"吴开烨"</f>
        <v>吴开烨</v>
      </c>
      <c r="C2616" s="2" t="s">
        <v>2446</v>
      </c>
      <c r="D2616" s="2" t="s">
        <v>2468</v>
      </c>
      <c r="E2616" s="3"/>
    </row>
    <row r="2617" spans="1:5" ht="24.75" customHeight="1">
      <c r="A2617" s="2">
        <v>2615</v>
      </c>
      <c r="B2617" s="2" t="str">
        <f>"陈希越"</f>
        <v>陈希越</v>
      </c>
      <c r="C2617" s="2" t="s">
        <v>2446</v>
      </c>
      <c r="D2617" s="2" t="s">
        <v>2469</v>
      </c>
      <c r="E2617" s="3"/>
    </row>
    <row r="2618" spans="1:5" ht="24.75" customHeight="1">
      <c r="A2618" s="2">
        <v>2616</v>
      </c>
      <c r="B2618" s="2" t="str">
        <f>"陈达明"</f>
        <v>陈达明</v>
      </c>
      <c r="C2618" s="2" t="s">
        <v>2446</v>
      </c>
      <c r="D2618" s="2" t="s">
        <v>2470</v>
      </c>
      <c r="E2618" s="3"/>
    </row>
    <row r="2619" spans="1:5" ht="24.75" customHeight="1">
      <c r="A2619" s="2">
        <v>2617</v>
      </c>
      <c r="B2619" s="2" t="str">
        <f>"黄琪红"</f>
        <v>黄琪红</v>
      </c>
      <c r="C2619" s="2" t="s">
        <v>2446</v>
      </c>
      <c r="D2619" s="2" t="s">
        <v>2471</v>
      </c>
      <c r="E2619" s="3"/>
    </row>
    <row r="2620" spans="1:5" ht="24.75" customHeight="1">
      <c r="A2620" s="2">
        <v>2618</v>
      </c>
      <c r="B2620" s="2" t="str">
        <f>"吴育大"</f>
        <v>吴育大</v>
      </c>
      <c r="C2620" s="2" t="s">
        <v>2446</v>
      </c>
      <c r="D2620" s="2" t="s">
        <v>1783</v>
      </c>
      <c r="E2620" s="3"/>
    </row>
    <row r="2621" spans="1:5" ht="24.75" customHeight="1">
      <c r="A2621" s="2">
        <v>2619</v>
      </c>
      <c r="B2621" s="2" t="str">
        <f>"欧阳勤盈"</f>
        <v>欧阳勤盈</v>
      </c>
      <c r="C2621" s="2" t="s">
        <v>2446</v>
      </c>
      <c r="D2621" s="2" t="s">
        <v>2472</v>
      </c>
      <c r="E2621" s="3"/>
    </row>
    <row r="2622" spans="1:5" ht="24.75" customHeight="1">
      <c r="A2622" s="2">
        <v>2620</v>
      </c>
      <c r="B2622" s="2" t="str">
        <f>"曾宪彭"</f>
        <v>曾宪彭</v>
      </c>
      <c r="C2622" s="2" t="s">
        <v>2446</v>
      </c>
      <c r="D2622" s="2" t="s">
        <v>2473</v>
      </c>
      <c r="E2622" s="3"/>
    </row>
    <row r="2623" spans="1:5" ht="24.75" customHeight="1">
      <c r="A2623" s="2">
        <v>2621</v>
      </c>
      <c r="B2623" s="2" t="str">
        <f>"莫浩"</f>
        <v>莫浩</v>
      </c>
      <c r="C2623" s="2" t="s">
        <v>2446</v>
      </c>
      <c r="D2623" s="2" t="s">
        <v>2303</v>
      </c>
      <c r="E2623" s="3"/>
    </row>
    <row r="2624" spans="1:5" ht="24.75" customHeight="1">
      <c r="A2624" s="2">
        <v>2622</v>
      </c>
      <c r="B2624" s="2" t="str">
        <f>"唐任英"</f>
        <v>唐任英</v>
      </c>
      <c r="C2624" s="2" t="s">
        <v>2446</v>
      </c>
      <c r="D2624" s="2" t="s">
        <v>2474</v>
      </c>
      <c r="E2624" s="3"/>
    </row>
    <row r="2625" spans="1:5" ht="24.75" customHeight="1">
      <c r="A2625" s="2">
        <v>2623</v>
      </c>
      <c r="B2625" s="2" t="str">
        <f>"杨泽友"</f>
        <v>杨泽友</v>
      </c>
      <c r="C2625" s="2" t="s">
        <v>2446</v>
      </c>
      <c r="D2625" s="2" t="s">
        <v>2475</v>
      </c>
      <c r="E2625" s="3"/>
    </row>
    <row r="2626" spans="1:5" ht="24.75" customHeight="1">
      <c r="A2626" s="2">
        <v>2624</v>
      </c>
      <c r="B2626" s="2" t="str">
        <f>"吴毓珩"</f>
        <v>吴毓珩</v>
      </c>
      <c r="C2626" s="2" t="s">
        <v>2476</v>
      </c>
      <c r="D2626" s="2" t="s">
        <v>2477</v>
      </c>
      <c r="E2626" s="3"/>
    </row>
    <row r="2627" spans="1:5" ht="24.75" customHeight="1">
      <c r="A2627" s="2">
        <v>2625</v>
      </c>
      <c r="B2627" s="2" t="str">
        <f>"刘为良"</f>
        <v>刘为良</v>
      </c>
      <c r="C2627" s="2" t="s">
        <v>2476</v>
      </c>
      <c r="D2627" s="2" t="s">
        <v>2478</v>
      </c>
      <c r="E2627" s="3"/>
    </row>
    <row r="2628" spans="1:5" ht="24.75" customHeight="1">
      <c r="A2628" s="2">
        <v>2626</v>
      </c>
      <c r="B2628" s="2" t="str">
        <f>"卢传意"</f>
        <v>卢传意</v>
      </c>
      <c r="C2628" s="2" t="s">
        <v>2476</v>
      </c>
      <c r="D2628" s="2" t="s">
        <v>2479</v>
      </c>
      <c r="E2628" s="3"/>
    </row>
    <row r="2629" spans="1:5" ht="24.75" customHeight="1">
      <c r="A2629" s="2">
        <v>2627</v>
      </c>
      <c r="B2629" s="2" t="str">
        <f>"陈振驰"</f>
        <v>陈振驰</v>
      </c>
      <c r="C2629" s="2" t="s">
        <v>2476</v>
      </c>
      <c r="D2629" s="2" t="s">
        <v>2480</v>
      </c>
      <c r="E2629" s="3"/>
    </row>
    <row r="2630" spans="1:5" ht="24.75" customHeight="1">
      <c r="A2630" s="2">
        <v>2628</v>
      </c>
      <c r="B2630" s="2" t="str">
        <f>"耿石永"</f>
        <v>耿石永</v>
      </c>
      <c r="C2630" s="2" t="s">
        <v>2476</v>
      </c>
      <c r="D2630" s="2" t="s">
        <v>2481</v>
      </c>
      <c r="E2630" s="3"/>
    </row>
    <row r="2631" spans="1:5" ht="24.75" customHeight="1">
      <c r="A2631" s="2">
        <v>2629</v>
      </c>
      <c r="B2631" s="2" t="str">
        <f>"韩晓翔"</f>
        <v>韩晓翔</v>
      </c>
      <c r="C2631" s="2" t="s">
        <v>2476</v>
      </c>
      <c r="D2631" s="2" t="s">
        <v>2482</v>
      </c>
      <c r="E2631" s="3"/>
    </row>
    <row r="2632" spans="1:5" ht="24.75" customHeight="1">
      <c r="A2632" s="2">
        <v>2630</v>
      </c>
      <c r="B2632" s="2" t="str">
        <f>"夏儒杰"</f>
        <v>夏儒杰</v>
      </c>
      <c r="C2632" s="2" t="s">
        <v>2476</v>
      </c>
      <c r="D2632" s="2" t="s">
        <v>2483</v>
      </c>
      <c r="E2632" s="3"/>
    </row>
    <row r="2633" spans="1:5" ht="24.75" customHeight="1">
      <c r="A2633" s="2">
        <v>2631</v>
      </c>
      <c r="B2633" s="2" t="str">
        <f>"郑远玠"</f>
        <v>郑远玠</v>
      </c>
      <c r="C2633" s="2" t="s">
        <v>2476</v>
      </c>
      <c r="D2633" s="2" t="s">
        <v>2484</v>
      </c>
      <c r="E2633" s="3"/>
    </row>
    <row r="2634" spans="1:5" ht="24.75" customHeight="1">
      <c r="A2634" s="2">
        <v>2632</v>
      </c>
      <c r="B2634" s="2" t="str">
        <f>"林川青"</f>
        <v>林川青</v>
      </c>
      <c r="C2634" s="2" t="s">
        <v>2476</v>
      </c>
      <c r="D2634" s="2" t="s">
        <v>1363</v>
      </c>
      <c r="E2634" s="3"/>
    </row>
    <row r="2635" spans="1:5" ht="24.75" customHeight="1">
      <c r="A2635" s="2">
        <v>2633</v>
      </c>
      <c r="B2635" s="2" t="str">
        <f>"郑东辉"</f>
        <v>郑东辉</v>
      </c>
      <c r="C2635" s="2" t="s">
        <v>2476</v>
      </c>
      <c r="D2635" s="2" t="s">
        <v>2485</v>
      </c>
      <c r="E2635" s="3"/>
    </row>
    <row r="2636" spans="1:5" ht="24.75" customHeight="1">
      <c r="A2636" s="2">
        <v>2634</v>
      </c>
      <c r="B2636" s="2" t="str">
        <f>"吴好新"</f>
        <v>吴好新</v>
      </c>
      <c r="C2636" s="2" t="s">
        <v>2476</v>
      </c>
      <c r="D2636" s="2" t="s">
        <v>2486</v>
      </c>
      <c r="E2636" s="3"/>
    </row>
    <row r="2637" spans="1:5" ht="24.75" customHeight="1">
      <c r="A2637" s="2">
        <v>2635</v>
      </c>
      <c r="B2637" s="2" t="str">
        <f>"林友先"</f>
        <v>林友先</v>
      </c>
      <c r="C2637" s="2" t="s">
        <v>2476</v>
      </c>
      <c r="D2637" s="2" t="s">
        <v>2453</v>
      </c>
      <c r="E2637" s="3"/>
    </row>
    <row r="2638" spans="1:5" ht="24.75" customHeight="1">
      <c r="A2638" s="2">
        <v>2636</v>
      </c>
      <c r="B2638" s="2" t="str">
        <f>"林雪娇"</f>
        <v>林雪娇</v>
      </c>
      <c r="C2638" s="2" t="s">
        <v>2476</v>
      </c>
      <c r="D2638" s="2" t="s">
        <v>2487</v>
      </c>
      <c r="E2638" s="3"/>
    </row>
    <row r="2639" spans="1:5" ht="24.75" customHeight="1">
      <c r="A2639" s="2">
        <v>2637</v>
      </c>
      <c r="B2639" s="2" t="str">
        <f>"周伟"</f>
        <v>周伟</v>
      </c>
      <c r="C2639" s="2" t="s">
        <v>2476</v>
      </c>
      <c r="D2639" s="2" t="s">
        <v>2488</v>
      </c>
      <c r="E2639" s="3"/>
    </row>
    <row r="2640" spans="1:5" ht="24.75" customHeight="1">
      <c r="A2640" s="2">
        <v>2638</v>
      </c>
      <c r="B2640" s="2" t="str">
        <f>"吴纪斌"</f>
        <v>吴纪斌</v>
      </c>
      <c r="C2640" s="2" t="s">
        <v>2476</v>
      </c>
      <c r="D2640" s="2" t="s">
        <v>2489</v>
      </c>
      <c r="E2640" s="3"/>
    </row>
    <row r="2641" spans="1:5" ht="24.75" customHeight="1">
      <c r="A2641" s="2">
        <v>2639</v>
      </c>
      <c r="B2641" s="2" t="str">
        <f>"姚文德"</f>
        <v>姚文德</v>
      </c>
      <c r="C2641" s="2" t="s">
        <v>2476</v>
      </c>
      <c r="D2641" s="2" t="s">
        <v>2490</v>
      </c>
      <c r="E2641" s="3"/>
    </row>
    <row r="2642" spans="1:5" ht="24.75" customHeight="1">
      <c r="A2642" s="2">
        <v>2640</v>
      </c>
      <c r="B2642" s="2" t="str">
        <f>"杨盛雄"</f>
        <v>杨盛雄</v>
      </c>
      <c r="C2642" s="2" t="s">
        <v>2476</v>
      </c>
      <c r="D2642" s="2" t="s">
        <v>2491</v>
      </c>
      <c r="E2642" s="3"/>
    </row>
    <row r="2643" spans="1:5" ht="24.75" customHeight="1">
      <c r="A2643" s="2">
        <v>2641</v>
      </c>
      <c r="B2643" s="2" t="str">
        <f>"余松"</f>
        <v>余松</v>
      </c>
      <c r="C2643" s="2" t="s">
        <v>2476</v>
      </c>
      <c r="D2643" s="2" t="s">
        <v>2492</v>
      </c>
      <c r="E2643" s="3"/>
    </row>
    <row r="2644" spans="1:5" ht="24.75" customHeight="1">
      <c r="A2644" s="2">
        <v>2642</v>
      </c>
      <c r="B2644" s="2" t="str">
        <f>"刘泽洋"</f>
        <v>刘泽洋</v>
      </c>
      <c r="C2644" s="2" t="s">
        <v>2476</v>
      </c>
      <c r="D2644" s="2" t="s">
        <v>2493</v>
      </c>
      <c r="E2644" s="3"/>
    </row>
    <row r="2645" spans="1:5" ht="24.75" customHeight="1">
      <c r="A2645" s="2">
        <v>2643</v>
      </c>
      <c r="B2645" s="2" t="str">
        <f>"付琦"</f>
        <v>付琦</v>
      </c>
      <c r="C2645" s="2" t="s">
        <v>2476</v>
      </c>
      <c r="D2645" s="2" t="s">
        <v>2494</v>
      </c>
      <c r="E2645" s="3"/>
    </row>
    <row r="2646" spans="1:5" ht="24.75" customHeight="1">
      <c r="A2646" s="2">
        <v>2644</v>
      </c>
      <c r="B2646" s="2" t="str">
        <f>"李宏龙"</f>
        <v>李宏龙</v>
      </c>
      <c r="C2646" s="2" t="s">
        <v>2476</v>
      </c>
      <c r="D2646" s="2" t="s">
        <v>2495</v>
      </c>
      <c r="E2646" s="3"/>
    </row>
    <row r="2647" spans="1:5" ht="24.75" customHeight="1">
      <c r="A2647" s="2">
        <v>2645</v>
      </c>
      <c r="B2647" s="2" t="str">
        <f>"熊章喜"</f>
        <v>熊章喜</v>
      </c>
      <c r="C2647" s="2" t="s">
        <v>2476</v>
      </c>
      <c r="D2647" s="2" t="s">
        <v>2496</v>
      </c>
      <c r="E2647" s="3"/>
    </row>
    <row r="2648" spans="1:5" ht="24.75" customHeight="1">
      <c r="A2648" s="2">
        <v>2646</v>
      </c>
      <c r="B2648" s="2" t="str">
        <f>"林柏权"</f>
        <v>林柏权</v>
      </c>
      <c r="C2648" s="2" t="s">
        <v>2476</v>
      </c>
      <c r="D2648" s="2" t="s">
        <v>2497</v>
      </c>
      <c r="E2648" s="3"/>
    </row>
    <row r="2649" spans="1:5" ht="24.75" customHeight="1">
      <c r="A2649" s="2">
        <v>2647</v>
      </c>
      <c r="B2649" s="2" t="str">
        <f>"杨辉"</f>
        <v>杨辉</v>
      </c>
      <c r="C2649" s="2" t="s">
        <v>2476</v>
      </c>
      <c r="D2649" s="2" t="s">
        <v>2498</v>
      </c>
      <c r="E2649" s="3"/>
    </row>
    <row r="2650" spans="1:5" ht="24.75" customHeight="1">
      <c r="A2650" s="2">
        <v>2648</v>
      </c>
      <c r="B2650" s="2" t="str">
        <f>"潘婷婷"</f>
        <v>潘婷婷</v>
      </c>
      <c r="C2650" s="2" t="s">
        <v>2476</v>
      </c>
      <c r="D2650" s="2" t="s">
        <v>2499</v>
      </c>
      <c r="E2650" s="3"/>
    </row>
    <row r="2651" spans="1:5" ht="24.75" customHeight="1">
      <c r="A2651" s="2">
        <v>2649</v>
      </c>
      <c r="B2651" s="2" t="str">
        <f>"高荣祥"</f>
        <v>高荣祥</v>
      </c>
      <c r="C2651" s="2" t="s">
        <v>2476</v>
      </c>
      <c r="D2651" s="2" t="s">
        <v>2500</v>
      </c>
      <c r="E2651" s="3"/>
    </row>
    <row r="2652" spans="1:5" ht="24.75" customHeight="1">
      <c r="A2652" s="2">
        <v>2650</v>
      </c>
      <c r="B2652" s="2" t="str">
        <f>"莫鹏渝"</f>
        <v>莫鹏渝</v>
      </c>
      <c r="C2652" s="2" t="s">
        <v>2476</v>
      </c>
      <c r="D2652" s="2" t="s">
        <v>2501</v>
      </c>
      <c r="E2652" s="3"/>
    </row>
    <row r="2653" spans="1:5" ht="24.75" customHeight="1">
      <c r="A2653" s="2">
        <v>2651</v>
      </c>
      <c r="B2653" s="2" t="str">
        <f>"陈贻柱"</f>
        <v>陈贻柱</v>
      </c>
      <c r="C2653" s="2" t="s">
        <v>2476</v>
      </c>
      <c r="D2653" s="2" t="s">
        <v>2502</v>
      </c>
      <c r="E2653" s="3"/>
    </row>
    <row r="2654" spans="1:5" ht="24.75" customHeight="1">
      <c r="A2654" s="2">
        <v>2652</v>
      </c>
      <c r="B2654" s="2" t="str">
        <f>"吴城"</f>
        <v>吴城</v>
      </c>
      <c r="C2654" s="2" t="s">
        <v>2476</v>
      </c>
      <c r="D2654" s="2" t="s">
        <v>2503</v>
      </c>
      <c r="E2654" s="3"/>
    </row>
    <row r="2655" spans="1:5" ht="24.75" customHeight="1">
      <c r="A2655" s="2">
        <v>2653</v>
      </c>
      <c r="B2655" s="2" t="str">
        <f>"王承昆"</f>
        <v>王承昆</v>
      </c>
      <c r="C2655" s="2" t="s">
        <v>2476</v>
      </c>
      <c r="D2655" s="2" t="s">
        <v>2504</v>
      </c>
      <c r="E2655" s="3"/>
    </row>
    <row r="2656" spans="1:5" ht="24.75" customHeight="1">
      <c r="A2656" s="2">
        <v>2654</v>
      </c>
      <c r="B2656" s="2" t="str">
        <f>"郑鑫康"</f>
        <v>郑鑫康</v>
      </c>
      <c r="C2656" s="2" t="s">
        <v>2476</v>
      </c>
      <c r="D2656" s="2" t="s">
        <v>2505</v>
      </c>
      <c r="E2656" s="3"/>
    </row>
    <row r="2657" spans="1:5" ht="24.75" customHeight="1">
      <c r="A2657" s="2">
        <v>2655</v>
      </c>
      <c r="B2657" s="2" t="str">
        <f>"温振鸿"</f>
        <v>温振鸿</v>
      </c>
      <c r="C2657" s="2" t="s">
        <v>2476</v>
      </c>
      <c r="D2657" s="2" t="s">
        <v>2506</v>
      </c>
      <c r="E2657" s="3"/>
    </row>
    <row r="2658" spans="1:5" ht="24.75" customHeight="1">
      <c r="A2658" s="2">
        <v>2656</v>
      </c>
      <c r="B2658" s="2" t="str">
        <f>"黄齐仪"</f>
        <v>黄齐仪</v>
      </c>
      <c r="C2658" s="2" t="s">
        <v>2476</v>
      </c>
      <c r="D2658" s="2" t="s">
        <v>2192</v>
      </c>
      <c r="E2658" s="3"/>
    </row>
    <row r="2659" spans="1:5" ht="24.75" customHeight="1">
      <c r="A2659" s="2">
        <v>2657</v>
      </c>
      <c r="B2659" s="2" t="str">
        <f>"曾德能"</f>
        <v>曾德能</v>
      </c>
      <c r="C2659" s="2" t="s">
        <v>2476</v>
      </c>
      <c r="D2659" s="2" t="s">
        <v>2507</v>
      </c>
      <c r="E2659" s="3"/>
    </row>
    <row r="2660" spans="1:5" ht="24.75" customHeight="1">
      <c r="A2660" s="2">
        <v>2658</v>
      </c>
      <c r="B2660" s="2" t="str">
        <f>"李嘉琪"</f>
        <v>李嘉琪</v>
      </c>
      <c r="C2660" s="2" t="s">
        <v>2476</v>
      </c>
      <c r="D2660" s="2" t="s">
        <v>2508</v>
      </c>
      <c r="E2660" s="3"/>
    </row>
    <row r="2661" spans="1:5" ht="24.75" customHeight="1">
      <c r="A2661" s="2">
        <v>2659</v>
      </c>
      <c r="B2661" s="2" t="str">
        <f>"严朝锦"</f>
        <v>严朝锦</v>
      </c>
      <c r="C2661" s="2" t="s">
        <v>2476</v>
      </c>
      <c r="D2661" s="2" t="s">
        <v>2509</v>
      </c>
      <c r="E2661" s="3"/>
    </row>
    <row r="2662" spans="1:5" ht="24.75" customHeight="1">
      <c r="A2662" s="2">
        <v>2660</v>
      </c>
      <c r="B2662" s="2" t="str">
        <f>"黎卫卫"</f>
        <v>黎卫卫</v>
      </c>
      <c r="C2662" s="2" t="s">
        <v>2476</v>
      </c>
      <c r="D2662" s="2" t="s">
        <v>2510</v>
      </c>
      <c r="E2662" s="3"/>
    </row>
    <row r="2663" spans="1:5" ht="24.75" customHeight="1">
      <c r="A2663" s="2">
        <v>2661</v>
      </c>
      <c r="B2663" s="2" t="str">
        <f>"郑芳誉"</f>
        <v>郑芳誉</v>
      </c>
      <c r="C2663" s="2" t="s">
        <v>2476</v>
      </c>
      <c r="D2663" s="2" t="s">
        <v>2511</v>
      </c>
      <c r="E2663" s="3"/>
    </row>
    <row r="2664" spans="1:5" ht="24.75" customHeight="1">
      <c r="A2664" s="2">
        <v>2662</v>
      </c>
      <c r="B2664" s="2" t="str">
        <f>"周吉琛"</f>
        <v>周吉琛</v>
      </c>
      <c r="C2664" s="2" t="s">
        <v>2476</v>
      </c>
      <c r="D2664" s="2" t="s">
        <v>2512</v>
      </c>
      <c r="E2664" s="3"/>
    </row>
    <row r="2665" spans="1:5" ht="24.75" customHeight="1">
      <c r="A2665" s="2">
        <v>2663</v>
      </c>
      <c r="B2665" s="2" t="str">
        <f>"殷月娟"</f>
        <v>殷月娟</v>
      </c>
      <c r="C2665" s="2" t="s">
        <v>2513</v>
      </c>
      <c r="D2665" s="2" t="s">
        <v>2514</v>
      </c>
      <c r="E2665" s="3"/>
    </row>
    <row r="2666" spans="1:5" ht="24.75" customHeight="1">
      <c r="A2666" s="2">
        <v>2664</v>
      </c>
      <c r="B2666" s="2" t="str">
        <f>"周敏"</f>
        <v>周敏</v>
      </c>
      <c r="C2666" s="2" t="s">
        <v>2513</v>
      </c>
      <c r="D2666" s="2" t="s">
        <v>2515</v>
      </c>
      <c r="E2666" s="3"/>
    </row>
    <row r="2667" spans="1:5" ht="24.75" customHeight="1">
      <c r="A2667" s="2">
        <v>2665</v>
      </c>
      <c r="B2667" s="2" t="str">
        <f>"陈碧荣"</f>
        <v>陈碧荣</v>
      </c>
      <c r="C2667" s="2" t="s">
        <v>2513</v>
      </c>
      <c r="D2667" s="2" t="s">
        <v>2516</v>
      </c>
      <c r="E2667" s="3"/>
    </row>
    <row r="2668" spans="1:5" ht="24.75" customHeight="1">
      <c r="A2668" s="2">
        <v>2666</v>
      </c>
      <c r="B2668" s="2" t="str">
        <f>"林燕妮"</f>
        <v>林燕妮</v>
      </c>
      <c r="C2668" s="2" t="s">
        <v>2513</v>
      </c>
      <c r="D2668" s="2" t="s">
        <v>245</v>
      </c>
      <c r="E2668" s="3"/>
    </row>
    <row r="2669" spans="1:5" ht="24.75" customHeight="1">
      <c r="A2669" s="2">
        <v>2667</v>
      </c>
      <c r="B2669" s="2" t="str">
        <f>"陈茗茜"</f>
        <v>陈茗茜</v>
      </c>
      <c r="C2669" s="2" t="s">
        <v>2513</v>
      </c>
      <c r="D2669" s="2" t="s">
        <v>2517</v>
      </c>
      <c r="E2669" s="3"/>
    </row>
    <row r="2670" spans="1:5" ht="24.75" customHeight="1">
      <c r="A2670" s="2">
        <v>2668</v>
      </c>
      <c r="B2670" s="2" t="str">
        <f>"王娇调"</f>
        <v>王娇调</v>
      </c>
      <c r="C2670" s="2" t="s">
        <v>2513</v>
      </c>
      <c r="D2670" s="2" t="s">
        <v>2518</v>
      </c>
      <c r="E2670" s="3"/>
    </row>
    <row r="2671" spans="1:5" ht="24.75" customHeight="1">
      <c r="A2671" s="2">
        <v>2669</v>
      </c>
      <c r="B2671" s="2" t="str">
        <f>"符国钰"</f>
        <v>符国钰</v>
      </c>
      <c r="C2671" s="2" t="s">
        <v>2513</v>
      </c>
      <c r="D2671" s="2" t="s">
        <v>2519</v>
      </c>
      <c r="E2671" s="3"/>
    </row>
    <row r="2672" spans="1:5" ht="24.75" customHeight="1">
      <c r="A2672" s="2">
        <v>2670</v>
      </c>
      <c r="B2672" s="2" t="str">
        <f>"吴夏蕊"</f>
        <v>吴夏蕊</v>
      </c>
      <c r="C2672" s="2" t="s">
        <v>2513</v>
      </c>
      <c r="D2672" s="2" t="s">
        <v>48</v>
      </c>
      <c r="E2672" s="3"/>
    </row>
    <row r="2673" spans="1:5" ht="24.75" customHeight="1">
      <c r="A2673" s="2">
        <v>2671</v>
      </c>
      <c r="B2673" s="2" t="str">
        <f>"蔡小滨"</f>
        <v>蔡小滨</v>
      </c>
      <c r="C2673" s="2" t="s">
        <v>2513</v>
      </c>
      <c r="D2673" s="2" t="s">
        <v>2520</v>
      </c>
      <c r="E2673" s="3"/>
    </row>
    <row r="2674" spans="1:5" ht="24.75" customHeight="1">
      <c r="A2674" s="2">
        <v>2672</v>
      </c>
      <c r="B2674" s="2" t="str">
        <f>"符延孟"</f>
        <v>符延孟</v>
      </c>
      <c r="C2674" s="2" t="s">
        <v>2513</v>
      </c>
      <c r="D2674" s="2" t="s">
        <v>2521</v>
      </c>
      <c r="E2674" s="3"/>
    </row>
    <row r="2675" spans="1:5" ht="24.75" customHeight="1">
      <c r="A2675" s="2">
        <v>2673</v>
      </c>
      <c r="B2675" s="2" t="str">
        <f>"吴娃南"</f>
        <v>吴娃南</v>
      </c>
      <c r="C2675" s="2" t="s">
        <v>2513</v>
      </c>
      <c r="D2675" s="2" t="s">
        <v>2522</v>
      </c>
      <c r="E2675" s="3"/>
    </row>
    <row r="2676" spans="1:5" ht="24.75" customHeight="1">
      <c r="A2676" s="2">
        <v>2674</v>
      </c>
      <c r="B2676" s="2" t="str">
        <f>"陈冰"</f>
        <v>陈冰</v>
      </c>
      <c r="C2676" s="2" t="s">
        <v>2513</v>
      </c>
      <c r="D2676" s="2" t="s">
        <v>2523</v>
      </c>
      <c r="E2676" s="3"/>
    </row>
    <row r="2677" spans="1:5" ht="24.75" customHeight="1">
      <c r="A2677" s="2">
        <v>2675</v>
      </c>
      <c r="B2677" s="2" t="str">
        <f>"许冬妹"</f>
        <v>许冬妹</v>
      </c>
      <c r="C2677" s="2" t="s">
        <v>2513</v>
      </c>
      <c r="D2677" s="2" t="s">
        <v>1502</v>
      </c>
      <c r="E2677" s="3"/>
    </row>
    <row r="2678" spans="1:5" ht="24.75" customHeight="1">
      <c r="A2678" s="2">
        <v>2676</v>
      </c>
      <c r="B2678" s="2" t="str">
        <f>"王仕诚"</f>
        <v>王仕诚</v>
      </c>
      <c r="C2678" s="2" t="s">
        <v>2513</v>
      </c>
      <c r="D2678" s="2" t="s">
        <v>2524</v>
      </c>
      <c r="E2678" s="3"/>
    </row>
    <row r="2679" spans="1:5" ht="24.75" customHeight="1">
      <c r="A2679" s="2">
        <v>2677</v>
      </c>
      <c r="B2679" s="2" t="str">
        <f>"叶泳槟"</f>
        <v>叶泳槟</v>
      </c>
      <c r="C2679" s="2" t="s">
        <v>2513</v>
      </c>
      <c r="D2679" s="2" t="s">
        <v>2525</v>
      </c>
      <c r="E2679" s="3"/>
    </row>
    <row r="2680" spans="1:5" ht="24.75" customHeight="1">
      <c r="A2680" s="2">
        <v>2678</v>
      </c>
      <c r="B2680" s="2" t="str">
        <f>"岑仕影"</f>
        <v>岑仕影</v>
      </c>
      <c r="C2680" s="2" t="s">
        <v>2513</v>
      </c>
      <c r="D2680" s="2" t="s">
        <v>2309</v>
      </c>
      <c r="E2680" s="3"/>
    </row>
    <row r="2681" spans="1:5" ht="24.75" customHeight="1">
      <c r="A2681" s="2">
        <v>2679</v>
      </c>
      <c r="B2681" s="2" t="str">
        <f>"王焯"</f>
        <v>王焯</v>
      </c>
      <c r="C2681" s="2" t="s">
        <v>2513</v>
      </c>
      <c r="D2681" s="2" t="s">
        <v>2526</v>
      </c>
      <c r="E2681" s="3"/>
    </row>
    <row r="2682" spans="1:5" ht="24.75" customHeight="1">
      <c r="A2682" s="2">
        <v>2680</v>
      </c>
      <c r="B2682" s="2" t="str">
        <f>"陆嘉怡"</f>
        <v>陆嘉怡</v>
      </c>
      <c r="C2682" s="2" t="s">
        <v>2513</v>
      </c>
      <c r="D2682" s="2" t="s">
        <v>2527</v>
      </c>
      <c r="E2682" s="3"/>
    </row>
    <row r="2683" spans="1:5" ht="24.75" customHeight="1">
      <c r="A2683" s="2">
        <v>2681</v>
      </c>
      <c r="B2683" s="2" t="str">
        <f>"罗南通"</f>
        <v>罗南通</v>
      </c>
      <c r="C2683" s="2" t="s">
        <v>2513</v>
      </c>
      <c r="D2683" s="2" t="s">
        <v>2528</v>
      </c>
      <c r="E2683" s="3"/>
    </row>
    <row r="2684" spans="1:5" ht="24.75" customHeight="1">
      <c r="A2684" s="2">
        <v>2682</v>
      </c>
      <c r="B2684" s="2" t="str">
        <f>"符映映"</f>
        <v>符映映</v>
      </c>
      <c r="C2684" s="2" t="s">
        <v>2513</v>
      </c>
      <c r="D2684" s="2" t="s">
        <v>2529</v>
      </c>
      <c r="E2684" s="3"/>
    </row>
    <row r="2685" spans="1:5" ht="24.75" customHeight="1">
      <c r="A2685" s="2">
        <v>2683</v>
      </c>
      <c r="B2685" s="2" t="str">
        <f>"欧阳贝"</f>
        <v>欧阳贝</v>
      </c>
      <c r="C2685" s="2" t="s">
        <v>2513</v>
      </c>
      <c r="D2685" s="2" t="s">
        <v>2530</v>
      </c>
      <c r="E2685" s="3"/>
    </row>
    <row r="2686" spans="1:5" ht="24.75" customHeight="1">
      <c r="A2686" s="2">
        <v>2684</v>
      </c>
      <c r="B2686" s="2" t="str">
        <f>"庞信参"</f>
        <v>庞信参</v>
      </c>
      <c r="C2686" s="2" t="s">
        <v>2513</v>
      </c>
      <c r="D2686" s="2" t="s">
        <v>2531</v>
      </c>
      <c r="E2686" s="3"/>
    </row>
    <row r="2687" spans="1:5" ht="24.75" customHeight="1">
      <c r="A2687" s="2">
        <v>2685</v>
      </c>
      <c r="B2687" s="2" t="str">
        <f>"田诗敏"</f>
        <v>田诗敏</v>
      </c>
      <c r="C2687" s="2" t="s">
        <v>2513</v>
      </c>
      <c r="D2687" s="2" t="s">
        <v>2532</v>
      </c>
      <c r="E2687" s="3"/>
    </row>
    <row r="2688" spans="1:5" ht="24.75" customHeight="1">
      <c r="A2688" s="2">
        <v>2686</v>
      </c>
      <c r="B2688" s="2" t="str">
        <f>"何颖"</f>
        <v>何颖</v>
      </c>
      <c r="C2688" s="2" t="s">
        <v>2513</v>
      </c>
      <c r="D2688" s="2" t="s">
        <v>2533</v>
      </c>
      <c r="E2688" s="3"/>
    </row>
    <row r="2689" spans="1:5" ht="24.75" customHeight="1">
      <c r="A2689" s="2">
        <v>2687</v>
      </c>
      <c r="B2689" s="2" t="str">
        <f>"陈星汝"</f>
        <v>陈星汝</v>
      </c>
      <c r="C2689" s="2" t="s">
        <v>2513</v>
      </c>
      <c r="D2689" s="2" t="s">
        <v>2534</v>
      </c>
      <c r="E2689" s="3"/>
    </row>
    <row r="2690" spans="1:5" ht="24.75" customHeight="1">
      <c r="A2690" s="2">
        <v>2688</v>
      </c>
      <c r="B2690" s="2" t="str">
        <f>"李雪颖"</f>
        <v>李雪颖</v>
      </c>
      <c r="C2690" s="2" t="s">
        <v>2513</v>
      </c>
      <c r="D2690" s="2" t="s">
        <v>2535</v>
      </c>
      <c r="E2690" s="3"/>
    </row>
    <row r="2691" spans="1:5" ht="24.75" customHeight="1">
      <c r="A2691" s="2">
        <v>2689</v>
      </c>
      <c r="B2691" s="2" t="str">
        <f>"梁霓云"</f>
        <v>梁霓云</v>
      </c>
      <c r="C2691" s="2" t="s">
        <v>2513</v>
      </c>
      <c r="D2691" s="2" t="s">
        <v>2536</v>
      </c>
      <c r="E2691" s="3"/>
    </row>
    <row r="2692" spans="1:5" ht="24.75" customHeight="1">
      <c r="A2692" s="2">
        <v>2690</v>
      </c>
      <c r="B2692" s="2" t="str">
        <f>"赵媚媚"</f>
        <v>赵媚媚</v>
      </c>
      <c r="C2692" s="2" t="s">
        <v>2513</v>
      </c>
      <c r="D2692" s="2" t="s">
        <v>2537</v>
      </c>
      <c r="E2692" s="3"/>
    </row>
    <row r="2693" spans="1:5" ht="24.75" customHeight="1">
      <c r="A2693" s="2">
        <v>2691</v>
      </c>
      <c r="B2693" s="2" t="str">
        <f>"林子钧"</f>
        <v>林子钧</v>
      </c>
      <c r="C2693" s="2" t="s">
        <v>2513</v>
      </c>
      <c r="D2693" s="2" t="s">
        <v>2538</v>
      </c>
      <c r="E2693" s="3"/>
    </row>
    <row r="2694" spans="1:5" ht="24.75" customHeight="1">
      <c r="A2694" s="2">
        <v>2692</v>
      </c>
      <c r="B2694" s="2" t="str">
        <f>"符清俊"</f>
        <v>符清俊</v>
      </c>
      <c r="C2694" s="2" t="s">
        <v>2513</v>
      </c>
      <c r="D2694" s="2" t="s">
        <v>2539</v>
      </c>
      <c r="E2694" s="3"/>
    </row>
    <row r="2695" spans="1:5" ht="24.75" customHeight="1">
      <c r="A2695" s="2">
        <v>2693</v>
      </c>
      <c r="B2695" s="2" t="str">
        <f>"王静"</f>
        <v>王静</v>
      </c>
      <c r="C2695" s="2" t="s">
        <v>2513</v>
      </c>
      <c r="D2695" s="2" t="s">
        <v>2540</v>
      </c>
      <c r="E2695" s="3"/>
    </row>
    <row r="2696" spans="1:5" ht="24.75" customHeight="1">
      <c r="A2696" s="2">
        <v>2694</v>
      </c>
      <c r="B2696" s="2" t="str">
        <f>"王孟娜"</f>
        <v>王孟娜</v>
      </c>
      <c r="C2696" s="2" t="s">
        <v>2513</v>
      </c>
      <c r="D2696" s="2" t="s">
        <v>2541</v>
      </c>
      <c r="E2696" s="3"/>
    </row>
    <row r="2697" spans="1:5" ht="24.75" customHeight="1">
      <c r="A2697" s="2">
        <v>2695</v>
      </c>
      <c r="B2697" s="2" t="str">
        <f>"文丁博"</f>
        <v>文丁博</v>
      </c>
      <c r="C2697" s="2" t="s">
        <v>2542</v>
      </c>
      <c r="D2697" s="2" t="s">
        <v>2543</v>
      </c>
      <c r="E2697" s="3"/>
    </row>
    <row r="2698" spans="1:5" ht="24.75" customHeight="1">
      <c r="A2698" s="2">
        <v>2696</v>
      </c>
      <c r="B2698" s="2" t="str">
        <f>"肖鹃羚"</f>
        <v>肖鹃羚</v>
      </c>
      <c r="C2698" s="2" t="s">
        <v>2542</v>
      </c>
      <c r="D2698" s="2" t="s">
        <v>2544</v>
      </c>
      <c r="E2698" s="3"/>
    </row>
    <row r="2699" spans="1:5" ht="24.75" customHeight="1">
      <c r="A2699" s="2">
        <v>2697</v>
      </c>
      <c r="B2699" s="2" t="str">
        <f>"符传汉"</f>
        <v>符传汉</v>
      </c>
      <c r="C2699" s="2" t="s">
        <v>2542</v>
      </c>
      <c r="D2699" s="2" t="s">
        <v>2545</v>
      </c>
      <c r="E2699" s="3"/>
    </row>
    <row r="2700" spans="1:5" ht="24.75" customHeight="1">
      <c r="A2700" s="2">
        <v>2698</v>
      </c>
      <c r="B2700" s="2" t="str">
        <f>"陈淑君"</f>
        <v>陈淑君</v>
      </c>
      <c r="C2700" s="2" t="s">
        <v>2542</v>
      </c>
      <c r="D2700" s="2" t="s">
        <v>2546</v>
      </c>
      <c r="E2700" s="3"/>
    </row>
    <row r="2701" spans="1:5" ht="24.75" customHeight="1">
      <c r="A2701" s="2">
        <v>2699</v>
      </c>
      <c r="B2701" s="2" t="str">
        <f>"裴名俐"</f>
        <v>裴名俐</v>
      </c>
      <c r="C2701" s="2" t="s">
        <v>2542</v>
      </c>
      <c r="D2701" s="2" t="s">
        <v>2547</v>
      </c>
      <c r="E2701" s="3"/>
    </row>
    <row r="2702" spans="1:5" ht="24.75" customHeight="1">
      <c r="A2702" s="2">
        <v>2700</v>
      </c>
      <c r="B2702" s="2" t="str">
        <f>"熊章胜"</f>
        <v>熊章胜</v>
      </c>
      <c r="C2702" s="2" t="s">
        <v>2542</v>
      </c>
      <c r="D2702" s="2" t="s">
        <v>1417</v>
      </c>
      <c r="E2702" s="3"/>
    </row>
    <row r="2703" spans="1:5" ht="24.75" customHeight="1">
      <c r="A2703" s="2">
        <v>2701</v>
      </c>
      <c r="B2703" s="2" t="str">
        <f>"姚国铭"</f>
        <v>姚国铭</v>
      </c>
      <c r="C2703" s="2" t="s">
        <v>2542</v>
      </c>
      <c r="D2703" s="2" t="s">
        <v>2548</v>
      </c>
      <c r="E2703" s="3"/>
    </row>
    <row r="2704" spans="1:5" ht="24.75" customHeight="1">
      <c r="A2704" s="2">
        <v>2702</v>
      </c>
      <c r="B2704" s="2" t="str">
        <f>"钟斌"</f>
        <v>钟斌</v>
      </c>
      <c r="C2704" s="2" t="s">
        <v>2542</v>
      </c>
      <c r="D2704" s="2" t="s">
        <v>2549</v>
      </c>
      <c r="E2704" s="3"/>
    </row>
    <row r="2705" spans="1:5" ht="24.75" customHeight="1">
      <c r="A2705" s="2">
        <v>2703</v>
      </c>
      <c r="B2705" s="2" t="str">
        <f>"殷礼报"</f>
        <v>殷礼报</v>
      </c>
      <c r="C2705" s="2" t="s">
        <v>2542</v>
      </c>
      <c r="D2705" s="2" t="s">
        <v>2495</v>
      </c>
      <c r="E2705" s="3"/>
    </row>
    <row r="2706" spans="1:5" ht="24.75" customHeight="1">
      <c r="A2706" s="2">
        <v>2704</v>
      </c>
      <c r="B2706" s="2" t="str">
        <f>"黄香演"</f>
        <v>黄香演</v>
      </c>
      <c r="C2706" s="2" t="s">
        <v>2542</v>
      </c>
      <c r="D2706" s="2" t="s">
        <v>1086</v>
      </c>
      <c r="E2706" s="3"/>
    </row>
    <row r="2707" spans="1:5" ht="24.75" customHeight="1">
      <c r="A2707" s="2">
        <v>2705</v>
      </c>
      <c r="B2707" s="2" t="str">
        <f>"陈照统"</f>
        <v>陈照统</v>
      </c>
      <c r="C2707" s="2" t="s">
        <v>2542</v>
      </c>
      <c r="D2707" s="2" t="s">
        <v>2550</v>
      </c>
      <c r="E2707" s="3"/>
    </row>
    <row r="2708" spans="1:5" ht="24.75" customHeight="1">
      <c r="A2708" s="2">
        <v>2706</v>
      </c>
      <c r="B2708" s="2" t="str">
        <f>"杨景莉"</f>
        <v>杨景莉</v>
      </c>
      <c r="C2708" s="2" t="s">
        <v>2542</v>
      </c>
      <c r="D2708" s="2" t="s">
        <v>2443</v>
      </c>
      <c r="E2708" s="3"/>
    </row>
    <row r="2709" spans="1:5" ht="24.75" customHeight="1">
      <c r="A2709" s="2">
        <v>2707</v>
      </c>
      <c r="B2709" s="2" t="str">
        <f>"梁彬"</f>
        <v>梁彬</v>
      </c>
      <c r="C2709" s="2" t="s">
        <v>2542</v>
      </c>
      <c r="D2709" s="2" t="s">
        <v>2551</v>
      </c>
      <c r="E2709" s="3"/>
    </row>
    <row r="2710" spans="1:5" ht="24.75" customHeight="1">
      <c r="A2710" s="2">
        <v>2708</v>
      </c>
      <c r="B2710" s="2" t="str">
        <f>"陈道帅"</f>
        <v>陈道帅</v>
      </c>
      <c r="C2710" s="2" t="s">
        <v>2542</v>
      </c>
      <c r="D2710" s="2" t="s">
        <v>2552</v>
      </c>
      <c r="E2710" s="3"/>
    </row>
    <row r="2711" spans="1:5" ht="24.75" customHeight="1">
      <c r="A2711" s="2">
        <v>2709</v>
      </c>
      <c r="B2711" s="2" t="str">
        <f>"李恺冰"</f>
        <v>李恺冰</v>
      </c>
      <c r="C2711" s="2" t="s">
        <v>2542</v>
      </c>
      <c r="D2711" s="2" t="s">
        <v>2553</v>
      </c>
      <c r="E2711" s="3"/>
    </row>
    <row r="2712" spans="1:5" ht="24.75" customHeight="1">
      <c r="A2712" s="2">
        <v>2710</v>
      </c>
      <c r="B2712" s="2" t="str">
        <f>"翁焕春"</f>
        <v>翁焕春</v>
      </c>
      <c r="C2712" s="2" t="s">
        <v>2542</v>
      </c>
      <c r="D2712" s="2" t="s">
        <v>483</v>
      </c>
      <c r="E2712" s="3"/>
    </row>
    <row r="2713" spans="1:5" ht="24.75" customHeight="1">
      <c r="A2713" s="2">
        <v>2711</v>
      </c>
      <c r="B2713" s="2" t="str">
        <f>"丁颖达"</f>
        <v>丁颖达</v>
      </c>
      <c r="C2713" s="2" t="s">
        <v>2542</v>
      </c>
      <c r="D2713" s="2" t="s">
        <v>2554</v>
      </c>
      <c r="E2713" s="3"/>
    </row>
    <row r="2714" spans="1:5" ht="24.75" customHeight="1">
      <c r="A2714" s="2">
        <v>2712</v>
      </c>
      <c r="B2714" s="2" t="str">
        <f>"黎俊泉"</f>
        <v>黎俊泉</v>
      </c>
      <c r="C2714" s="2" t="s">
        <v>2542</v>
      </c>
      <c r="D2714" s="2" t="s">
        <v>2555</v>
      </c>
      <c r="E2714" s="3"/>
    </row>
    <row r="2715" spans="1:5" ht="24.75" customHeight="1">
      <c r="A2715" s="2">
        <v>2713</v>
      </c>
      <c r="B2715" s="2" t="str">
        <f>"吴英祥"</f>
        <v>吴英祥</v>
      </c>
      <c r="C2715" s="2" t="s">
        <v>2542</v>
      </c>
      <c r="D2715" s="2" t="s">
        <v>2556</v>
      </c>
      <c r="E2715" s="3"/>
    </row>
    <row r="2716" spans="1:5" ht="24.75" customHeight="1">
      <c r="A2716" s="2">
        <v>2714</v>
      </c>
      <c r="B2716" s="2" t="str">
        <f>"林秀"</f>
        <v>林秀</v>
      </c>
      <c r="C2716" s="2" t="s">
        <v>2542</v>
      </c>
      <c r="D2716" s="2" t="s">
        <v>314</v>
      </c>
      <c r="E2716" s="3"/>
    </row>
    <row r="2717" spans="1:5" ht="24.75" customHeight="1">
      <c r="A2717" s="2">
        <v>2715</v>
      </c>
      <c r="B2717" s="2" t="str">
        <f>"杨应帅"</f>
        <v>杨应帅</v>
      </c>
      <c r="C2717" s="2" t="s">
        <v>2542</v>
      </c>
      <c r="D2717" s="2" t="s">
        <v>2557</v>
      </c>
      <c r="E2717" s="3"/>
    </row>
    <row r="2718" spans="1:5" ht="24.75" customHeight="1">
      <c r="A2718" s="2">
        <v>2716</v>
      </c>
      <c r="B2718" s="2" t="str">
        <f>"张必学"</f>
        <v>张必学</v>
      </c>
      <c r="C2718" s="2" t="s">
        <v>2542</v>
      </c>
      <c r="D2718" s="2" t="s">
        <v>2543</v>
      </c>
      <c r="E2718" s="3"/>
    </row>
    <row r="2719" spans="1:5" ht="24.75" customHeight="1">
      <c r="A2719" s="2">
        <v>2717</v>
      </c>
      <c r="B2719" s="2" t="str">
        <f>"熊章玉"</f>
        <v>熊章玉</v>
      </c>
      <c r="C2719" s="2" t="s">
        <v>2542</v>
      </c>
      <c r="D2719" s="2" t="s">
        <v>2558</v>
      </c>
      <c r="E2719" s="3"/>
    </row>
    <row r="2720" spans="1:5" ht="24.75" customHeight="1">
      <c r="A2720" s="2">
        <v>2718</v>
      </c>
      <c r="B2720" s="2" t="str">
        <f>"黄裕桐"</f>
        <v>黄裕桐</v>
      </c>
      <c r="C2720" s="2" t="s">
        <v>2542</v>
      </c>
      <c r="D2720" s="2" t="s">
        <v>2559</v>
      </c>
      <c r="E2720" s="3"/>
    </row>
    <row r="2721" spans="1:5" ht="24.75" customHeight="1">
      <c r="A2721" s="2">
        <v>2719</v>
      </c>
      <c r="B2721" s="2" t="str">
        <f>"李正超"</f>
        <v>李正超</v>
      </c>
      <c r="C2721" s="2" t="s">
        <v>2542</v>
      </c>
      <c r="D2721" s="2" t="s">
        <v>2560</v>
      </c>
      <c r="E2721" s="3"/>
    </row>
    <row r="2722" spans="1:5" ht="24.75" customHeight="1">
      <c r="A2722" s="2">
        <v>2720</v>
      </c>
      <c r="B2722" s="2" t="str">
        <f>"林策"</f>
        <v>林策</v>
      </c>
      <c r="C2722" s="2" t="s">
        <v>2542</v>
      </c>
      <c r="D2722" s="2" t="s">
        <v>2561</v>
      </c>
      <c r="E2722" s="3"/>
    </row>
    <row r="2723" spans="1:5" ht="24.75" customHeight="1">
      <c r="A2723" s="2">
        <v>2721</v>
      </c>
      <c r="B2723" s="2" t="str">
        <f>"陈春瑾"</f>
        <v>陈春瑾</v>
      </c>
      <c r="C2723" s="2" t="s">
        <v>2542</v>
      </c>
      <c r="D2723" s="2" t="s">
        <v>2562</v>
      </c>
      <c r="E2723" s="3"/>
    </row>
    <row r="2724" spans="1:5" ht="24.75" customHeight="1">
      <c r="A2724" s="2">
        <v>2722</v>
      </c>
      <c r="B2724" s="2" t="str">
        <f>"陈礼坤"</f>
        <v>陈礼坤</v>
      </c>
      <c r="C2724" s="2" t="s">
        <v>2542</v>
      </c>
      <c r="D2724" s="2" t="s">
        <v>2556</v>
      </c>
      <c r="E2724" s="3"/>
    </row>
    <row r="2725" spans="1:5" ht="24.75" customHeight="1">
      <c r="A2725" s="2">
        <v>2723</v>
      </c>
      <c r="B2725" s="2" t="str">
        <f>"王先宾"</f>
        <v>王先宾</v>
      </c>
      <c r="C2725" s="2" t="s">
        <v>2542</v>
      </c>
      <c r="D2725" s="2" t="s">
        <v>2563</v>
      </c>
      <c r="E2725" s="3"/>
    </row>
    <row r="2726" spans="1:5" ht="24.75" customHeight="1">
      <c r="A2726" s="2">
        <v>2724</v>
      </c>
      <c r="B2726" s="2" t="str">
        <f>"孔晨露"</f>
        <v>孔晨露</v>
      </c>
      <c r="C2726" s="2" t="s">
        <v>2542</v>
      </c>
      <c r="D2726" s="2" t="s">
        <v>2564</v>
      </c>
      <c r="E2726" s="3"/>
    </row>
    <row r="2727" spans="1:5" ht="24.75" customHeight="1">
      <c r="A2727" s="2">
        <v>2725</v>
      </c>
      <c r="B2727" s="2" t="str">
        <f>"赖梦蕾"</f>
        <v>赖梦蕾</v>
      </c>
      <c r="C2727" s="2" t="s">
        <v>2542</v>
      </c>
      <c r="D2727" s="2" t="s">
        <v>1948</v>
      </c>
      <c r="E2727" s="3"/>
    </row>
    <row r="2728" spans="1:5" ht="24.75" customHeight="1">
      <c r="A2728" s="2">
        <v>2726</v>
      </c>
      <c r="B2728" s="2" t="str">
        <f>"朱振汉"</f>
        <v>朱振汉</v>
      </c>
      <c r="C2728" s="2" t="s">
        <v>2565</v>
      </c>
      <c r="D2728" s="2" t="s">
        <v>2566</v>
      </c>
      <c r="E2728" s="3"/>
    </row>
    <row r="2729" spans="1:5" ht="24.75" customHeight="1">
      <c r="A2729" s="2">
        <v>2727</v>
      </c>
      <c r="B2729" s="2" t="str">
        <f>"张娇艳"</f>
        <v>张娇艳</v>
      </c>
      <c r="C2729" s="2" t="s">
        <v>2565</v>
      </c>
      <c r="D2729" s="2" t="s">
        <v>2567</v>
      </c>
      <c r="E2729" s="3"/>
    </row>
    <row r="2730" spans="1:5" ht="24.75" customHeight="1">
      <c r="A2730" s="2">
        <v>2728</v>
      </c>
      <c r="B2730" s="2" t="str">
        <f>"梁楠"</f>
        <v>梁楠</v>
      </c>
      <c r="C2730" s="2" t="s">
        <v>2565</v>
      </c>
      <c r="D2730" s="2" t="s">
        <v>2568</v>
      </c>
      <c r="E2730" s="3"/>
    </row>
    <row r="2731" spans="1:5" ht="24.75" customHeight="1">
      <c r="A2731" s="2">
        <v>2729</v>
      </c>
      <c r="B2731" s="2" t="str">
        <f>"李明睿"</f>
        <v>李明睿</v>
      </c>
      <c r="C2731" s="2" t="s">
        <v>2565</v>
      </c>
      <c r="D2731" s="2" t="s">
        <v>2569</v>
      </c>
      <c r="E2731" s="3"/>
    </row>
    <row r="2732" spans="1:5" ht="24.75" customHeight="1">
      <c r="A2732" s="2">
        <v>2730</v>
      </c>
      <c r="B2732" s="2" t="str">
        <f>"林孑滪"</f>
        <v>林孑滪</v>
      </c>
      <c r="C2732" s="2" t="s">
        <v>2565</v>
      </c>
      <c r="D2732" s="2" t="s">
        <v>2570</v>
      </c>
      <c r="E2732" s="3"/>
    </row>
    <row r="2733" spans="1:5" ht="24.75" customHeight="1">
      <c r="A2733" s="2">
        <v>2731</v>
      </c>
      <c r="B2733" s="2" t="str">
        <f>"陈德壮"</f>
        <v>陈德壮</v>
      </c>
      <c r="C2733" s="2" t="s">
        <v>2565</v>
      </c>
      <c r="D2733" s="2" t="s">
        <v>2571</v>
      </c>
      <c r="E2733" s="3"/>
    </row>
    <row r="2734" spans="1:5" ht="24.75" customHeight="1">
      <c r="A2734" s="2">
        <v>2732</v>
      </c>
      <c r="B2734" s="2" t="str">
        <f>"陈敏洁"</f>
        <v>陈敏洁</v>
      </c>
      <c r="C2734" s="2" t="s">
        <v>2565</v>
      </c>
      <c r="D2734" s="2" t="s">
        <v>2572</v>
      </c>
      <c r="E2734" s="3"/>
    </row>
    <row r="2735" spans="1:5" ht="24.75" customHeight="1">
      <c r="A2735" s="2">
        <v>2733</v>
      </c>
      <c r="B2735" s="2" t="str">
        <f>"周淑云"</f>
        <v>周淑云</v>
      </c>
      <c r="C2735" s="2" t="s">
        <v>2565</v>
      </c>
      <c r="D2735" s="2" t="s">
        <v>2573</v>
      </c>
      <c r="E2735" s="3"/>
    </row>
    <row r="2736" spans="1:5" ht="24.75" customHeight="1">
      <c r="A2736" s="2">
        <v>2734</v>
      </c>
      <c r="B2736" s="2" t="str">
        <f>"何琼玉"</f>
        <v>何琼玉</v>
      </c>
      <c r="C2736" s="2" t="s">
        <v>2565</v>
      </c>
      <c r="D2736" s="2" t="s">
        <v>2574</v>
      </c>
      <c r="E2736" s="3"/>
    </row>
    <row r="2737" spans="1:5" ht="24.75" customHeight="1">
      <c r="A2737" s="2">
        <v>2735</v>
      </c>
      <c r="B2737" s="2" t="str">
        <f>"吴慧瑜"</f>
        <v>吴慧瑜</v>
      </c>
      <c r="C2737" s="2" t="s">
        <v>2565</v>
      </c>
      <c r="D2737" s="2" t="s">
        <v>2575</v>
      </c>
      <c r="E2737" s="3"/>
    </row>
    <row r="2738" spans="1:5" ht="24.75" customHeight="1">
      <c r="A2738" s="2">
        <v>2736</v>
      </c>
      <c r="B2738" s="2" t="str">
        <f>"王明上"</f>
        <v>王明上</v>
      </c>
      <c r="C2738" s="2" t="s">
        <v>2565</v>
      </c>
      <c r="D2738" s="2" t="s">
        <v>2262</v>
      </c>
      <c r="E2738" s="3"/>
    </row>
    <row r="2739" spans="1:5" ht="24.75" customHeight="1">
      <c r="A2739" s="2">
        <v>2737</v>
      </c>
      <c r="B2739" s="2" t="str">
        <f>"黄莹"</f>
        <v>黄莹</v>
      </c>
      <c r="C2739" s="2" t="s">
        <v>2565</v>
      </c>
      <c r="D2739" s="2" t="s">
        <v>2576</v>
      </c>
      <c r="E2739" s="3"/>
    </row>
    <row r="2740" spans="1:5" ht="24.75" customHeight="1">
      <c r="A2740" s="2">
        <v>2738</v>
      </c>
      <c r="B2740" s="2" t="str">
        <f>"刘小雅"</f>
        <v>刘小雅</v>
      </c>
      <c r="C2740" s="2" t="s">
        <v>2565</v>
      </c>
      <c r="D2740" s="2" t="s">
        <v>2577</v>
      </c>
      <c r="E2740" s="3"/>
    </row>
    <row r="2741" spans="1:5" ht="24.75" customHeight="1">
      <c r="A2741" s="2">
        <v>2739</v>
      </c>
      <c r="B2741" s="2" t="str">
        <f>"陈丽蔓"</f>
        <v>陈丽蔓</v>
      </c>
      <c r="C2741" s="2" t="s">
        <v>2565</v>
      </c>
      <c r="D2741" s="2" t="s">
        <v>2578</v>
      </c>
      <c r="E2741" s="3"/>
    </row>
    <row r="2742" spans="1:5" ht="24.75" customHeight="1">
      <c r="A2742" s="2">
        <v>2740</v>
      </c>
      <c r="B2742" s="2" t="str">
        <f>"朱妙龄"</f>
        <v>朱妙龄</v>
      </c>
      <c r="C2742" s="2" t="s">
        <v>2579</v>
      </c>
      <c r="D2742" s="2" t="s">
        <v>2580</v>
      </c>
      <c r="E2742" s="3"/>
    </row>
    <row r="2743" spans="1:5" ht="24.75" customHeight="1">
      <c r="A2743" s="2">
        <v>2741</v>
      </c>
      <c r="B2743" s="2" t="str">
        <f>"林立雄"</f>
        <v>林立雄</v>
      </c>
      <c r="C2743" s="2" t="s">
        <v>2579</v>
      </c>
      <c r="D2743" s="2" t="s">
        <v>2581</v>
      </c>
      <c r="E2743" s="3"/>
    </row>
    <row r="2744" spans="1:5" ht="24.75" customHeight="1">
      <c r="A2744" s="2">
        <v>2742</v>
      </c>
      <c r="B2744" s="2" t="str">
        <f>"蔡胜峰"</f>
        <v>蔡胜峰</v>
      </c>
      <c r="C2744" s="2" t="s">
        <v>2579</v>
      </c>
      <c r="D2744" s="2" t="s">
        <v>2582</v>
      </c>
      <c r="E2744" s="3"/>
    </row>
    <row r="2745" spans="1:5" ht="24.75" customHeight="1">
      <c r="A2745" s="2">
        <v>2743</v>
      </c>
      <c r="B2745" s="2" t="str">
        <f>"黄宗文"</f>
        <v>黄宗文</v>
      </c>
      <c r="C2745" s="2" t="s">
        <v>2579</v>
      </c>
      <c r="D2745" s="2" t="s">
        <v>2583</v>
      </c>
      <c r="E2745" s="3"/>
    </row>
    <row r="2746" spans="1:5" ht="24.75" customHeight="1">
      <c r="A2746" s="2">
        <v>2744</v>
      </c>
      <c r="B2746" s="2" t="str">
        <f>"李欣蓉"</f>
        <v>李欣蓉</v>
      </c>
      <c r="C2746" s="2" t="s">
        <v>2579</v>
      </c>
      <c r="D2746" s="2" t="s">
        <v>2584</v>
      </c>
      <c r="E2746" s="3"/>
    </row>
    <row r="2747" spans="1:5" ht="24.75" customHeight="1">
      <c r="A2747" s="2">
        <v>2745</v>
      </c>
      <c r="B2747" s="2" t="str">
        <f>"李献东"</f>
        <v>李献东</v>
      </c>
      <c r="C2747" s="2" t="s">
        <v>2579</v>
      </c>
      <c r="D2747" s="2" t="s">
        <v>2585</v>
      </c>
      <c r="E2747" s="3"/>
    </row>
    <row r="2748" spans="1:5" ht="24.75" customHeight="1">
      <c r="A2748" s="2">
        <v>2746</v>
      </c>
      <c r="B2748" s="2" t="str">
        <f>"卢定程"</f>
        <v>卢定程</v>
      </c>
      <c r="C2748" s="2" t="s">
        <v>2579</v>
      </c>
      <c r="D2748" s="2" t="s">
        <v>1925</v>
      </c>
      <c r="E2748" s="3"/>
    </row>
    <row r="2749" spans="1:5" ht="24.75" customHeight="1">
      <c r="A2749" s="2">
        <v>2747</v>
      </c>
      <c r="B2749" s="2" t="str">
        <f>"陈贤鹏"</f>
        <v>陈贤鹏</v>
      </c>
      <c r="C2749" s="2" t="s">
        <v>2579</v>
      </c>
      <c r="D2749" s="2" t="s">
        <v>2474</v>
      </c>
      <c r="E2749" s="3"/>
    </row>
    <row r="2750" spans="1:5" ht="24.75" customHeight="1">
      <c r="A2750" s="2">
        <v>2748</v>
      </c>
      <c r="B2750" s="2" t="str">
        <f>"王亚振"</f>
        <v>王亚振</v>
      </c>
      <c r="C2750" s="2" t="s">
        <v>2579</v>
      </c>
      <c r="D2750" s="2" t="s">
        <v>2586</v>
      </c>
      <c r="E2750" s="3"/>
    </row>
    <row r="2751" spans="1:5" ht="24.75" customHeight="1">
      <c r="A2751" s="2">
        <v>2749</v>
      </c>
      <c r="B2751" s="2" t="str">
        <f>"朱厚警"</f>
        <v>朱厚警</v>
      </c>
      <c r="C2751" s="2" t="s">
        <v>2579</v>
      </c>
      <c r="D2751" s="2" t="s">
        <v>2019</v>
      </c>
      <c r="E2751" s="3"/>
    </row>
    <row r="2752" spans="1:5" ht="24.75" customHeight="1">
      <c r="A2752" s="2">
        <v>2750</v>
      </c>
      <c r="B2752" s="2" t="str">
        <f>"张翰林"</f>
        <v>张翰林</v>
      </c>
      <c r="C2752" s="2" t="s">
        <v>2579</v>
      </c>
      <c r="D2752" s="2" t="s">
        <v>2587</v>
      </c>
      <c r="E2752" s="3"/>
    </row>
    <row r="2753" spans="1:5" ht="24.75" customHeight="1">
      <c r="A2753" s="2">
        <v>2751</v>
      </c>
      <c r="B2753" s="2" t="str">
        <f>"陈小莹"</f>
        <v>陈小莹</v>
      </c>
      <c r="C2753" s="2" t="s">
        <v>2579</v>
      </c>
      <c r="D2753" s="2" t="s">
        <v>2588</v>
      </c>
      <c r="E2753" s="3"/>
    </row>
    <row r="2754" spans="1:5" ht="24.75" customHeight="1">
      <c r="A2754" s="2">
        <v>2752</v>
      </c>
      <c r="B2754" s="2" t="str">
        <f>"胡远深"</f>
        <v>胡远深</v>
      </c>
      <c r="C2754" s="2" t="s">
        <v>2579</v>
      </c>
      <c r="D2754" s="2" t="s">
        <v>2589</v>
      </c>
      <c r="E2754" s="3"/>
    </row>
    <row r="2755" spans="1:5" ht="24.75" customHeight="1">
      <c r="A2755" s="2">
        <v>2753</v>
      </c>
      <c r="B2755" s="2" t="str">
        <f>"陈泰源"</f>
        <v>陈泰源</v>
      </c>
      <c r="C2755" s="2" t="s">
        <v>2579</v>
      </c>
      <c r="D2755" s="2" t="s">
        <v>2590</v>
      </c>
      <c r="E2755" s="3"/>
    </row>
    <row r="2756" spans="1:5" ht="24.75" customHeight="1">
      <c r="A2756" s="2">
        <v>2754</v>
      </c>
      <c r="B2756" s="2" t="str">
        <f>"陈秋月"</f>
        <v>陈秋月</v>
      </c>
      <c r="C2756" s="2" t="s">
        <v>2579</v>
      </c>
      <c r="D2756" s="2" t="s">
        <v>2591</v>
      </c>
      <c r="E2756" s="3"/>
    </row>
    <row r="2757" spans="1:5" ht="24.75" customHeight="1">
      <c r="A2757" s="2">
        <v>2755</v>
      </c>
      <c r="B2757" s="2" t="str">
        <f>"陈明宏"</f>
        <v>陈明宏</v>
      </c>
      <c r="C2757" s="2" t="s">
        <v>2579</v>
      </c>
      <c r="D2757" s="2" t="s">
        <v>2592</v>
      </c>
      <c r="E2757" s="3"/>
    </row>
    <row r="2758" spans="1:5" ht="24.75" customHeight="1">
      <c r="A2758" s="2">
        <v>2756</v>
      </c>
      <c r="B2758" s="2" t="str">
        <f>"李智锐"</f>
        <v>李智锐</v>
      </c>
      <c r="C2758" s="2" t="s">
        <v>2579</v>
      </c>
      <c r="D2758" s="2" t="s">
        <v>2593</v>
      </c>
      <c r="E2758" s="3"/>
    </row>
    <row r="2759" spans="1:5" ht="24.75" customHeight="1">
      <c r="A2759" s="2">
        <v>2757</v>
      </c>
      <c r="B2759" s="2" t="str">
        <f>"麦映科"</f>
        <v>麦映科</v>
      </c>
      <c r="C2759" s="2" t="s">
        <v>2579</v>
      </c>
      <c r="D2759" s="2" t="s">
        <v>2594</v>
      </c>
      <c r="E2759" s="3"/>
    </row>
    <row r="2760" spans="1:5" ht="24.75" customHeight="1">
      <c r="A2760" s="2">
        <v>2758</v>
      </c>
      <c r="B2760" s="2" t="str">
        <f>"王杰平"</f>
        <v>王杰平</v>
      </c>
      <c r="C2760" s="2" t="s">
        <v>2579</v>
      </c>
      <c r="D2760" s="2" t="s">
        <v>621</v>
      </c>
      <c r="E2760" s="3"/>
    </row>
    <row r="2761" spans="1:5" ht="24.75" customHeight="1">
      <c r="A2761" s="2">
        <v>2759</v>
      </c>
      <c r="B2761" s="2" t="str">
        <f>"李君"</f>
        <v>李君</v>
      </c>
      <c r="C2761" s="2" t="s">
        <v>2579</v>
      </c>
      <c r="D2761" s="2" t="s">
        <v>2595</v>
      </c>
      <c r="E2761" s="3"/>
    </row>
    <row r="2762" spans="1:5" ht="24.75" customHeight="1">
      <c r="A2762" s="2">
        <v>2760</v>
      </c>
      <c r="B2762" s="2" t="str">
        <f>"叶才霞"</f>
        <v>叶才霞</v>
      </c>
      <c r="C2762" s="2" t="s">
        <v>2579</v>
      </c>
      <c r="D2762" s="2" t="s">
        <v>199</v>
      </c>
      <c r="E2762" s="3"/>
    </row>
    <row r="2763" spans="1:5" ht="24.75" customHeight="1">
      <c r="A2763" s="2">
        <v>2761</v>
      </c>
      <c r="B2763" s="2" t="str">
        <f>"陈彬彬"</f>
        <v>陈彬彬</v>
      </c>
      <c r="C2763" s="2" t="s">
        <v>2579</v>
      </c>
      <c r="D2763" s="2" t="s">
        <v>2596</v>
      </c>
      <c r="E2763" s="3"/>
    </row>
    <row r="2764" spans="1:5" ht="24.75" customHeight="1">
      <c r="A2764" s="2">
        <v>2762</v>
      </c>
      <c r="B2764" s="2" t="str">
        <f>"龙籍良"</f>
        <v>龙籍良</v>
      </c>
      <c r="C2764" s="2" t="s">
        <v>2579</v>
      </c>
      <c r="D2764" s="2" t="s">
        <v>2597</v>
      </c>
      <c r="E2764" s="3"/>
    </row>
    <row r="2765" spans="1:5" ht="24.75" customHeight="1">
      <c r="A2765" s="2">
        <v>2763</v>
      </c>
      <c r="B2765" s="2" t="str">
        <f>"何守干"</f>
        <v>何守干</v>
      </c>
      <c r="C2765" s="2" t="s">
        <v>2579</v>
      </c>
      <c r="D2765" s="2" t="s">
        <v>2491</v>
      </c>
      <c r="E2765" s="3"/>
    </row>
    <row r="2766" spans="1:5" ht="24.75" customHeight="1">
      <c r="A2766" s="2">
        <v>2764</v>
      </c>
      <c r="B2766" s="2" t="str">
        <f>"曾繁记"</f>
        <v>曾繁记</v>
      </c>
      <c r="C2766" s="2" t="s">
        <v>2579</v>
      </c>
      <c r="D2766" s="2" t="s">
        <v>2598</v>
      </c>
      <c r="E2766" s="3"/>
    </row>
    <row r="2767" spans="1:5" ht="24.75" customHeight="1">
      <c r="A2767" s="2">
        <v>2765</v>
      </c>
      <c r="B2767" s="2" t="str">
        <f>"曹祖法"</f>
        <v>曹祖法</v>
      </c>
      <c r="C2767" s="2" t="s">
        <v>2579</v>
      </c>
      <c r="D2767" s="2" t="s">
        <v>2599</v>
      </c>
      <c r="E2767" s="3"/>
    </row>
    <row r="2768" spans="1:5" ht="24.75" customHeight="1">
      <c r="A2768" s="2">
        <v>2766</v>
      </c>
      <c r="B2768" s="2" t="str">
        <f>"刘文振"</f>
        <v>刘文振</v>
      </c>
      <c r="C2768" s="2" t="s">
        <v>2579</v>
      </c>
      <c r="D2768" s="2" t="s">
        <v>2557</v>
      </c>
      <c r="E2768" s="3"/>
    </row>
    <row r="2769" spans="1:5" ht="24.75" customHeight="1">
      <c r="A2769" s="2">
        <v>2767</v>
      </c>
      <c r="B2769" s="2" t="str">
        <f>"谢艺华"</f>
        <v>谢艺华</v>
      </c>
      <c r="C2769" s="2" t="s">
        <v>2579</v>
      </c>
      <c r="D2769" s="2" t="s">
        <v>1576</v>
      </c>
      <c r="E2769" s="3"/>
    </row>
    <row r="2770" spans="1:5" ht="24.75" customHeight="1">
      <c r="A2770" s="2">
        <v>2768</v>
      </c>
      <c r="B2770" s="2" t="str">
        <f>"邓晰"</f>
        <v>邓晰</v>
      </c>
      <c r="C2770" s="2" t="s">
        <v>2600</v>
      </c>
      <c r="D2770" s="2" t="s">
        <v>2601</v>
      </c>
      <c r="E2770" s="3"/>
    </row>
    <row r="2771" spans="1:5" ht="24.75" customHeight="1">
      <c r="A2771" s="2">
        <v>2769</v>
      </c>
      <c r="B2771" s="2" t="str">
        <f>"王训锋"</f>
        <v>王训锋</v>
      </c>
      <c r="C2771" s="2" t="s">
        <v>2600</v>
      </c>
      <c r="D2771" s="2" t="s">
        <v>2602</v>
      </c>
      <c r="E2771" s="3"/>
    </row>
    <row r="2772" spans="1:5" ht="24.75" customHeight="1">
      <c r="A2772" s="2">
        <v>2770</v>
      </c>
      <c r="B2772" s="2" t="str">
        <f>"岑芳兰"</f>
        <v>岑芳兰</v>
      </c>
      <c r="C2772" s="2" t="s">
        <v>2600</v>
      </c>
      <c r="D2772" s="2" t="s">
        <v>2603</v>
      </c>
      <c r="E2772" s="3"/>
    </row>
    <row r="2773" spans="1:5" ht="24.75" customHeight="1">
      <c r="A2773" s="2">
        <v>2771</v>
      </c>
      <c r="B2773" s="2" t="str">
        <f>"陈川瀚"</f>
        <v>陈川瀚</v>
      </c>
      <c r="C2773" s="2" t="s">
        <v>2600</v>
      </c>
      <c r="D2773" s="2" t="s">
        <v>266</v>
      </c>
      <c r="E2773" s="3"/>
    </row>
    <row r="2774" spans="1:5" ht="24.75" customHeight="1">
      <c r="A2774" s="2">
        <v>2772</v>
      </c>
      <c r="B2774" s="2" t="str">
        <f>"梁国彬"</f>
        <v>梁国彬</v>
      </c>
      <c r="C2774" s="2" t="s">
        <v>2600</v>
      </c>
      <c r="D2774" s="2" t="s">
        <v>2604</v>
      </c>
      <c r="E2774" s="3"/>
    </row>
    <row r="2775" spans="1:5" ht="24.75" customHeight="1">
      <c r="A2775" s="2">
        <v>2773</v>
      </c>
      <c r="B2775" s="2" t="str">
        <f>"邹源"</f>
        <v>邹源</v>
      </c>
      <c r="C2775" s="2" t="s">
        <v>2600</v>
      </c>
      <c r="D2775" s="2" t="s">
        <v>2605</v>
      </c>
      <c r="E2775" s="3"/>
    </row>
    <row r="2776" spans="1:5" ht="24.75" customHeight="1">
      <c r="A2776" s="2">
        <v>2774</v>
      </c>
      <c r="B2776" s="2" t="str">
        <f>"陈太鹏"</f>
        <v>陈太鹏</v>
      </c>
      <c r="C2776" s="2" t="s">
        <v>2600</v>
      </c>
      <c r="D2776" s="2" t="s">
        <v>2606</v>
      </c>
      <c r="E2776" s="3"/>
    </row>
    <row r="2777" spans="1:5" ht="24.75" customHeight="1">
      <c r="A2777" s="2">
        <v>2775</v>
      </c>
      <c r="B2777" s="2" t="str">
        <f>"王盈盈"</f>
        <v>王盈盈</v>
      </c>
      <c r="C2777" s="2" t="s">
        <v>2600</v>
      </c>
      <c r="D2777" s="2" t="s">
        <v>788</v>
      </c>
      <c r="E2777" s="3"/>
    </row>
    <row r="2778" spans="1:5" ht="24.75" customHeight="1">
      <c r="A2778" s="2">
        <v>2776</v>
      </c>
      <c r="B2778" s="2" t="str">
        <f>"江言"</f>
        <v>江言</v>
      </c>
      <c r="C2778" s="2" t="s">
        <v>2600</v>
      </c>
      <c r="D2778" s="2" t="s">
        <v>2607</v>
      </c>
      <c r="E2778" s="3"/>
    </row>
    <row r="2779" spans="1:5" ht="24.75" customHeight="1">
      <c r="A2779" s="2">
        <v>2777</v>
      </c>
      <c r="B2779" s="2" t="str">
        <f>"张文丽"</f>
        <v>张文丽</v>
      </c>
      <c r="C2779" s="2" t="s">
        <v>2600</v>
      </c>
      <c r="D2779" s="2" t="s">
        <v>2608</v>
      </c>
      <c r="E2779" s="3"/>
    </row>
    <row r="2780" spans="1:5" ht="24.75" customHeight="1">
      <c r="A2780" s="2">
        <v>2778</v>
      </c>
      <c r="B2780" s="2" t="str">
        <f>"王岩"</f>
        <v>王岩</v>
      </c>
      <c r="C2780" s="2" t="s">
        <v>2600</v>
      </c>
      <c r="D2780" s="2" t="s">
        <v>2609</v>
      </c>
      <c r="E2780" s="3"/>
    </row>
    <row r="2781" spans="1:5" ht="24.75" customHeight="1">
      <c r="A2781" s="2">
        <v>2779</v>
      </c>
      <c r="B2781" s="2" t="str">
        <f>"钟炯"</f>
        <v>钟炯</v>
      </c>
      <c r="C2781" s="2" t="s">
        <v>2600</v>
      </c>
      <c r="D2781" s="2" t="s">
        <v>2610</v>
      </c>
      <c r="E2781" s="3"/>
    </row>
    <row r="2782" spans="1:5" ht="24.75" customHeight="1">
      <c r="A2782" s="2">
        <v>2780</v>
      </c>
      <c r="B2782" s="2" t="str">
        <f>"曾令皓"</f>
        <v>曾令皓</v>
      </c>
      <c r="C2782" s="2" t="s">
        <v>2600</v>
      </c>
      <c r="D2782" s="2" t="s">
        <v>2611</v>
      </c>
      <c r="E2782" s="3"/>
    </row>
    <row r="2783" spans="1:5" ht="24.75" customHeight="1">
      <c r="A2783" s="2">
        <v>2781</v>
      </c>
      <c r="B2783" s="2" t="str">
        <f>"林清浪"</f>
        <v>林清浪</v>
      </c>
      <c r="C2783" s="2" t="s">
        <v>2600</v>
      </c>
      <c r="D2783" s="2" t="s">
        <v>2612</v>
      </c>
      <c r="E2783" s="3"/>
    </row>
    <row r="2784" spans="1:5" ht="24.75" customHeight="1">
      <c r="A2784" s="2">
        <v>2782</v>
      </c>
      <c r="B2784" s="2" t="str">
        <f>"王裕"</f>
        <v>王裕</v>
      </c>
      <c r="C2784" s="2" t="s">
        <v>2600</v>
      </c>
      <c r="D2784" s="2" t="s">
        <v>2613</v>
      </c>
      <c r="E2784" s="3"/>
    </row>
    <row r="2785" spans="1:5" ht="24.75" customHeight="1">
      <c r="A2785" s="2">
        <v>2783</v>
      </c>
      <c r="B2785" s="2" t="str">
        <f>"谭莹星"</f>
        <v>谭莹星</v>
      </c>
      <c r="C2785" s="2" t="s">
        <v>2600</v>
      </c>
      <c r="D2785" s="2" t="s">
        <v>448</v>
      </c>
      <c r="E2785" s="3"/>
    </row>
    <row r="2786" spans="1:5" ht="24.75" customHeight="1">
      <c r="A2786" s="2">
        <v>2784</v>
      </c>
      <c r="B2786" s="2" t="str">
        <f>"郑童遥"</f>
        <v>郑童遥</v>
      </c>
      <c r="C2786" s="2" t="s">
        <v>2600</v>
      </c>
      <c r="D2786" s="2" t="s">
        <v>2614</v>
      </c>
      <c r="E2786" s="3"/>
    </row>
    <row r="2787" spans="1:5" ht="24.75" customHeight="1">
      <c r="A2787" s="2">
        <v>2785</v>
      </c>
      <c r="B2787" s="2" t="str">
        <f>"彭孟莉"</f>
        <v>彭孟莉</v>
      </c>
      <c r="C2787" s="2" t="s">
        <v>2600</v>
      </c>
      <c r="D2787" s="2" t="s">
        <v>2615</v>
      </c>
      <c r="E2787" s="3"/>
    </row>
    <row r="2788" spans="1:5" ht="24.75" customHeight="1">
      <c r="A2788" s="2">
        <v>2786</v>
      </c>
      <c r="B2788" s="2" t="str">
        <f>"黄立成"</f>
        <v>黄立成</v>
      </c>
      <c r="C2788" s="2" t="s">
        <v>2600</v>
      </c>
      <c r="D2788" s="2" t="s">
        <v>2616</v>
      </c>
      <c r="E2788" s="3"/>
    </row>
    <row r="2789" spans="1:5" ht="24.75" customHeight="1">
      <c r="A2789" s="2">
        <v>2787</v>
      </c>
      <c r="B2789" s="2" t="str">
        <f>"石剑霄"</f>
        <v>石剑霄</v>
      </c>
      <c r="C2789" s="2" t="s">
        <v>2600</v>
      </c>
      <c r="D2789" s="2" t="s">
        <v>2617</v>
      </c>
      <c r="E2789" s="3"/>
    </row>
    <row r="2790" spans="1:5" ht="24.75" customHeight="1">
      <c r="A2790" s="2">
        <v>2788</v>
      </c>
      <c r="B2790" s="2" t="str">
        <f>"王浩"</f>
        <v>王浩</v>
      </c>
      <c r="C2790" s="2" t="s">
        <v>2600</v>
      </c>
      <c r="D2790" s="2" t="s">
        <v>2589</v>
      </c>
      <c r="E2790" s="3"/>
    </row>
    <row r="2791" spans="1:5" ht="24.75" customHeight="1">
      <c r="A2791" s="2">
        <v>2789</v>
      </c>
      <c r="B2791" s="2" t="str">
        <f>"王昭平"</f>
        <v>王昭平</v>
      </c>
      <c r="C2791" s="2" t="s">
        <v>2600</v>
      </c>
      <c r="D2791" s="2" t="s">
        <v>2618</v>
      </c>
      <c r="E2791" s="3"/>
    </row>
    <row r="2792" spans="1:5" ht="24.75" customHeight="1">
      <c r="A2792" s="2">
        <v>2790</v>
      </c>
      <c r="B2792" s="2" t="str">
        <f>"李南忠"</f>
        <v>李南忠</v>
      </c>
      <c r="C2792" s="2" t="s">
        <v>2600</v>
      </c>
      <c r="D2792" s="2" t="s">
        <v>2619</v>
      </c>
      <c r="E2792" s="3"/>
    </row>
    <row r="2793" spans="1:5" ht="24.75" customHeight="1">
      <c r="A2793" s="2">
        <v>2791</v>
      </c>
      <c r="B2793" s="2" t="str">
        <f>"王涛"</f>
        <v>王涛</v>
      </c>
      <c r="C2793" s="2" t="s">
        <v>2600</v>
      </c>
      <c r="D2793" s="2" t="s">
        <v>2620</v>
      </c>
      <c r="E2793" s="3"/>
    </row>
    <row r="2794" spans="1:5" ht="24.75" customHeight="1">
      <c r="A2794" s="2">
        <v>2792</v>
      </c>
      <c r="B2794" s="2" t="str">
        <f>"王世杰"</f>
        <v>王世杰</v>
      </c>
      <c r="C2794" s="2" t="s">
        <v>2600</v>
      </c>
      <c r="D2794" s="2" t="s">
        <v>1413</v>
      </c>
      <c r="E2794" s="3"/>
    </row>
    <row r="2795" spans="1:5" ht="24.75" customHeight="1">
      <c r="A2795" s="2">
        <v>2793</v>
      </c>
      <c r="B2795" s="2" t="str">
        <f>"符永柏"</f>
        <v>符永柏</v>
      </c>
      <c r="C2795" s="2" t="s">
        <v>2600</v>
      </c>
      <c r="D2795" s="2" t="s">
        <v>2621</v>
      </c>
      <c r="E2795" s="3"/>
    </row>
    <row r="2796" spans="1:5" ht="24.75" customHeight="1">
      <c r="A2796" s="2">
        <v>2794</v>
      </c>
      <c r="B2796" s="2" t="str">
        <f>"潘国伟"</f>
        <v>潘国伟</v>
      </c>
      <c r="C2796" s="2" t="s">
        <v>2600</v>
      </c>
      <c r="D2796" s="2" t="s">
        <v>2622</v>
      </c>
      <c r="E2796" s="3"/>
    </row>
    <row r="2797" spans="1:5" ht="24.75" customHeight="1">
      <c r="A2797" s="2">
        <v>2795</v>
      </c>
      <c r="B2797" s="2" t="str">
        <f>"王向茹"</f>
        <v>王向茹</v>
      </c>
      <c r="C2797" s="2" t="s">
        <v>2600</v>
      </c>
      <c r="D2797" s="2" t="s">
        <v>2623</v>
      </c>
      <c r="E2797" s="3"/>
    </row>
    <row r="2798" spans="1:5" ht="24.75" customHeight="1">
      <c r="A2798" s="2">
        <v>2796</v>
      </c>
      <c r="B2798" s="2" t="str">
        <f>"罗将明"</f>
        <v>罗将明</v>
      </c>
      <c r="C2798" s="2" t="s">
        <v>2600</v>
      </c>
      <c r="D2798" s="2" t="s">
        <v>2624</v>
      </c>
      <c r="E2798" s="3"/>
    </row>
    <row r="2799" spans="1:5" ht="24.75" customHeight="1">
      <c r="A2799" s="2">
        <v>2797</v>
      </c>
      <c r="B2799" s="2" t="str">
        <f>"周嘉珍"</f>
        <v>周嘉珍</v>
      </c>
      <c r="C2799" s="2" t="s">
        <v>2600</v>
      </c>
      <c r="D2799" s="2" t="s">
        <v>2625</v>
      </c>
      <c r="E2799" s="3"/>
    </row>
    <row r="2800" spans="1:5" ht="24.75" customHeight="1">
      <c r="A2800" s="2">
        <v>2798</v>
      </c>
      <c r="B2800" s="2" t="str">
        <f>"王祈平"</f>
        <v>王祈平</v>
      </c>
      <c r="C2800" s="2" t="s">
        <v>2600</v>
      </c>
      <c r="D2800" s="2" t="s">
        <v>2626</v>
      </c>
      <c r="E2800" s="3"/>
    </row>
    <row r="2801" spans="1:5" ht="24.75" customHeight="1">
      <c r="A2801" s="2">
        <v>2799</v>
      </c>
      <c r="B2801" s="2" t="str">
        <f>"王小康"</f>
        <v>王小康</v>
      </c>
      <c r="C2801" s="2" t="s">
        <v>2600</v>
      </c>
      <c r="D2801" s="2" t="s">
        <v>2627</v>
      </c>
      <c r="E2801" s="3"/>
    </row>
    <row r="2802" spans="1:5" ht="24.75" customHeight="1">
      <c r="A2802" s="2">
        <v>2800</v>
      </c>
      <c r="B2802" s="2" t="str">
        <f>"李燕娣"</f>
        <v>李燕娣</v>
      </c>
      <c r="C2802" s="2" t="s">
        <v>2600</v>
      </c>
      <c r="D2802" s="2" t="s">
        <v>2628</v>
      </c>
      <c r="E2802" s="3"/>
    </row>
    <row r="2803" spans="1:5" ht="24.75" customHeight="1">
      <c r="A2803" s="2">
        <v>2801</v>
      </c>
      <c r="B2803" s="2" t="str">
        <f>"王昌丽"</f>
        <v>王昌丽</v>
      </c>
      <c r="C2803" s="2" t="s">
        <v>2600</v>
      </c>
      <c r="D2803" s="2" t="s">
        <v>1166</v>
      </c>
      <c r="E2803" s="3"/>
    </row>
    <row r="2804" spans="1:5" ht="24.75" customHeight="1">
      <c r="A2804" s="2">
        <v>2802</v>
      </c>
      <c r="B2804" s="2" t="str">
        <f>"吴珠伟"</f>
        <v>吴珠伟</v>
      </c>
      <c r="C2804" s="2" t="s">
        <v>2600</v>
      </c>
      <c r="D2804" s="2" t="s">
        <v>2629</v>
      </c>
      <c r="E2804" s="3"/>
    </row>
    <row r="2805" spans="1:5" ht="24.75" customHeight="1">
      <c r="A2805" s="2">
        <v>2803</v>
      </c>
      <c r="B2805" s="2" t="str">
        <f>"司家深"</f>
        <v>司家深</v>
      </c>
      <c r="C2805" s="2" t="s">
        <v>2600</v>
      </c>
      <c r="D2805" s="2" t="s">
        <v>2630</v>
      </c>
      <c r="E2805" s="3"/>
    </row>
    <row r="2806" spans="1:5" ht="24.75" customHeight="1">
      <c r="A2806" s="2">
        <v>2804</v>
      </c>
      <c r="B2806" s="2" t="str">
        <f>"范俊贤"</f>
        <v>范俊贤</v>
      </c>
      <c r="C2806" s="2" t="s">
        <v>2600</v>
      </c>
      <c r="D2806" s="2" t="s">
        <v>2631</v>
      </c>
      <c r="E2806" s="3"/>
    </row>
    <row r="2807" spans="1:5" ht="24.75" customHeight="1">
      <c r="A2807" s="2">
        <v>2805</v>
      </c>
      <c r="B2807" s="2" t="str">
        <f>"郭海燕"</f>
        <v>郭海燕</v>
      </c>
      <c r="C2807" s="2" t="s">
        <v>2600</v>
      </c>
      <c r="D2807" s="2" t="s">
        <v>2632</v>
      </c>
      <c r="E2807" s="3"/>
    </row>
    <row r="2808" spans="1:5" ht="24.75" customHeight="1">
      <c r="A2808" s="2">
        <v>2806</v>
      </c>
      <c r="B2808" s="2" t="str">
        <f>"黄国梁"</f>
        <v>黄国梁</v>
      </c>
      <c r="C2808" s="2" t="s">
        <v>2600</v>
      </c>
      <c r="D2808" s="2" t="s">
        <v>2633</v>
      </c>
      <c r="E2808" s="3"/>
    </row>
    <row r="2809" spans="1:5" ht="24.75" customHeight="1">
      <c r="A2809" s="2">
        <v>2807</v>
      </c>
      <c r="B2809" s="2" t="str">
        <f>"陈燕萍"</f>
        <v>陈燕萍</v>
      </c>
      <c r="C2809" s="2" t="s">
        <v>2600</v>
      </c>
      <c r="D2809" s="2" t="s">
        <v>2634</v>
      </c>
      <c r="E2809" s="3"/>
    </row>
    <row r="2810" spans="1:5" ht="24.75" customHeight="1">
      <c r="A2810" s="2">
        <v>2808</v>
      </c>
      <c r="B2810" s="2" t="str">
        <f>"符方思"</f>
        <v>符方思</v>
      </c>
      <c r="C2810" s="2" t="s">
        <v>2600</v>
      </c>
      <c r="D2810" s="2" t="s">
        <v>2635</v>
      </c>
      <c r="E2810" s="3"/>
    </row>
    <row r="2811" spans="1:5" ht="24.75" customHeight="1">
      <c r="A2811" s="2">
        <v>2809</v>
      </c>
      <c r="B2811" s="2" t="str">
        <f>"羊嘉球"</f>
        <v>羊嘉球</v>
      </c>
      <c r="C2811" s="2" t="s">
        <v>2600</v>
      </c>
      <c r="D2811" s="2" t="s">
        <v>2636</v>
      </c>
      <c r="E2811" s="3"/>
    </row>
    <row r="2812" spans="1:5" ht="24.75" customHeight="1">
      <c r="A2812" s="2">
        <v>2810</v>
      </c>
      <c r="B2812" s="2" t="str">
        <f>"蒋炜"</f>
        <v>蒋炜</v>
      </c>
      <c r="C2812" s="2" t="s">
        <v>2600</v>
      </c>
      <c r="D2812" s="2" t="s">
        <v>2637</v>
      </c>
      <c r="E2812" s="3"/>
    </row>
    <row r="2813" spans="1:5" ht="24.75" customHeight="1">
      <c r="A2813" s="2">
        <v>2811</v>
      </c>
      <c r="B2813" s="2" t="str">
        <f>"车广旭"</f>
        <v>车广旭</v>
      </c>
      <c r="C2813" s="2" t="s">
        <v>2600</v>
      </c>
      <c r="D2813" s="2" t="s">
        <v>2638</v>
      </c>
      <c r="E2813" s="3"/>
    </row>
    <row r="2814" spans="1:5" ht="24.75" customHeight="1">
      <c r="A2814" s="2">
        <v>2812</v>
      </c>
      <c r="B2814" s="2" t="str">
        <f>"王后贤"</f>
        <v>王后贤</v>
      </c>
      <c r="C2814" s="2" t="s">
        <v>2600</v>
      </c>
      <c r="D2814" s="2" t="s">
        <v>2639</v>
      </c>
      <c r="E2814" s="3"/>
    </row>
    <row r="2815" spans="1:5" ht="24.75" customHeight="1">
      <c r="A2815" s="2">
        <v>2813</v>
      </c>
      <c r="B2815" s="2" t="str">
        <f>"庄业超"</f>
        <v>庄业超</v>
      </c>
      <c r="C2815" s="2" t="s">
        <v>2600</v>
      </c>
      <c r="D2815" s="2" t="s">
        <v>2640</v>
      </c>
      <c r="E2815" s="3"/>
    </row>
    <row r="2816" spans="1:5" ht="24.75" customHeight="1">
      <c r="A2816" s="2">
        <v>2814</v>
      </c>
      <c r="B2816" s="2" t="str">
        <f>"沈存腾"</f>
        <v>沈存腾</v>
      </c>
      <c r="C2816" s="2" t="s">
        <v>2600</v>
      </c>
      <c r="D2816" s="2" t="s">
        <v>2641</v>
      </c>
      <c r="E2816" s="3"/>
    </row>
    <row r="2817" spans="1:5" ht="24.75" customHeight="1">
      <c r="A2817" s="2">
        <v>2815</v>
      </c>
      <c r="B2817" s="2" t="str">
        <f>"苏林媚"</f>
        <v>苏林媚</v>
      </c>
      <c r="C2817" s="2" t="s">
        <v>2600</v>
      </c>
      <c r="D2817" s="2" t="s">
        <v>2642</v>
      </c>
      <c r="E2817" s="3"/>
    </row>
    <row r="2818" spans="1:5" ht="24.75" customHeight="1">
      <c r="A2818" s="2">
        <v>2816</v>
      </c>
      <c r="B2818" s="2" t="str">
        <f>"王升杰"</f>
        <v>王升杰</v>
      </c>
      <c r="C2818" s="2" t="s">
        <v>2643</v>
      </c>
      <c r="D2818" s="2" t="s">
        <v>2644</v>
      </c>
      <c r="E2818" s="3"/>
    </row>
    <row r="2819" spans="1:5" ht="24.75" customHeight="1">
      <c r="A2819" s="2">
        <v>2817</v>
      </c>
      <c r="B2819" s="2" t="str">
        <f>"马超"</f>
        <v>马超</v>
      </c>
      <c r="C2819" s="2" t="s">
        <v>2643</v>
      </c>
      <c r="D2819" s="2" t="s">
        <v>2645</v>
      </c>
      <c r="E2819" s="3"/>
    </row>
    <row r="2820" spans="1:5" ht="24.75" customHeight="1">
      <c r="A2820" s="2">
        <v>2818</v>
      </c>
      <c r="B2820" s="2" t="str">
        <f>"金婧雯"</f>
        <v>金婧雯</v>
      </c>
      <c r="C2820" s="2" t="s">
        <v>2643</v>
      </c>
      <c r="D2820" s="2" t="s">
        <v>2646</v>
      </c>
      <c r="E2820" s="3"/>
    </row>
    <row r="2821" spans="1:5" ht="24.75" customHeight="1">
      <c r="A2821" s="2">
        <v>2819</v>
      </c>
      <c r="B2821" s="2" t="str">
        <f>"王誉霏"</f>
        <v>王誉霏</v>
      </c>
      <c r="C2821" s="2" t="s">
        <v>2643</v>
      </c>
      <c r="D2821" s="2" t="s">
        <v>2647</v>
      </c>
      <c r="E2821" s="3"/>
    </row>
    <row r="2822" spans="1:5" ht="24.75" customHeight="1">
      <c r="A2822" s="2">
        <v>2820</v>
      </c>
      <c r="B2822" s="2" t="str">
        <f>"符小夏"</f>
        <v>符小夏</v>
      </c>
      <c r="C2822" s="2" t="s">
        <v>2643</v>
      </c>
      <c r="D2822" s="2" t="s">
        <v>2648</v>
      </c>
      <c r="E2822" s="3"/>
    </row>
    <row r="2823" spans="1:5" ht="24.75" customHeight="1">
      <c r="A2823" s="2">
        <v>2821</v>
      </c>
      <c r="B2823" s="2" t="str">
        <f>"高志群"</f>
        <v>高志群</v>
      </c>
      <c r="C2823" s="2" t="s">
        <v>2643</v>
      </c>
      <c r="D2823" s="2" t="s">
        <v>2649</v>
      </c>
      <c r="E2823" s="3"/>
    </row>
    <row r="2824" spans="1:5" ht="24.75" customHeight="1">
      <c r="A2824" s="2">
        <v>2822</v>
      </c>
      <c r="B2824" s="2" t="str">
        <f>"骆梓晴"</f>
        <v>骆梓晴</v>
      </c>
      <c r="C2824" s="2" t="s">
        <v>2643</v>
      </c>
      <c r="D2824" s="2" t="s">
        <v>2650</v>
      </c>
      <c r="E2824" s="3"/>
    </row>
    <row r="2825" spans="1:5" ht="24.75" customHeight="1">
      <c r="A2825" s="2">
        <v>2823</v>
      </c>
      <c r="B2825" s="2" t="str">
        <f>"陈国帅"</f>
        <v>陈国帅</v>
      </c>
      <c r="C2825" s="2" t="s">
        <v>2643</v>
      </c>
      <c r="D2825" s="2" t="s">
        <v>2651</v>
      </c>
      <c r="E2825" s="3"/>
    </row>
    <row r="2826" spans="1:5" ht="24.75" customHeight="1">
      <c r="A2826" s="2">
        <v>2824</v>
      </c>
      <c r="B2826" s="2" t="str">
        <f>"黄晓菲"</f>
        <v>黄晓菲</v>
      </c>
      <c r="C2826" s="2" t="s">
        <v>2643</v>
      </c>
      <c r="D2826" s="2" t="s">
        <v>2652</v>
      </c>
      <c r="E2826" s="3"/>
    </row>
    <row r="2827" spans="1:5" ht="24.75" customHeight="1">
      <c r="A2827" s="2">
        <v>2825</v>
      </c>
      <c r="B2827" s="2" t="str">
        <f>"方海舟"</f>
        <v>方海舟</v>
      </c>
      <c r="C2827" s="2" t="s">
        <v>2643</v>
      </c>
      <c r="D2827" s="2" t="s">
        <v>2653</v>
      </c>
      <c r="E2827" s="3"/>
    </row>
    <row r="2828" spans="1:5" ht="24.75" customHeight="1">
      <c r="A2828" s="2">
        <v>2826</v>
      </c>
      <c r="B2828" s="2" t="str">
        <f>"羊位婧"</f>
        <v>羊位婧</v>
      </c>
      <c r="C2828" s="2" t="s">
        <v>2643</v>
      </c>
      <c r="D2828" s="2" t="s">
        <v>2654</v>
      </c>
      <c r="E2828" s="3"/>
    </row>
    <row r="2829" spans="1:5" ht="24.75" customHeight="1">
      <c r="A2829" s="2">
        <v>2827</v>
      </c>
      <c r="B2829" s="2" t="str">
        <f>"符洪扬"</f>
        <v>符洪扬</v>
      </c>
      <c r="C2829" s="2" t="s">
        <v>2643</v>
      </c>
      <c r="D2829" s="2" t="s">
        <v>2655</v>
      </c>
      <c r="E2829" s="3"/>
    </row>
    <row r="2830" spans="1:5" ht="24.75" customHeight="1">
      <c r="A2830" s="2">
        <v>2828</v>
      </c>
      <c r="B2830" s="2" t="str">
        <f>"陈国力"</f>
        <v>陈国力</v>
      </c>
      <c r="C2830" s="2" t="s">
        <v>2643</v>
      </c>
      <c r="D2830" s="2" t="s">
        <v>2656</v>
      </c>
      <c r="E2830" s="3"/>
    </row>
    <row r="2831" spans="1:5" ht="24.75" customHeight="1">
      <c r="A2831" s="2">
        <v>2829</v>
      </c>
      <c r="B2831" s="2" t="str">
        <f>"李娇娜"</f>
        <v>李娇娜</v>
      </c>
      <c r="C2831" s="2" t="s">
        <v>2643</v>
      </c>
      <c r="D2831" s="2" t="s">
        <v>1207</v>
      </c>
      <c r="E2831" s="3"/>
    </row>
    <row r="2832" spans="1:5" ht="24.75" customHeight="1">
      <c r="A2832" s="2">
        <v>2830</v>
      </c>
      <c r="B2832" s="2" t="str">
        <f>"唐瑜婧"</f>
        <v>唐瑜婧</v>
      </c>
      <c r="C2832" s="2" t="s">
        <v>2643</v>
      </c>
      <c r="D2832" s="2" t="s">
        <v>2657</v>
      </c>
      <c r="E2832" s="3"/>
    </row>
    <row r="2833" spans="1:5" ht="24.75" customHeight="1">
      <c r="A2833" s="2">
        <v>2831</v>
      </c>
      <c r="B2833" s="2" t="str">
        <f>"林丽珍"</f>
        <v>林丽珍</v>
      </c>
      <c r="C2833" s="2" t="s">
        <v>2643</v>
      </c>
      <c r="D2833" s="2" t="s">
        <v>2658</v>
      </c>
      <c r="E2833" s="3"/>
    </row>
    <row r="2834" spans="1:5" ht="24.75" customHeight="1">
      <c r="A2834" s="2">
        <v>2832</v>
      </c>
      <c r="B2834" s="2" t="str">
        <f>"陈杨飘"</f>
        <v>陈杨飘</v>
      </c>
      <c r="C2834" s="2" t="s">
        <v>2643</v>
      </c>
      <c r="D2834" s="2" t="s">
        <v>2659</v>
      </c>
      <c r="E2834" s="3"/>
    </row>
    <row r="2835" spans="1:5" ht="24.75" customHeight="1">
      <c r="A2835" s="2">
        <v>2833</v>
      </c>
      <c r="B2835" s="2" t="str">
        <f>"曾烨"</f>
        <v>曾烨</v>
      </c>
      <c r="C2835" s="2" t="s">
        <v>2643</v>
      </c>
      <c r="D2835" s="2" t="s">
        <v>2615</v>
      </c>
      <c r="E2835" s="3"/>
    </row>
    <row r="2836" spans="1:5" ht="24.75" customHeight="1">
      <c r="A2836" s="2">
        <v>2834</v>
      </c>
      <c r="B2836" s="2" t="str">
        <f>"孙志超"</f>
        <v>孙志超</v>
      </c>
      <c r="C2836" s="2" t="s">
        <v>2643</v>
      </c>
      <c r="D2836" s="2" t="s">
        <v>2660</v>
      </c>
      <c r="E2836" s="3"/>
    </row>
    <row r="2837" spans="1:5" ht="24.75" customHeight="1">
      <c r="A2837" s="2">
        <v>2835</v>
      </c>
      <c r="B2837" s="2" t="str">
        <f>"符玉坤"</f>
        <v>符玉坤</v>
      </c>
      <c r="C2837" s="2" t="s">
        <v>2643</v>
      </c>
      <c r="D2837" s="2" t="s">
        <v>2661</v>
      </c>
      <c r="E2837" s="3"/>
    </row>
    <row r="2838" spans="1:5" ht="24.75" customHeight="1">
      <c r="A2838" s="2">
        <v>2836</v>
      </c>
      <c r="B2838" s="2" t="str">
        <f>"陈颖"</f>
        <v>陈颖</v>
      </c>
      <c r="C2838" s="2" t="s">
        <v>2643</v>
      </c>
      <c r="D2838" s="2" t="s">
        <v>2662</v>
      </c>
      <c r="E2838" s="3"/>
    </row>
    <row r="2839" spans="1:5" ht="24.75" customHeight="1">
      <c r="A2839" s="2">
        <v>2837</v>
      </c>
      <c r="B2839" s="2" t="str">
        <f>"张燕慧"</f>
        <v>张燕慧</v>
      </c>
      <c r="C2839" s="2" t="s">
        <v>2643</v>
      </c>
      <c r="D2839" s="2" t="s">
        <v>2663</v>
      </c>
      <c r="E2839" s="3"/>
    </row>
    <row r="2840" spans="1:5" ht="24.75" customHeight="1">
      <c r="A2840" s="2">
        <v>2838</v>
      </c>
      <c r="B2840" s="2" t="str">
        <f>"李文丽"</f>
        <v>李文丽</v>
      </c>
      <c r="C2840" s="2" t="s">
        <v>2643</v>
      </c>
      <c r="D2840" s="2" t="s">
        <v>2664</v>
      </c>
      <c r="E2840" s="3"/>
    </row>
    <row r="2841" spans="1:5" ht="24.75" customHeight="1">
      <c r="A2841" s="2">
        <v>2839</v>
      </c>
      <c r="B2841" s="2" t="str">
        <f>"云天放"</f>
        <v>云天放</v>
      </c>
      <c r="C2841" s="2" t="s">
        <v>2643</v>
      </c>
      <c r="D2841" s="2" t="s">
        <v>607</v>
      </c>
      <c r="E2841" s="3"/>
    </row>
    <row r="2842" spans="1:5" ht="24.75" customHeight="1">
      <c r="A2842" s="2">
        <v>2840</v>
      </c>
      <c r="B2842" s="2" t="str">
        <f>"陈艺瑾"</f>
        <v>陈艺瑾</v>
      </c>
      <c r="C2842" s="2" t="s">
        <v>2643</v>
      </c>
      <c r="D2842" s="2" t="s">
        <v>2665</v>
      </c>
      <c r="E2842" s="3"/>
    </row>
    <row r="2843" spans="1:5" ht="24.75" customHeight="1">
      <c r="A2843" s="2">
        <v>2841</v>
      </c>
      <c r="B2843" s="2" t="str">
        <f>"王芷晴"</f>
        <v>王芷晴</v>
      </c>
      <c r="C2843" s="2" t="s">
        <v>2643</v>
      </c>
      <c r="D2843" s="2" t="s">
        <v>2666</v>
      </c>
      <c r="E2843" s="3"/>
    </row>
    <row r="2844" spans="1:5" ht="24.75" customHeight="1">
      <c r="A2844" s="2">
        <v>2842</v>
      </c>
      <c r="B2844" s="2" t="str">
        <f>"徐冉"</f>
        <v>徐冉</v>
      </c>
      <c r="C2844" s="2" t="s">
        <v>2643</v>
      </c>
      <c r="D2844" s="2" t="s">
        <v>2667</v>
      </c>
      <c r="E2844" s="3"/>
    </row>
    <row r="2845" spans="1:5" ht="24.75" customHeight="1">
      <c r="A2845" s="2">
        <v>2843</v>
      </c>
      <c r="B2845" s="2" t="str">
        <f>"吴宏芳"</f>
        <v>吴宏芳</v>
      </c>
      <c r="C2845" s="2" t="s">
        <v>2643</v>
      </c>
      <c r="D2845" s="2" t="s">
        <v>1250</v>
      </c>
      <c r="E2845" s="3"/>
    </row>
    <row r="2846" spans="1:5" ht="24.75" customHeight="1">
      <c r="A2846" s="2">
        <v>2844</v>
      </c>
      <c r="B2846" s="2" t="str">
        <f>"吴贤励"</f>
        <v>吴贤励</v>
      </c>
      <c r="C2846" s="2" t="s">
        <v>2643</v>
      </c>
      <c r="D2846" s="2" t="s">
        <v>2668</v>
      </c>
      <c r="E2846" s="3"/>
    </row>
    <row r="2847" spans="1:5" ht="24.75" customHeight="1">
      <c r="A2847" s="2">
        <v>2845</v>
      </c>
      <c r="B2847" s="2" t="str">
        <f>"朱金玉"</f>
        <v>朱金玉</v>
      </c>
      <c r="C2847" s="2" t="s">
        <v>2643</v>
      </c>
      <c r="D2847" s="2" t="s">
        <v>2669</v>
      </c>
      <c r="E2847" s="3"/>
    </row>
    <row r="2848" spans="1:5" ht="24.75" customHeight="1">
      <c r="A2848" s="2">
        <v>2846</v>
      </c>
      <c r="B2848" s="2" t="str">
        <f>"钟玉瑶"</f>
        <v>钟玉瑶</v>
      </c>
      <c r="C2848" s="2" t="s">
        <v>2643</v>
      </c>
      <c r="D2848" s="2" t="s">
        <v>2670</v>
      </c>
      <c r="E2848" s="3"/>
    </row>
    <row r="2849" spans="1:5" ht="24.75" customHeight="1">
      <c r="A2849" s="2">
        <v>2847</v>
      </c>
      <c r="B2849" s="2" t="str">
        <f>"蔡嘉嘉"</f>
        <v>蔡嘉嘉</v>
      </c>
      <c r="C2849" s="2" t="s">
        <v>2643</v>
      </c>
      <c r="D2849" s="2" t="s">
        <v>2033</v>
      </c>
      <c r="E2849" s="3"/>
    </row>
    <row r="2850" spans="1:5" ht="24.75" customHeight="1">
      <c r="A2850" s="2">
        <v>2848</v>
      </c>
      <c r="B2850" s="2" t="str">
        <f>"王靖歌"</f>
        <v>王靖歌</v>
      </c>
      <c r="C2850" s="2" t="s">
        <v>2643</v>
      </c>
      <c r="D2850" s="2" t="s">
        <v>2671</v>
      </c>
      <c r="E2850" s="3"/>
    </row>
    <row r="2851" spans="1:5" ht="24.75" customHeight="1">
      <c r="A2851" s="2">
        <v>2849</v>
      </c>
      <c r="B2851" s="2" t="str">
        <f>"李向城"</f>
        <v>李向城</v>
      </c>
      <c r="C2851" s="2" t="s">
        <v>2643</v>
      </c>
      <c r="D2851" s="2" t="s">
        <v>2672</v>
      </c>
      <c r="E2851" s="3"/>
    </row>
    <row r="2852" spans="1:5" ht="24.75" customHeight="1">
      <c r="A2852" s="2">
        <v>2850</v>
      </c>
      <c r="B2852" s="2" t="str">
        <f>"黄奕琳"</f>
        <v>黄奕琳</v>
      </c>
      <c r="C2852" s="2" t="s">
        <v>2643</v>
      </c>
      <c r="D2852" s="2" t="s">
        <v>2673</v>
      </c>
      <c r="E2852" s="3"/>
    </row>
    <row r="2853" spans="1:5" ht="24.75" customHeight="1">
      <c r="A2853" s="2">
        <v>2851</v>
      </c>
      <c r="B2853" s="2" t="str">
        <f>"符晶晶"</f>
        <v>符晶晶</v>
      </c>
      <c r="C2853" s="2" t="s">
        <v>2643</v>
      </c>
      <c r="D2853" s="2" t="s">
        <v>575</v>
      </c>
      <c r="E2853" s="3"/>
    </row>
    <row r="2854" spans="1:5" ht="24.75" customHeight="1">
      <c r="A2854" s="2">
        <v>2852</v>
      </c>
      <c r="B2854" s="2" t="str">
        <f>"黄惠靖"</f>
        <v>黄惠靖</v>
      </c>
      <c r="C2854" s="2" t="s">
        <v>2643</v>
      </c>
      <c r="D2854" s="2" t="s">
        <v>2674</v>
      </c>
      <c r="E2854" s="3"/>
    </row>
    <row r="2855" spans="1:5" ht="24.75" customHeight="1">
      <c r="A2855" s="2">
        <v>2853</v>
      </c>
      <c r="B2855" s="2" t="str">
        <f>"周易相"</f>
        <v>周易相</v>
      </c>
      <c r="C2855" s="2" t="s">
        <v>2643</v>
      </c>
      <c r="D2855" s="2" t="s">
        <v>2675</v>
      </c>
      <c r="E2855" s="3"/>
    </row>
    <row r="2856" spans="1:5" ht="24.75" customHeight="1">
      <c r="A2856" s="2">
        <v>2854</v>
      </c>
      <c r="B2856" s="2" t="str">
        <f>"刘飞荣"</f>
        <v>刘飞荣</v>
      </c>
      <c r="C2856" s="2" t="s">
        <v>2643</v>
      </c>
      <c r="D2856" s="2" t="s">
        <v>2676</v>
      </c>
      <c r="E2856" s="3"/>
    </row>
    <row r="2857" spans="1:5" ht="24.75" customHeight="1">
      <c r="A2857" s="2">
        <v>2855</v>
      </c>
      <c r="B2857" s="2" t="str">
        <f>"文跃"</f>
        <v>文跃</v>
      </c>
      <c r="C2857" s="2" t="s">
        <v>2643</v>
      </c>
      <c r="D2857" s="2" t="s">
        <v>2677</v>
      </c>
      <c r="E2857" s="3"/>
    </row>
    <row r="2858" spans="1:5" ht="24.75" customHeight="1">
      <c r="A2858" s="2">
        <v>2856</v>
      </c>
      <c r="B2858" s="2" t="str">
        <f>"李育凡"</f>
        <v>李育凡</v>
      </c>
      <c r="C2858" s="2" t="s">
        <v>2643</v>
      </c>
      <c r="D2858" s="2" t="s">
        <v>2678</v>
      </c>
      <c r="E2858" s="3"/>
    </row>
    <row r="2859" spans="1:5" ht="24.75" customHeight="1">
      <c r="A2859" s="2">
        <v>2857</v>
      </c>
      <c r="B2859" s="2" t="str">
        <f>"梁珍榕"</f>
        <v>梁珍榕</v>
      </c>
      <c r="C2859" s="2" t="s">
        <v>2643</v>
      </c>
      <c r="D2859" s="2" t="s">
        <v>2679</v>
      </c>
      <c r="E2859" s="3"/>
    </row>
    <row r="2860" spans="1:5" ht="24.75" customHeight="1">
      <c r="A2860" s="2">
        <v>2858</v>
      </c>
      <c r="B2860" s="2" t="str">
        <f>"侯倩园"</f>
        <v>侯倩园</v>
      </c>
      <c r="C2860" s="2" t="s">
        <v>2643</v>
      </c>
      <c r="D2860" s="2" t="s">
        <v>2680</v>
      </c>
      <c r="E2860" s="3"/>
    </row>
    <row r="2861" spans="1:5" ht="24.75" customHeight="1">
      <c r="A2861" s="2">
        <v>2859</v>
      </c>
      <c r="B2861" s="2" t="str">
        <f>"孟潇潇"</f>
        <v>孟潇潇</v>
      </c>
      <c r="C2861" s="2" t="s">
        <v>2643</v>
      </c>
      <c r="D2861" s="2" t="s">
        <v>2681</v>
      </c>
      <c r="E2861" s="3"/>
    </row>
    <row r="2862" spans="1:5" ht="24.75" customHeight="1">
      <c r="A2862" s="2">
        <v>2860</v>
      </c>
      <c r="B2862" s="2" t="str">
        <f>"吴祥燕"</f>
        <v>吴祥燕</v>
      </c>
      <c r="C2862" s="2" t="s">
        <v>2643</v>
      </c>
      <c r="D2862" s="2" t="s">
        <v>2312</v>
      </c>
      <c r="E2862" s="3"/>
    </row>
    <row r="2863" spans="1:5" ht="24.75" customHeight="1">
      <c r="A2863" s="2">
        <v>2861</v>
      </c>
      <c r="B2863" s="2" t="str">
        <f>"王宏谊"</f>
        <v>王宏谊</v>
      </c>
      <c r="C2863" s="2" t="s">
        <v>2643</v>
      </c>
      <c r="D2863" s="2" t="s">
        <v>2682</v>
      </c>
      <c r="E2863" s="3"/>
    </row>
    <row r="2864" spans="1:5" ht="24.75" customHeight="1">
      <c r="A2864" s="2">
        <v>2862</v>
      </c>
      <c r="B2864" s="2" t="str">
        <f>"曾桂花"</f>
        <v>曾桂花</v>
      </c>
      <c r="C2864" s="2" t="s">
        <v>2643</v>
      </c>
      <c r="D2864" s="2" t="s">
        <v>2683</v>
      </c>
      <c r="E2864" s="3"/>
    </row>
    <row r="2865" spans="1:5" ht="24.75" customHeight="1">
      <c r="A2865" s="2">
        <v>2863</v>
      </c>
      <c r="B2865" s="2" t="str">
        <f>"杨梦欣"</f>
        <v>杨梦欣</v>
      </c>
      <c r="C2865" s="2" t="s">
        <v>2643</v>
      </c>
      <c r="D2865" s="2" t="s">
        <v>2684</v>
      </c>
      <c r="E2865" s="3"/>
    </row>
    <row r="2866" spans="1:5" ht="24.75" customHeight="1">
      <c r="A2866" s="2">
        <v>2864</v>
      </c>
      <c r="B2866" s="2" t="str">
        <f>"蓝畅"</f>
        <v>蓝畅</v>
      </c>
      <c r="C2866" s="2" t="s">
        <v>2643</v>
      </c>
      <c r="D2866" s="2" t="s">
        <v>489</v>
      </c>
      <c r="E2866" s="3"/>
    </row>
    <row r="2867" spans="1:5" ht="24.75" customHeight="1">
      <c r="A2867" s="2">
        <v>2865</v>
      </c>
      <c r="B2867" s="2" t="str">
        <f>"李喜兰"</f>
        <v>李喜兰</v>
      </c>
      <c r="C2867" s="2" t="s">
        <v>2643</v>
      </c>
      <c r="D2867" s="2" t="s">
        <v>2685</v>
      </c>
      <c r="E2867" s="3"/>
    </row>
    <row r="2868" spans="1:5" ht="24.75" customHeight="1">
      <c r="A2868" s="2">
        <v>2866</v>
      </c>
      <c r="B2868" s="2" t="str">
        <f>"李圣威"</f>
        <v>李圣威</v>
      </c>
      <c r="C2868" s="2" t="s">
        <v>2643</v>
      </c>
      <c r="D2868" s="2" t="s">
        <v>2686</v>
      </c>
      <c r="E2868" s="3"/>
    </row>
    <row r="2869" spans="1:5" ht="24.75" customHeight="1">
      <c r="A2869" s="2">
        <v>2867</v>
      </c>
      <c r="B2869" s="2" t="str">
        <f>"符馨尹"</f>
        <v>符馨尹</v>
      </c>
      <c r="C2869" s="2" t="s">
        <v>2643</v>
      </c>
      <c r="D2869" s="2" t="s">
        <v>2687</v>
      </c>
      <c r="E2869" s="3"/>
    </row>
    <row r="2870" spans="1:5" ht="24.75" customHeight="1">
      <c r="A2870" s="2">
        <v>2868</v>
      </c>
      <c r="B2870" s="2" t="str">
        <f>"黄琳琳"</f>
        <v>黄琳琳</v>
      </c>
      <c r="C2870" s="2" t="s">
        <v>2643</v>
      </c>
      <c r="D2870" s="2" t="s">
        <v>2688</v>
      </c>
      <c r="E2870" s="3"/>
    </row>
    <row r="2871" spans="1:5" ht="24.75" customHeight="1">
      <c r="A2871" s="2">
        <v>2869</v>
      </c>
      <c r="B2871" s="2" t="str">
        <f>"熊慧"</f>
        <v>熊慧</v>
      </c>
      <c r="C2871" s="2" t="s">
        <v>2643</v>
      </c>
      <c r="D2871" s="2" t="s">
        <v>2689</v>
      </c>
      <c r="E2871" s="3"/>
    </row>
    <row r="2872" spans="1:5" ht="24.75" customHeight="1">
      <c r="A2872" s="2">
        <v>2870</v>
      </c>
      <c r="B2872" s="2" t="str">
        <f>"陈水"</f>
        <v>陈水</v>
      </c>
      <c r="C2872" s="2" t="s">
        <v>2643</v>
      </c>
      <c r="D2872" s="2" t="s">
        <v>2690</v>
      </c>
      <c r="E2872" s="3"/>
    </row>
    <row r="2873" spans="1:5" ht="24.75" customHeight="1">
      <c r="A2873" s="2">
        <v>2871</v>
      </c>
      <c r="B2873" s="2" t="str">
        <f>"李娇惠"</f>
        <v>李娇惠</v>
      </c>
      <c r="C2873" s="2" t="s">
        <v>2643</v>
      </c>
      <c r="D2873" s="2" t="s">
        <v>2691</v>
      </c>
      <c r="E2873" s="3"/>
    </row>
    <row r="2874" spans="1:5" ht="24.75" customHeight="1">
      <c r="A2874" s="2">
        <v>2872</v>
      </c>
      <c r="B2874" s="2" t="str">
        <f>"陈雪婵"</f>
        <v>陈雪婵</v>
      </c>
      <c r="C2874" s="2" t="s">
        <v>2643</v>
      </c>
      <c r="D2874" s="2" t="s">
        <v>2692</v>
      </c>
      <c r="E2874" s="3"/>
    </row>
    <row r="2875" spans="1:5" ht="24.75" customHeight="1">
      <c r="A2875" s="2">
        <v>2873</v>
      </c>
      <c r="B2875" s="2" t="str">
        <f>"吴霞"</f>
        <v>吴霞</v>
      </c>
      <c r="C2875" s="2" t="s">
        <v>2643</v>
      </c>
      <c r="D2875" s="2" t="s">
        <v>2693</v>
      </c>
      <c r="E2875" s="3"/>
    </row>
    <row r="2876" spans="1:5" ht="24.75" customHeight="1">
      <c r="A2876" s="2">
        <v>2874</v>
      </c>
      <c r="B2876" s="2" t="str">
        <f>"吴子涵"</f>
        <v>吴子涵</v>
      </c>
      <c r="C2876" s="2" t="s">
        <v>2643</v>
      </c>
      <c r="D2876" s="2" t="s">
        <v>2694</v>
      </c>
      <c r="E2876" s="3"/>
    </row>
    <row r="2877" spans="1:5" ht="24.75" customHeight="1">
      <c r="A2877" s="2">
        <v>2875</v>
      </c>
      <c r="B2877" s="2" t="str">
        <f>"陈明辉"</f>
        <v>陈明辉</v>
      </c>
      <c r="C2877" s="2" t="s">
        <v>2643</v>
      </c>
      <c r="D2877" s="2" t="s">
        <v>1876</v>
      </c>
      <c r="E2877" s="3"/>
    </row>
    <row r="2878" spans="1:5" ht="24.75" customHeight="1">
      <c r="A2878" s="2">
        <v>2876</v>
      </c>
      <c r="B2878" s="2" t="str">
        <f>"王萃英"</f>
        <v>王萃英</v>
      </c>
      <c r="C2878" s="2" t="s">
        <v>2643</v>
      </c>
      <c r="D2878" s="2" t="s">
        <v>2695</v>
      </c>
      <c r="E2878" s="3"/>
    </row>
    <row r="2879" spans="1:5" ht="24.75" customHeight="1">
      <c r="A2879" s="2">
        <v>2877</v>
      </c>
      <c r="B2879" s="2" t="str">
        <f>"许文斌"</f>
        <v>许文斌</v>
      </c>
      <c r="C2879" s="2" t="s">
        <v>2643</v>
      </c>
      <c r="D2879" s="2" t="s">
        <v>2696</v>
      </c>
      <c r="E2879" s="3"/>
    </row>
    <row r="2880" spans="1:5" ht="24.75" customHeight="1">
      <c r="A2880" s="2">
        <v>2878</v>
      </c>
      <c r="B2880" s="2" t="str">
        <f>"林驰驰"</f>
        <v>林驰驰</v>
      </c>
      <c r="C2880" s="2" t="s">
        <v>2643</v>
      </c>
      <c r="D2880" s="2" t="s">
        <v>2697</v>
      </c>
      <c r="E2880" s="3"/>
    </row>
    <row r="2881" spans="1:5" ht="24.75" customHeight="1">
      <c r="A2881" s="2">
        <v>2879</v>
      </c>
      <c r="B2881" s="2" t="str">
        <f>"徐秋玲"</f>
        <v>徐秋玲</v>
      </c>
      <c r="C2881" s="2" t="s">
        <v>2643</v>
      </c>
      <c r="D2881" s="2" t="s">
        <v>2698</v>
      </c>
      <c r="E2881" s="3"/>
    </row>
    <row r="2882" spans="1:5" ht="24.75" customHeight="1">
      <c r="A2882" s="2">
        <v>2880</v>
      </c>
      <c r="B2882" s="2" t="str">
        <f>"宋杰"</f>
        <v>宋杰</v>
      </c>
      <c r="C2882" s="2" t="s">
        <v>2643</v>
      </c>
      <c r="D2882" s="2" t="s">
        <v>2699</v>
      </c>
      <c r="E2882" s="3"/>
    </row>
    <row r="2883" spans="1:5" ht="24.75" customHeight="1">
      <c r="A2883" s="2">
        <v>2881</v>
      </c>
      <c r="B2883" s="2" t="str">
        <f>"陈飞"</f>
        <v>陈飞</v>
      </c>
      <c r="C2883" s="2" t="s">
        <v>2643</v>
      </c>
      <c r="D2883" s="2" t="s">
        <v>218</v>
      </c>
      <c r="E2883" s="3"/>
    </row>
    <row r="2884" spans="1:5" ht="24.75" customHeight="1">
      <c r="A2884" s="2">
        <v>2882</v>
      </c>
      <c r="B2884" s="2" t="str">
        <f>"邢福宜"</f>
        <v>邢福宜</v>
      </c>
      <c r="C2884" s="2" t="s">
        <v>2643</v>
      </c>
      <c r="D2884" s="2" t="s">
        <v>1905</v>
      </c>
      <c r="E2884" s="3"/>
    </row>
    <row r="2885" spans="1:5" ht="24.75" customHeight="1">
      <c r="A2885" s="2">
        <v>2883</v>
      </c>
      <c r="B2885" s="2" t="str">
        <f>"张玉麒"</f>
        <v>张玉麒</v>
      </c>
      <c r="C2885" s="2" t="s">
        <v>2643</v>
      </c>
      <c r="D2885" s="2" t="s">
        <v>2700</v>
      </c>
      <c r="E2885" s="3"/>
    </row>
    <row r="2886" spans="1:5" ht="24.75" customHeight="1">
      <c r="A2886" s="2">
        <v>2884</v>
      </c>
      <c r="B2886" s="2" t="str">
        <f>"孙井娜"</f>
        <v>孙井娜</v>
      </c>
      <c r="C2886" s="2" t="s">
        <v>2643</v>
      </c>
      <c r="D2886" s="2" t="s">
        <v>2701</v>
      </c>
      <c r="E2886" s="3"/>
    </row>
    <row r="2887" spans="1:5" ht="24.75" customHeight="1">
      <c r="A2887" s="2">
        <v>2885</v>
      </c>
      <c r="B2887" s="2" t="str">
        <f>"潘玉婷"</f>
        <v>潘玉婷</v>
      </c>
      <c r="C2887" s="2" t="s">
        <v>2643</v>
      </c>
      <c r="D2887" s="2" t="s">
        <v>1231</v>
      </c>
      <c r="E2887" s="3"/>
    </row>
    <row r="2888" spans="1:5" ht="24.75" customHeight="1">
      <c r="A2888" s="2">
        <v>2886</v>
      </c>
      <c r="B2888" s="2" t="str">
        <f>"林凡舒"</f>
        <v>林凡舒</v>
      </c>
      <c r="C2888" s="2" t="s">
        <v>2643</v>
      </c>
      <c r="D2888" s="2" t="s">
        <v>2702</v>
      </c>
      <c r="E2888" s="3"/>
    </row>
    <row r="2889" spans="1:5" ht="24.75" customHeight="1">
      <c r="A2889" s="2">
        <v>2887</v>
      </c>
      <c r="B2889" s="2" t="str">
        <f>"周崧煌"</f>
        <v>周崧煌</v>
      </c>
      <c r="C2889" s="2" t="s">
        <v>2643</v>
      </c>
      <c r="D2889" s="2" t="s">
        <v>2703</v>
      </c>
      <c r="E2889" s="3"/>
    </row>
    <row r="2890" spans="1:5" ht="24.75" customHeight="1">
      <c r="A2890" s="2">
        <v>2888</v>
      </c>
      <c r="B2890" s="2" t="str">
        <f>"吴音音"</f>
        <v>吴音音</v>
      </c>
      <c r="C2890" s="2" t="s">
        <v>2643</v>
      </c>
      <c r="D2890" s="2" t="s">
        <v>206</v>
      </c>
      <c r="E2890" s="3"/>
    </row>
    <row r="2891" spans="1:5" ht="24.75" customHeight="1">
      <c r="A2891" s="2">
        <v>2889</v>
      </c>
      <c r="B2891" s="2" t="str">
        <f>"莫海武"</f>
        <v>莫海武</v>
      </c>
      <c r="C2891" s="2" t="s">
        <v>2643</v>
      </c>
      <c r="D2891" s="2" t="s">
        <v>2704</v>
      </c>
      <c r="E2891" s="3"/>
    </row>
    <row r="2892" spans="1:5" ht="24.75" customHeight="1">
      <c r="A2892" s="2">
        <v>2890</v>
      </c>
      <c r="B2892" s="2" t="str">
        <f>"林思桃"</f>
        <v>林思桃</v>
      </c>
      <c r="C2892" s="2" t="s">
        <v>2643</v>
      </c>
      <c r="D2892" s="2" t="s">
        <v>2705</v>
      </c>
      <c r="E2892" s="3"/>
    </row>
    <row r="2893" spans="1:5" ht="24.75" customHeight="1">
      <c r="A2893" s="2">
        <v>2891</v>
      </c>
      <c r="B2893" s="2" t="str">
        <f>"吴育芬"</f>
        <v>吴育芬</v>
      </c>
      <c r="C2893" s="2" t="s">
        <v>2643</v>
      </c>
      <c r="D2893" s="2" t="s">
        <v>2706</v>
      </c>
      <c r="E2893" s="3"/>
    </row>
    <row r="2894" spans="1:5" ht="24.75" customHeight="1">
      <c r="A2894" s="2">
        <v>2892</v>
      </c>
      <c r="B2894" s="2" t="str">
        <f>"卓毛朝"</f>
        <v>卓毛朝</v>
      </c>
      <c r="C2894" s="2" t="s">
        <v>2643</v>
      </c>
      <c r="D2894" s="2" t="s">
        <v>2707</v>
      </c>
      <c r="E2894" s="3"/>
    </row>
    <row r="2895" spans="1:5" ht="24.75" customHeight="1">
      <c r="A2895" s="2">
        <v>2893</v>
      </c>
      <c r="B2895" s="2" t="str">
        <f>"王丹"</f>
        <v>王丹</v>
      </c>
      <c r="C2895" s="2" t="s">
        <v>2643</v>
      </c>
      <c r="D2895" s="2" t="s">
        <v>2708</v>
      </c>
      <c r="E2895" s="3"/>
    </row>
    <row r="2896" spans="1:5" ht="24.75" customHeight="1">
      <c r="A2896" s="2">
        <v>2894</v>
      </c>
      <c r="B2896" s="2" t="str">
        <f>"许立"</f>
        <v>许立</v>
      </c>
      <c r="C2896" s="2" t="s">
        <v>2643</v>
      </c>
      <c r="D2896" s="2" t="s">
        <v>2709</v>
      </c>
      <c r="E2896" s="3"/>
    </row>
    <row r="2897" spans="1:5" ht="24.75" customHeight="1">
      <c r="A2897" s="2">
        <v>2895</v>
      </c>
      <c r="B2897" s="2" t="str">
        <f>"叶文敏"</f>
        <v>叶文敏</v>
      </c>
      <c r="C2897" s="2" t="s">
        <v>2643</v>
      </c>
      <c r="D2897" s="2" t="s">
        <v>1016</v>
      </c>
      <c r="E2897" s="3"/>
    </row>
    <row r="2898" spans="1:5" ht="24.75" customHeight="1">
      <c r="A2898" s="2">
        <v>2896</v>
      </c>
      <c r="B2898" s="2" t="str">
        <f>"陈文榆"</f>
        <v>陈文榆</v>
      </c>
      <c r="C2898" s="2" t="s">
        <v>2643</v>
      </c>
      <c r="D2898" s="2" t="s">
        <v>1193</v>
      </c>
      <c r="E2898" s="3"/>
    </row>
    <row r="2899" spans="1:5" ht="24.75" customHeight="1">
      <c r="A2899" s="2">
        <v>2897</v>
      </c>
      <c r="B2899" s="2" t="str">
        <f>"范媛媛"</f>
        <v>范媛媛</v>
      </c>
      <c r="C2899" s="2" t="s">
        <v>2643</v>
      </c>
      <c r="D2899" s="2" t="s">
        <v>2710</v>
      </c>
      <c r="E2899" s="3"/>
    </row>
    <row r="2900" spans="1:5" ht="24.75" customHeight="1">
      <c r="A2900" s="2">
        <v>2898</v>
      </c>
      <c r="B2900" s="2" t="str">
        <f>"范馨键"</f>
        <v>范馨键</v>
      </c>
      <c r="C2900" s="2" t="s">
        <v>2643</v>
      </c>
      <c r="D2900" s="2" t="s">
        <v>2375</v>
      </c>
      <c r="E2900" s="3"/>
    </row>
    <row r="2901" spans="1:5" ht="24.75" customHeight="1">
      <c r="A2901" s="2">
        <v>2899</v>
      </c>
      <c r="B2901" s="2" t="str">
        <f>"符永佳"</f>
        <v>符永佳</v>
      </c>
      <c r="C2901" s="2" t="s">
        <v>2643</v>
      </c>
      <c r="D2901" s="2" t="s">
        <v>918</v>
      </c>
      <c r="E2901" s="3"/>
    </row>
    <row r="2902" spans="1:5" ht="24.75" customHeight="1">
      <c r="A2902" s="2">
        <v>2900</v>
      </c>
      <c r="B2902" s="2" t="str">
        <f>"张婕"</f>
        <v>张婕</v>
      </c>
      <c r="C2902" s="2" t="s">
        <v>2643</v>
      </c>
      <c r="D2902" s="2" t="s">
        <v>2711</v>
      </c>
      <c r="E2902" s="3"/>
    </row>
    <row r="2903" spans="1:5" ht="24.75" customHeight="1">
      <c r="A2903" s="2">
        <v>2901</v>
      </c>
      <c r="B2903" s="2" t="str">
        <f>"潘琳正"</f>
        <v>潘琳正</v>
      </c>
      <c r="C2903" s="2" t="s">
        <v>2643</v>
      </c>
      <c r="D2903" s="2" t="s">
        <v>2712</v>
      </c>
      <c r="E2903" s="3"/>
    </row>
    <row r="2904" spans="1:5" ht="24.75" customHeight="1">
      <c r="A2904" s="2">
        <v>2902</v>
      </c>
      <c r="B2904" s="2" t="str">
        <f>"陈俊霖"</f>
        <v>陈俊霖</v>
      </c>
      <c r="C2904" s="2" t="s">
        <v>2643</v>
      </c>
      <c r="D2904" s="2" t="s">
        <v>2713</v>
      </c>
      <c r="E2904" s="3"/>
    </row>
    <row r="2905" spans="1:5" ht="24.75" customHeight="1">
      <c r="A2905" s="2">
        <v>2903</v>
      </c>
      <c r="B2905" s="2" t="str">
        <f>"陈俐君"</f>
        <v>陈俐君</v>
      </c>
      <c r="C2905" s="2" t="s">
        <v>2643</v>
      </c>
      <c r="D2905" s="2" t="s">
        <v>2714</v>
      </c>
      <c r="E2905" s="3"/>
    </row>
    <row r="2906" spans="1:5" ht="24.75" customHeight="1">
      <c r="A2906" s="2">
        <v>2904</v>
      </c>
      <c r="B2906" s="2" t="str">
        <f>"陈元腾"</f>
        <v>陈元腾</v>
      </c>
      <c r="C2906" s="2" t="s">
        <v>2643</v>
      </c>
      <c r="D2906" s="2" t="s">
        <v>2715</v>
      </c>
      <c r="E2906" s="3"/>
    </row>
    <row r="2907" spans="1:5" ht="24.75" customHeight="1">
      <c r="A2907" s="2">
        <v>2905</v>
      </c>
      <c r="B2907" s="2" t="str">
        <f>"羊冬花"</f>
        <v>羊冬花</v>
      </c>
      <c r="C2907" s="2" t="s">
        <v>2643</v>
      </c>
      <c r="D2907" s="2" t="s">
        <v>2716</v>
      </c>
      <c r="E2907" s="3"/>
    </row>
    <row r="2908" spans="1:5" ht="24.75" customHeight="1">
      <c r="A2908" s="2">
        <v>2906</v>
      </c>
      <c r="B2908" s="2" t="str">
        <f>"陈孟玲"</f>
        <v>陈孟玲</v>
      </c>
      <c r="C2908" s="2" t="s">
        <v>2643</v>
      </c>
      <c r="D2908" s="2" t="s">
        <v>2717</v>
      </c>
      <c r="E2908" s="3"/>
    </row>
    <row r="2909" spans="1:5" ht="24.75" customHeight="1">
      <c r="A2909" s="2">
        <v>2907</v>
      </c>
      <c r="B2909" s="2" t="str">
        <f>"欧阳继瑞"</f>
        <v>欧阳继瑞</v>
      </c>
      <c r="C2909" s="2" t="s">
        <v>2643</v>
      </c>
      <c r="D2909" s="2" t="s">
        <v>1593</v>
      </c>
      <c r="E2909" s="3"/>
    </row>
    <row r="2910" spans="1:5" ht="24.75" customHeight="1">
      <c r="A2910" s="2">
        <v>2908</v>
      </c>
      <c r="B2910" s="2" t="str">
        <f>"王小欣"</f>
        <v>王小欣</v>
      </c>
      <c r="C2910" s="2" t="s">
        <v>2643</v>
      </c>
      <c r="D2910" s="2" t="s">
        <v>2718</v>
      </c>
      <c r="E2910" s="3"/>
    </row>
    <row r="2911" spans="1:5" ht="24.75" customHeight="1">
      <c r="A2911" s="2">
        <v>2909</v>
      </c>
      <c r="B2911" s="2" t="str">
        <f>"杨春霞"</f>
        <v>杨春霞</v>
      </c>
      <c r="C2911" s="2" t="s">
        <v>2643</v>
      </c>
      <c r="D2911" s="2" t="s">
        <v>2719</v>
      </c>
      <c r="E2911" s="3"/>
    </row>
    <row r="2912" spans="1:5" ht="24.75" customHeight="1">
      <c r="A2912" s="2">
        <v>2910</v>
      </c>
      <c r="B2912" s="2" t="str">
        <f>"韦欣辰"</f>
        <v>韦欣辰</v>
      </c>
      <c r="C2912" s="2" t="s">
        <v>2643</v>
      </c>
      <c r="D2912" s="2" t="s">
        <v>2720</v>
      </c>
      <c r="E2912" s="3"/>
    </row>
    <row r="2913" spans="1:5" ht="24.75" customHeight="1">
      <c r="A2913" s="2">
        <v>2911</v>
      </c>
      <c r="B2913" s="2" t="str">
        <f>"李海莹"</f>
        <v>李海莹</v>
      </c>
      <c r="C2913" s="2" t="s">
        <v>2643</v>
      </c>
      <c r="D2913" s="2" t="s">
        <v>2721</v>
      </c>
      <c r="E2913" s="3"/>
    </row>
    <row r="2914" spans="1:5" ht="24.75" customHeight="1">
      <c r="A2914" s="2">
        <v>2912</v>
      </c>
      <c r="B2914" s="2" t="str">
        <f>"李婧文"</f>
        <v>李婧文</v>
      </c>
      <c r="C2914" s="2" t="s">
        <v>2643</v>
      </c>
      <c r="D2914" s="2" t="s">
        <v>2722</v>
      </c>
      <c r="E2914" s="3"/>
    </row>
    <row r="2915" spans="1:5" ht="24.75" customHeight="1">
      <c r="A2915" s="2">
        <v>2913</v>
      </c>
      <c r="B2915" s="2" t="str">
        <f>"符慧娟"</f>
        <v>符慧娟</v>
      </c>
      <c r="C2915" s="2" t="s">
        <v>2643</v>
      </c>
      <c r="D2915" s="2" t="s">
        <v>2723</v>
      </c>
      <c r="E2915" s="3"/>
    </row>
    <row r="2916" spans="1:5" ht="24.75" customHeight="1">
      <c r="A2916" s="2">
        <v>2914</v>
      </c>
      <c r="B2916" s="2" t="str">
        <f>"王秋和"</f>
        <v>王秋和</v>
      </c>
      <c r="C2916" s="2" t="s">
        <v>2643</v>
      </c>
      <c r="D2916" s="2" t="s">
        <v>2724</v>
      </c>
      <c r="E2916" s="3"/>
    </row>
    <row r="2917" spans="1:5" ht="24.75" customHeight="1">
      <c r="A2917" s="2">
        <v>2915</v>
      </c>
      <c r="B2917" s="2" t="str">
        <f>"王丁"</f>
        <v>王丁</v>
      </c>
      <c r="C2917" s="2" t="s">
        <v>2643</v>
      </c>
      <c r="D2917" s="2" t="s">
        <v>2725</v>
      </c>
      <c r="E2917" s="3"/>
    </row>
    <row r="2918" spans="1:5" ht="24.75" customHeight="1">
      <c r="A2918" s="2">
        <v>2916</v>
      </c>
      <c r="B2918" s="2" t="str">
        <f>"吉丽"</f>
        <v>吉丽</v>
      </c>
      <c r="C2918" s="2" t="s">
        <v>2643</v>
      </c>
      <c r="D2918" s="2" t="s">
        <v>951</v>
      </c>
      <c r="E2918" s="3"/>
    </row>
    <row r="2919" spans="1:5" ht="24.75" customHeight="1">
      <c r="A2919" s="2">
        <v>2917</v>
      </c>
      <c r="B2919" s="2" t="str">
        <f>"黄成龙"</f>
        <v>黄成龙</v>
      </c>
      <c r="C2919" s="2" t="s">
        <v>2643</v>
      </c>
      <c r="D2919" s="2" t="s">
        <v>266</v>
      </c>
      <c r="E2919" s="3"/>
    </row>
    <row r="2920" spans="1:5" ht="24.75" customHeight="1">
      <c r="A2920" s="2">
        <v>2918</v>
      </c>
      <c r="B2920" s="2" t="str">
        <f>"陈运贤"</f>
        <v>陈运贤</v>
      </c>
      <c r="C2920" s="2" t="s">
        <v>2643</v>
      </c>
      <c r="D2920" s="2" t="s">
        <v>2726</v>
      </c>
      <c r="E2920" s="3"/>
    </row>
    <row r="2921" spans="1:5" ht="24.75" customHeight="1">
      <c r="A2921" s="2">
        <v>2919</v>
      </c>
      <c r="B2921" s="2" t="str">
        <f>"陈琦"</f>
        <v>陈琦</v>
      </c>
      <c r="C2921" s="2" t="s">
        <v>2643</v>
      </c>
      <c r="D2921" s="2" t="s">
        <v>2727</v>
      </c>
      <c r="E2921" s="3"/>
    </row>
    <row r="2922" spans="1:5" ht="24.75" customHeight="1">
      <c r="A2922" s="2">
        <v>2920</v>
      </c>
      <c r="B2922" s="2" t="str">
        <f>"陈小如"</f>
        <v>陈小如</v>
      </c>
      <c r="C2922" s="2" t="s">
        <v>2643</v>
      </c>
      <c r="D2922" s="2" t="s">
        <v>2728</v>
      </c>
      <c r="E2922" s="3"/>
    </row>
    <row r="2923" spans="1:5" ht="24.75" customHeight="1">
      <c r="A2923" s="2">
        <v>2921</v>
      </c>
      <c r="B2923" s="2" t="str">
        <f>"符天妹"</f>
        <v>符天妹</v>
      </c>
      <c r="C2923" s="2" t="s">
        <v>2643</v>
      </c>
      <c r="D2923" s="2" t="s">
        <v>2729</v>
      </c>
      <c r="E2923" s="3"/>
    </row>
    <row r="2924" spans="1:5" ht="24.75" customHeight="1">
      <c r="A2924" s="2">
        <v>2922</v>
      </c>
      <c r="B2924" s="2" t="str">
        <f>"麦嘉丽"</f>
        <v>麦嘉丽</v>
      </c>
      <c r="C2924" s="2" t="s">
        <v>2643</v>
      </c>
      <c r="D2924" s="2" t="s">
        <v>2730</v>
      </c>
      <c r="E2924" s="3"/>
    </row>
    <row r="2925" spans="1:5" ht="24.75" customHeight="1">
      <c r="A2925" s="2">
        <v>2923</v>
      </c>
      <c r="B2925" s="2" t="str">
        <f>"卢丹"</f>
        <v>卢丹</v>
      </c>
      <c r="C2925" s="2" t="s">
        <v>2643</v>
      </c>
      <c r="D2925" s="2" t="s">
        <v>1241</v>
      </c>
      <c r="E2925" s="3"/>
    </row>
    <row r="2926" spans="1:5" ht="24.75" customHeight="1">
      <c r="A2926" s="2">
        <v>2924</v>
      </c>
      <c r="B2926" s="2" t="str">
        <f>"谢惠涛"</f>
        <v>谢惠涛</v>
      </c>
      <c r="C2926" s="2" t="s">
        <v>2643</v>
      </c>
      <c r="D2926" s="2" t="s">
        <v>2731</v>
      </c>
      <c r="E2926" s="3"/>
    </row>
    <row r="2927" spans="1:5" ht="24.75" customHeight="1">
      <c r="A2927" s="2">
        <v>2925</v>
      </c>
      <c r="B2927" s="2" t="str">
        <f>"谭小霜"</f>
        <v>谭小霜</v>
      </c>
      <c r="C2927" s="2" t="s">
        <v>2643</v>
      </c>
      <c r="D2927" s="2" t="s">
        <v>2732</v>
      </c>
      <c r="E2927" s="3"/>
    </row>
    <row r="2928" spans="1:5" ht="24.75" customHeight="1">
      <c r="A2928" s="2">
        <v>2926</v>
      </c>
      <c r="B2928" s="2" t="str">
        <f>"伍盈盈"</f>
        <v>伍盈盈</v>
      </c>
      <c r="C2928" s="2" t="s">
        <v>2643</v>
      </c>
      <c r="D2928" s="2" t="s">
        <v>2733</v>
      </c>
      <c r="E2928" s="3"/>
    </row>
    <row r="2929" spans="1:5" ht="24.75" customHeight="1">
      <c r="A2929" s="2">
        <v>2927</v>
      </c>
      <c r="B2929" s="2" t="str">
        <f>"蔡晶莹"</f>
        <v>蔡晶莹</v>
      </c>
      <c r="C2929" s="2" t="s">
        <v>2643</v>
      </c>
      <c r="D2929" s="2" t="s">
        <v>2734</v>
      </c>
      <c r="E2929" s="3"/>
    </row>
    <row r="2930" spans="1:5" ht="24.75" customHeight="1">
      <c r="A2930" s="2">
        <v>2928</v>
      </c>
      <c r="B2930" s="2" t="str">
        <f>"黄亦皇黄"</f>
        <v>黄亦皇黄</v>
      </c>
      <c r="C2930" s="2" t="s">
        <v>2643</v>
      </c>
      <c r="D2930" s="2" t="s">
        <v>2735</v>
      </c>
      <c r="E2930" s="3"/>
    </row>
    <row r="2931" spans="1:5" ht="24.75" customHeight="1">
      <c r="A2931" s="2">
        <v>2929</v>
      </c>
      <c r="B2931" s="2" t="str">
        <f>"柯灵丹"</f>
        <v>柯灵丹</v>
      </c>
      <c r="C2931" s="2" t="s">
        <v>2643</v>
      </c>
      <c r="D2931" s="2" t="s">
        <v>2711</v>
      </c>
      <c r="E2931" s="3"/>
    </row>
    <row r="2932" spans="1:5" ht="24.75" customHeight="1">
      <c r="A2932" s="2">
        <v>2930</v>
      </c>
      <c r="B2932" s="2" t="str">
        <f>"王亚蕊"</f>
        <v>王亚蕊</v>
      </c>
      <c r="C2932" s="2" t="s">
        <v>2643</v>
      </c>
      <c r="D2932" s="2" t="s">
        <v>2736</v>
      </c>
      <c r="E2932" s="3"/>
    </row>
    <row r="2933" spans="1:5" ht="24.75" customHeight="1">
      <c r="A2933" s="2">
        <v>2931</v>
      </c>
      <c r="B2933" s="2" t="str">
        <f>"杜丽婷"</f>
        <v>杜丽婷</v>
      </c>
      <c r="C2933" s="2" t="s">
        <v>2643</v>
      </c>
      <c r="D2933" s="2" t="s">
        <v>470</v>
      </c>
      <c r="E2933" s="3"/>
    </row>
    <row r="2934" spans="1:5" ht="24.75" customHeight="1">
      <c r="A2934" s="2">
        <v>2932</v>
      </c>
      <c r="B2934" s="2" t="str">
        <f>"唐昌恒"</f>
        <v>唐昌恒</v>
      </c>
      <c r="C2934" s="2" t="s">
        <v>2643</v>
      </c>
      <c r="D2934" s="2" t="s">
        <v>2737</v>
      </c>
      <c r="E2934" s="3"/>
    </row>
    <row r="2935" spans="1:5" ht="24.75" customHeight="1">
      <c r="A2935" s="2">
        <v>2933</v>
      </c>
      <c r="B2935" s="2" t="str">
        <f>"符丁文"</f>
        <v>符丁文</v>
      </c>
      <c r="C2935" s="2" t="s">
        <v>2643</v>
      </c>
      <c r="D2935" s="2" t="s">
        <v>24</v>
      </c>
      <c r="E2935" s="3"/>
    </row>
    <row r="2936" spans="1:5" ht="24.75" customHeight="1">
      <c r="A2936" s="2">
        <v>2934</v>
      </c>
      <c r="B2936" s="2" t="str">
        <f>"李丹"</f>
        <v>李丹</v>
      </c>
      <c r="C2936" s="2" t="s">
        <v>2643</v>
      </c>
      <c r="D2936" s="2" t="s">
        <v>2738</v>
      </c>
      <c r="E2936" s="3"/>
    </row>
    <row r="2937" spans="1:5" ht="24.75" customHeight="1">
      <c r="A2937" s="2">
        <v>2935</v>
      </c>
      <c r="B2937" s="2" t="str">
        <f>"羊盛锦"</f>
        <v>羊盛锦</v>
      </c>
      <c r="C2937" s="2" t="s">
        <v>2643</v>
      </c>
      <c r="D2937" s="2" t="s">
        <v>1544</v>
      </c>
      <c r="E2937" s="3"/>
    </row>
    <row r="2938" spans="1:5" ht="24.75" customHeight="1">
      <c r="A2938" s="2">
        <v>2936</v>
      </c>
      <c r="B2938" s="2" t="str">
        <f>"黄扬恋"</f>
        <v>黄扬恋</v>
      </c>
      <c r="C2938" s="2" t="s">
        <v>2643</v>
      </c>
      <c r="D2938" s="2" t="s">
        <v>2739</v>
      </c>
      <c r="E2938" s="3"/>
    </row>
    <row r="2939" spans="1:5" ht="24.75" customHeight="1">
      <c r="A2939" s="2">
        <v>2937</v>
      </c>
      <c r="B2939" s="2" t="str">
        <f>"周婧"</f>
        <v>周婧</v>
      </c>
      <c r="C2939" s="2" t="s">
        <v>2643</v>
      </c>
      <c r="D2939" s="2" t="s">
        <v>2740</v>
      </c>
      <c r="E2939" s="3"/>
    </row>
    <row r="2940" spans="1:5" ht="24.75" customHeight="1">
      <c r="A2940" s="2">
        <v>2938</v>
      </c>
      <c r="B2940" s="2" t="str">
        <f>"方晴"</f>
        <v>方晴</v>
      </c>
      <c r="C2940" s="2" t="s">
        <v>2643</v>
      </c>
      <c r="D2940" s="2" t="s">
        <v>81</v>
      </c>
      <c r="E2940" s="3"/>
    </row>
    <row r="2941" spans="1:5" ht="24.75" customHeight="1">
      <c r="A2941" s="2">
        <v>2939</v>
      </c>
      <c r="B2941" s="2" t="str">
        <f>"曾迟"</f>
        <v>曾迟</v>
      </c>
      <c r="C2941" s="2" t="s">
        <v>2643</v>
      </c>
      <c r="D2941" s="2" t="s">
        <v>2741</v>
      </c>
      <c r="E2941" s="3"/>
    </row>
    <row r="2942" spans="1:5" ht="24.75" customHeight="1">
      <c r="A2942" s="2">
        <v>2940</v>
      </c>
      <c r="B2942" s="2" t="str">
        <f>"陈美桃"</f>
        <v>陈美桃</v>
      </c>
      <c r="C2942" s="2" t="s">
        <v>2643</v>
      </c>
      <c r="D2942" s="2" t="s">
        <v>2742</v>
      </c>
      <c r="E2942" s="3"/>
    </row>
    <row r="2943" spans="1:5" ht="24.75" customHeight="1">
      <c r="A2943" s="2">
        <v>2941</v>
      </c>
      <c r="B2943" s="2" t="str">
        <f>"周婕"</f>
        <v>周婕</v>
      </c>
      <c r="C2943" s="2" t="s">
        <v>2643</v>
      </c>
      <c r="D2943" s="2" t="s">
        <v>2743</v>
      </c>
      <c r="E2943" s="3"/>
    </row>
    <row r="2944" spans="1:5" ht="24.75" customHeight="1">
      <c r="A2944" s="2">
        <v>2942</v>
      </c>
      <c r="B2944" s="2" t="str">
        <f>"张琪玉"</f>
        <v>张琪玉</v>
      </c>
      <c r="C2944" s="2" t="s">
        <v>2643</v>
      </c>
      <c r="D2944" s="2" t="s">
        <v>2744</v>
      </c>
      <c r="E2944" s="3"/>
    </row>
    <row r="2945" spans="1:5" ht="24.75" customHeight="1">
      <c r="A2945" s="2">
        <v>2943</v>
      </c>
      <c r="B2945" s="2" t="str">
        <f>"周玲"</f>
        <v>周玲</v>
      </c>
      <c r="C2945" s="2" t="s">
        <v>2643</v>
      </c>
      <c r="D2945" s="2" t="s">
        <v>2745</v>
      </c>
      <c r="E2945" s="3"/>
    </row>
    <row r="2946" spans="1:5" ht="24.75" customHeight="1">
      <c r="A2946" s="2">
        <v>2944</v>
      </c>
      <c r="B2946" s="2" t="str">
        <f>"司徒慧敏"</f>
        <v>司徒慧敏</v>
      </c>
      <c r="C2946" s="2" t="s">
        <v>2643</v>
      </c>
      <c r="D2946" s="2" t="s">
        <v>2746</v>
      </c>
      <c r="E2946" s="3"/>
    </row>
    <row r="2947" spans="1:5" ht="24.75" customHeight="1">
      <c r="A2947" s="2">
        <v>2945</v>
      </c>
      <c r="B2947" s="2" t="str">
        <f>"邢馨之"</f>
        <v>邢馨之</v>
      </c>
      <c r="C2947" s="2" t="s">
        <v>2643</v>
      </c>
      <c r="D2947" s="2" t="s">
        <v>2747</v>
      </c>
      <c r="E2947" s="3"/>
    </row>
    <row r="2948" spans="1:5" ht="24.75" customHeight="1">
      <c r="A2948" s="2">
        <v>2946</v>
      </c>
      <c r="B2948" s="2" t="str">
        <f>"陈焜"</f>
        <v>陈焜</v>
      </c>
      <c r="C2948" s="2" t="s">
        <v>2643</v>
      </c>
      <c r="D2948" s="2" t="s">
        <v>2748</v>
      </c>
      <c r="E2948" s="3"/>
    </row>
    <row r="2949" spans="1:5" ht="24.75" customHeight="1">
      <c r="A2949" s="2">
        <v>2947</v>
      </c>
      <c r="B2949" s="2" t="str">
        <f>"黎杰"</f>
        <v>黎杰</v>
      </c>
      <c r="C2949" s="2" t="s">
        <v>2643</v>
      </c>
      <c r="D2949" s="2" t="s">
        <v>2492</v>
      </c>
      <c r="E2949" s="3"/>
    </row>
    <row r="2950" spans="1:5" ht="24.75" customHeight="1">
      <c r="A2950" s="2">
        <v>2948</v>
      </c>
      <c r="B2950" s="2" t="str">
        <f>"谭玉容"</f>
        <v>谭玉容</v>
      </c>
      <c r="C2950" s="2" t="s">
        <v>2643</v>
      </c>
      <c r="D2950" s="2" t="s">
        <v>2749</v>
      </c>
      <c r="E2950" s="3"/>
    </row>
    <row r="2951" spans="1:5" ht="24.75" customHeight="1">
      <c r="A2951" s="2">
        <v>2949</v>
      </c>
      <c r="B2951" s="2" t="str">
        <f>"钟瑗"</f>
        <v>钟瑗</v>
      </c>
      <c r="C2951" s="2" t="s">
        <v>2643</v>
      </c>
      <c r="D2951" s="2" t="s">
        <v>2750</v>
      </c>
      <c r="E2951" s="3"/>
    </row>
    <row r="2952" spans="1:5" ht="24.75" customHeight="1">
      <c r="A2952" s="2">
        <v>2950</v>
      </c>
      <c r="B2952" s="2" t="str">
        <f>"符小娟"</f>
        <v>符小娟</v>
      </c>
      <c r="C2952" s="2" t="s">
        <v>2643</v>
      </c>
      <c r="D2952" s="2" t="s">
        <v>817</v>
      </c>
      <c r="E2952" s="3"/>
    </row>
    <row r="2953" spans="1:5" ht="24.75" customHeight="1">
      <c r="A2953" s="2">
        <v>2951</v>
      </c>
      <c r="B2953" s="2" t="str">
        <f>"黄上芷"</f>
        <v>黄上芷</v>
      </c>
      <c r="C2953" s="2" t="s">
        <v>2643</v>
      </c>
      <c r="D2953" s="2" t="s">
        <v>2751</v>
      </c>
      <c r="E2953" s="3"/>
    </row>
    <row r="2954" spans="1:5" ht="24.75" customHeight="1">
      <c r="A2954" s="2">
        <v>2952</v>
      </c>
      <c r="B2954" s="2" t="str">
        <f>"吴灵"</f>
        <v>吴灵</v>
      </c>
      <c r="C2954" s="2" t="s">
        <v>2643</v>
      </c>
      <c r="D2954" s="2" t="s">
        <v>2752</v>
      </c>
      <c r="E2954" s="3"/>
    </row>
    <row r="2955" spans="1:5" ht="24.75" customHeight="1">
      <c r="A2955" s="2">
        <v>2953</v>
      </c>
      <c r="B2955" s="2" t="str">
        <f>"王雅婷"</f>
        <v>王雅婷</v>
      </c>
      <c r="C2955" s="2" t="s">
        <v>2643</v>
      </c>
      <c r="D2955" s="2" t="s">
        <v>2753</v>
      </c>
      <c r="E2955" s="3"/>
    </row>
    <row r="2956" spans="1:5" ht="24.75" customHeight="1">
      <c r="A2956" s="2">
        <v>2954</v>
      </c>
      <c r="B2956" s="2" t="str">
        <f>"段睿艺"</f>
        <v>段睿艺</v>
      </c>
      <c r="C2956" s="2" t="s">
        <v>2643</v>
      </c>
      <c r="D2956" s="2" t="s">
        <v>998</v>
      </c>
      <c r="E2956" s="3"/>
    </row>
    <row r="2957" spans="1:5" ht="24.75" customHeight="1">
      <c r="A2957" s="2">
        <v>2955</v>
      </c>
      <c r="B2957" s="2" t="str">
        <f>"杨联进"</f>
        <v>杨联进</v>
      </c>
      <c r="C2957" s="2" t="s">
        <v>2643</v>
      </c>
      <c r="D2957" s="2" t="s">
        <v>2754</v>
      </c>
      <c r="E2957" s="3"/>
    </row>
    <row r="2958" spans="1:5" ht="24.75" customHeight="1">
      <c r="A2958" s="2">
        <v>2956</v>
      </c>
      <c r="B2958" s="2" t="str">
        <f>"吴健宁"</f>
        <v>吴健宁</v>
      </c>
      <c r="C2958" s="2" t="s">
        <v>2643</v>
      </c>
      <c r="D2958" s="2" t="s">
        <v>2755</v>
      </c>
      <c r="E2958" s="3"/>
    </row>
    <row r="2959" spans="1:5" ht="24.75" customHeight="1">
      <c r="A2959" s="2">
        <v>2957</v>
      </c>
      <c r="B2959" s="2" t="str">
        <f>"陈婧照"</f>
        <v>陈婧照</v>
      </c>
      <c r="C2959" s="2" t="s">
        <v>2643</v>
      </c>
      <c r="D2959" s="2" t="s">
        <v>2756</v>
      </c>
      <c r="E2959" s="3"/>
    </row>
    <row r="2960" spans="1:5" ht="24.75" customHeight="1">
      <c r="A2960" s="2">
        <v>2958</v>
      </c>
      <c r="B2960" s="2" t="str">
        <f>"徐雄姣"</f>
        <v>徐雄姣</v>
      </c>
      <c r="C2960" s="2" t="s">
        <v>2643</v>
      </c>
      <c r="D2960" s="2" t="s">
        <v>2757</v>
      </c>
      <c r="E2960" s="3"/>
    </row>
    <row r="2961" spans="1:5" ht="24.75" customHeight="1">
      <c r="A2961" s="2">
        <v>2959</v>
      </c>
      <c r="B2961" s="2" t="str">
        <f>"黄美姿"</f>
        <v>黄美姿</v>
      </c>
      <c r="C2961" s="2" t="s">
        <v>2643</v>
      </c>
      <c r="D2961" s="2" t="s">
        <v>2758</v>
      </c>
      <c r="E2961" s="3"/>
    </row>
    <row r="2962" spans="1:5" ht="24.75" customHeight="1">
      <c r="A2962" s="2">
        <v>2960</v>
      </c>
      <c r="B2962" s="2" t="str">
        <f>"卓承汝"</f>
        <v>卓承汝</v>
      </c>
      <c r="C2962" s="2" t="s">
        <v>2643</v>
      </c>
      <c r="D2962" s="2" t="s">
        <v>2759</v>
      </c>
      <c r="E2962" s="3"/>
    </row>
    <row r="2963" spans="1:5" ht="24.75" customHeight="1">
      <c r="A2963" s="2">
        <v>2961</v>
      </c>
      <c r="B2963" s="2" t="str">
        <f>"陈静"</f>
        <v>陈静</v>
      </c>
      <c r="C2963" s="2" t="s">
        <v>2643</v>
      </c>
      <c r="D2963" s="2" t="s">
        <v>2760</v>
      </c>
      <c r="E2963" s="3"/>
    </row>
    <row r="2964" spans="1:5" ht="24.75" customHeight="1">
      <c r="A2964" s="2">
        <v>2962</v>
      </c>
      <c r="B2964" s="2" t="str">
        <f>"郑洋"</f>
        <v>郑洋</v>
      </c>
      <c r="C2964" s="2" t="s">
        <v>2643</v>
      </c>
      <c r="D2964" s="2" t="s">
        <v>2761</v>
      </c>
      <c r="E2964" s="3"/>
    </row>
    <row r="2965" spans="1:5" ht="24.75" customHeight="1">
      <c r="A2965" s="2">
        <v>2963</v>
      </c>
      <c r="B2965" s="2" t="str">
        <f>"符欣欣"</f>
        <v>符欣欣</v>
      </c>
      <c r="C2965" s="2" t="s">
        <v>2643</v>
      </c>
      <c r="D2965" s="2" t="s">
        <v>2762</v>
      </c>
      <c r="E2965" s="3"/>
    </row>
    <row r="2966" spans="1:5" ht="24.75" customHeight="1">
      <c r="A2966" s="2">
        <v>2964</v>
      </c>
      <c r="B2966" s="2" t="str">
        <f>"翁美玲"</f>
        <v>翁美玲</v>
      </c>
      <c r="C2966" s="2" t="s">
        <v>2643</v>
      </c>
      <c r="D2966" s="2" t="s">
        <v>2763</v>
      </c>
      <c r="E2966" s="3"/>
    </row>
    <row r="2967" spans="1:5" ht="24.75" customHeight="1">
      <c r="A2967" s="2">
        <v>2965</v>
      </c>
      <c r="B2967" s="2" t="str">
        <f>"岑娜"</f>
        <v>岑娜</v>
      </c>
      <c r="C2967" s="2" t="s">
        <v>2764</v>
      </c>
      <c r="D2967" s="2" t="s">
        <v>2765</v>
      </c>
      <c r="E2967" s="3"/>
    </row>
    <row r="2968" spans="1:5" ht="24.75" customHeight="1">
      <c r="A2968" s="2">
        <v>2966</v>
      </c>
      <c r="B2968" s="2" t="str">
        <f>"何彦龙"</f>
        <v>何彦龙</v>
      </c>
      <c r="C2968" s="2" t="s">
        <v>2764</v>
      </c>
      <c r="D2968" s="2" t="s">
        <v>2766</v>
      </c>
      <c r="E2968" s="3"/>
    </row>
    <row r="2969" spans="1:5" ht="24.75" customHeight="1">
      <c r="A2969" s="2">
        <v>2967</v>
      </c>
      <c r="B2969" s="2" t="str">
        <f>"钱丽波"</f>
        <v>钱丽波</v>
      </c>
      <c r="C2969" s="2" t="s">
        <v>2764</v>
      </c>
      <c r="D2969" s="2" t="s">
        <v>2767</v>
      </c>
      <c r="E2969" s="3"/>
    </row>
    <row r="2970" spans="1:5" ht="24.75" customHeight="1">
      <c r="A2970" s="2">
        <v>2968</v>
      </c>
      <c r="B2970" s="2" t="str">
        <f>"许治翼"</f>
        <v>许治翼</v>
      </c>
      <c r="C2970" s="2" t="s">
        <v>2764</v>
      </c>
      <c r="D2970" s="2" t="s">
        <v>2768</v>
      </c>
      <c r="E2970" s="3"/>
    </row>
    <row r="2971" spans="1:5" ht="24.75" customHeight="1">
      <c r="A2971" s="2">
        <v>2969</v>
      </c>
      <c r="B2971" s="2" t="str">
        <f>"罗剑"</f>
        <v>罗剑</v>
      </c>
      <c r="C2971" s="2" t="s">
        <v>2764</v>
      </c>
      <c r="D2971" s="2" t="s">
        <v>2769</v>
      </c>
      <c r="E2971" s="3"/>
    </row>
    <row r="2972" spans="1:5" ht="24.75" customHeight="1">
      <c r="A2972" s="2">
        <v>2970</v>
      </c>
      <c r="B2972" s="2" t="str">
        <f>"林月丹"</f>
        <v>林月丹</v>
      </c>
      <c r="C2972" s="2" t="s">
        <v>2764</v>
      </c>
      <c r="D2972" s="2" t="s">
        <v>794</v>
      </c>
      <c r="E2972" s="3"/>
    </row>
    <row r="2973" spans="1:5" ht="24.75" customHeight="1">
      <c r="A2973" s="2">
        <v>2971</v>
      </c>
      <c r="B2973" s="2" t="str">
        <f>"陈婷"</f>
        <v>陈婷</v>
      </c>
      <c r="C2973" s="2" t="s">
        <v>2770</v>
      </c>
      <c r="D2973" s="2" t="s">
        <v>2771</v>
      </c>
      <c r="E2973" s="3"/>
    </row>
    <row r="2974" spans="1:5" ht="24.75" customHeight="1">
      <c r="A2974" s="2">
        <v>2972</v>
      </c>
      <c r="B2974" s="2" t="str">
        <f>"徐日林"</f>
        <v>徐日林</v>
      </c>
      <c r="C2974" s="2" t="s">
        <v>2770</v>
      </c>
      <c r="D2974" s="2" t="s">
        <v>2772</v>
      </c>
      <c r="E2974" s="3"/>
    </row>
    <row r="2975" spans="1:5" ht="24.75" customHeight="1">
      <c r="A2975" s="2">
        <v>2973</v>
      </c>
      <c r="B2975" s="2" t="str">
        <f>"赵燕玲"</f>
        <v>赵燕玲</v>
      </c>
      <c r="C2975" s="2" t="s">
        <v>2770</v>
      </c>
      <c r="D2975" s="2" t="s">
        <v>2773</v>
      </c>
      <c r="E2975" s="3"/>
    </row>
    <row r="2976" spans="1:5" ht="24.75" customHeight="1">
      <c r="A2976" s="2">
        <v>2974</v>
      </c>
      <c r="B2976" s="2" t="str">
        <f>"高振皇"</f>
        <v>高振皇</v>
      </c>
      <c r="C2976" s="2" t="s">
        <v>2770</v>
      </c>
      <c r="D2976" s="2" t="s">
        <v>500</v>
      </c>
      <c r="E2976" s="3"/>
    </row>
    <row r="2977" spans="1:5" ht="24.75" customHeight="1">
      <c r="A2977" s="2">
        <v>2975</v>
      </c>
      <c r="B2977" s="2" t="str">
        <f>"周陈芃"</f>
        <v>周陈芃</v>
      </c>
      <c r="C2977" s="2" t="s">
        <v>2770</v>
      </c>
      <c r="D2977" s="2" t="s">
        <v>2774</v>
      </c>
      <c r="E2977" s="3"/>
    </row>
    <row r="2978" spans="1:5" ht="24.75" customHeight="1">
      <c r="A2978" s="2">
        <v>2976</v>
      </c>
      <c r="B2978" s="2" t="str">
        <f>"张甜甜"</f>
        <v>张甜甜</v>
      </c>
      <c r="C2978" s="2" t="s">
        <v>2770</v>
      </c>
      <c r="D2978" s="2" t="s">
        <v>2775</v>
      </c>
      <c r="E2978" s="3"/>
    </row>
    <row r="2979" spans="1:5" ht="24.75" customHeight="1">
      <c r="A2979" s="2">
        <v>2977</v>
      </c>
      <c r="B2979" s="2" t="str">
        <f>"陈小娃"</f>
        <v>陈小娃</v>
      </c>
      <c r="C2979" s="2" t="s">
        <v>2770</v>
      </c>
      <c r="D2979" s="2" t="s">
        <v>2776</v>
      </c>
      <c r="E2979" s="3"/>
    </row>
    <row r="2980" spans="1:5" ht="24.75" customHeight="1">
      <c r="A2980" s="2">
        <v>2978</v>
      </c>
      <c r="B2980" s="2" t="str">
        <f>"曾意"</f>
        <v>曾意</v>
      </c>
      <c r="C2980" s="2" t="s">
        <v>2777</v>
      </c>
      <c r="D2980" s="2" t="s">
        <v>2778</v>
      </c>
      <c r="E2980" s="3"/>
    </row>
    <row r="2981" spans="1:5" ht="24.75" customHeight="1">
      <c r="A2981" s="2">
        <v>2979</v>
      </c>
      <c r="B2981" s="2" t="str">
        <f>"昌麟"</f>
        <v>昌麟</v>
      </c>
      <c r="C2981" s="2" t="s">
        <v>2777</v>
      </c>
      <c r="D2981" s="2" t="s">
        <v>2779</v>
      </c>
      <c r="E2981" s="3"/>
    </row>
    <row r="2982" spans="1:5" ht="24.75" customHeight="1">
      <c r="A2982" s="2">
        <v>2980</v>
      </c>
      <c r="B2982" s="2" t="str">
        <f>"李静"</f>
        <v>李静</v>
      </c>
      <c r="C2982" s="2" t="s">
        <v>2777</v>
      </c>
      <c r="D2982" s="2" t="s">
        <v>2780</v>
      </c>
      <c r="E2982" s="3"/>
    </row>
    <row r="2983" spans="1:5" ht="24.75" customHeight="1">
      <c r="A2983" s="2">
        <v>2981</v>
      </c>
      <c r="B2983" s="2" t="str">
        <f>"王建明"</f>
        <v>王建明</v>
      </c>
      <c r="C2983" s="2" t="s">
        <v>2777</v>
      </c>
      <c r="D2983" s="2" t="s">
        <v>2781</v>
      </c>
      <c r="E2983" s="3"/>
    </row>
    <row r="2984" spans="1:5" ht="24.75" customHeight="1">
      <c r="A2984" s="2">
        <v>2982</v>
      </c>
      <c r="B2984" s="2" t="str">
        <f>"王昭军"</f>
        <v>王昭军</v>
      </c>
      <c r="C2984" s="2" t="s">
        <v>2782</v>
      </c>
      <c r="D2984" s="2" t="s">
        <v>2783</v>
      </c>
      <c r="E2984" s="3"/>
    </row>
    <row r="2985" spans="1:5" ht="24.75" customHeight="1">
      <c r="A2985" s="2">
        <v>2983</v>
      </c>
      <c r="B2985" s="2" t="str">
        <f>"符芳遒"</f>
        <v>符芳遒</v>
      </c>
      <c r="C2985" s="2" t="s">
        <v>2782</v>
      </c>
      <c r="D2985" s="2" t="s">
        <v>2784</v>
      </c>
      <c r="E2985" s="3"/>
    </row>
    <row r="2986" spans="1:5" ht="24.75" customHeight="1">
      <c r="A2986" s="2">
        <v>2984</v>
      </c>
      <c r="B2986" s="2" t="str">
        <f>"倪锡师"</f>
        <v>倪锡师</v>
      </c>
      <c r="C2986" s="2" t="s">
        <v>2782</v>
      </c>
      <c r="D2986" s="2" t="s">
        <v>2785</v>
      </c>
      <c r="E2986" s="3"/>
    </row>
    <row r="2987" spans="1:5" ht="24.75" customHeight="1">
      <c r="A2987" s="2">
        <v>2985</v>
      </c>
      <c r="B2987" s="2" t="str">
        <f>"李圣彬"</f>
        <v>李圣彬</v>
      </c>
      <c r="C2987" s="2" t="s">
        <v>2782</v>
      </c>
      <c r="D2987" s="2" t="s">
        <v>1714</v>
      </c>
      <c r="E2987" s="3"/>
    </row>
    <row r="2988" spans="1:5" ht="24.75" customHeight="1">
      <c r="A2988" s="2">
        <v>2986</v>
      </c>
      <c r="B2988" s="2" t="str">
        <f>"马济慧"</f>
        <v>马济慧</v>
      </c>
      <c r="C2988" s="2" t="s">
        <v>2782</v>
      </c>
      <c r="D2988" s="2" t="s">
        <v>2786</v>
      </c>
      <c r="E2988" s="3"/>
    </row>
    <row r="2989" spans="1:5" ht="24.75" customHeight="1">
      <c r="A2989" s="2">
        <v>2987</v>
      </c>
      <c r="B2989" s="2" t="str">
        <f>"李绍坚"</f>
        <v>李绍坚</v>
      </c>
      <c r="C2989" s="2" t="s">
        <v>2782</v>
      </c>
      <c r="D2989" s="2" t="s">
        <v>2787</v>
      </c>
      <c r="E2989" s="3"/>
    </row>
    <row r="2990" spans="1:5" ht="24.75" customHeight="1">
      <c r="A2990" s="2">
        <v>2988</v>
      </c>
      <c r="B2990" s="2" t="str">
        <f>"曾德峰"</f>
        <v>曾德峰</v>
      </c>
      <c r="C2990" s="2" t="s">
        <v>2782</v>
      </c>
      <c r="D2990" s="2" t="s">
        <v>2788</v>
      </c>
      <c r="E2990" s="3"/>
    </row>
    <row r="2991" spans="1:5" ht="24.75" customHeight="1">
      <c r="A2991" s="2">
        <v>2989</v>
      </c>
      <c r="B2991" s="2" t="str">
        <f>"陈绵琛"</f>
        <v>陈绵琛</v>
      </c>
      <c r="C2991" s="2" t="s">
        <v>2782</v>
      </c>
      <c r="D2991" s="2" t="s">
        <v>113</v>
      </c>
      <c r="E2991" s="3"/>
    </row>
    <row r="2992" spans="1:5" ht="24.75" customHeight="1">
      <c r="A2992" s="2">
        <v>2990</v>
      </c>
      <c r="B2992" s="2" t="str">
        <f>"王伟"</f>
        <v>王伟</v>
      </c>
      <c r="C2992" s="2" t="s">
        <v>2782</v>
      </c>
      <c r="D2992" s="2" t="s">
        <v>2789</v>
      </c>
      <c r="E2992" s="3"/>
    </row>
    <row r="2993" spans="1:5" ht="24.75" customHeight="1">
      <c r="A2993" s="2">
        <v>2991</v>
      </c>
      <c r="B2993" s="2" t="str">
        <f>"王清"</f>
        <v>王清</v>
      </c>
      <c r="C2993" s="2" t="s">
        <v>2782</v>
      </c>
      <c r="D2993" s="2" t="s">
        <v>2790</v>
      </c>
      <c r="E2993" s="3"/>
    </row>
    <row r="2994" spans="1:5" ht="24.75" customHeight="1">
      <c r="A2994" s="2">
        <v>2992</v>
      </c>
      <c r="B2994" s="2" t="str">
        <f>"王廷元"</f>
        <v>王廷元</v>
      </c>
      <c r="C2994" s="2" t="s">
        <v>2782</v>
      </c>
      <c r="D2994" s="2" t="s">
        <v>2791</v>
      </c>
      <c r="E2994" s="3"/>
    </row>
    <row r="2995" spans="1:5" ht="24.75" customHeight="1">
      <c r="A2995" s="2">
        <v>2993</v>
      </c>
      <c r="B2995" s="2" t="str">
        <f>"韦云"</f>
        <v>韦云</v>
      </c>
      <c r="C2995" s="2" t="s">
        <v>2782</v>
      </c>
      <c r="D2995" s="2" t="s">
        <v>2792</v>
      </c>
      <c r="E2995" s="3"/>
    </row>
    <row r="2996" spans="1:5" ht="24.75" customHeight="1">
      <c r="A2996" s="2">
        <v>2994</v>
      </c>
      <c r="B2996" s="2" t="str">
        <f>"陈灵"</f>
        <v>陈灵</v>
      </c>
      <c r="C2996" s="2" t="s">
        <v>2782</v>
      </c>
      <c r="D2996" s="2" t="s">
        <v>2793</v>
      </c>
      <c r="E2996" s="3"/>
    </row>
    <row r="2997" spans="1:5" ht="24.75" customHeight="1">
      <c r="A2997" s="2">
        <v>2995</v>
      </c>
      <c r="B2997" s="2" t="str">
        <f>"黄小龙"</f>
        <v>黄小龙</v>
      </c>
      <c r="C2997" s="2" t="s">
        <v>2782</v>
      </c>
      <c r="D2997" s="2" t="s">
        <v>113</v>
      </c>
      <c r="E2997" s="3"/>
    </row>
    <row r="2998" spans="1:5" ht="24.75" customHeight="1">
      <c r="A2998" s="2">
        <v>2996</v>
      </c>
      <c r="B2998" s="2" t="str">
        <f>"梁振雷"</f>
        <v>梁振雷</v>
      </c>
      <c r="C2998" s="2" t="s">
        <v>2782</v>
      </c>
      <c r="D2998" s="2" t="s">
        <v>2794</v>
      </c>
      <c r="E2998" s="3"/>
    </row>
    <row r="2999" spans="1:5" ht="24.75" customHeight="1">
      <c r="A2999" s="2">
        <v>2997</v>
      </c>
      <c r="B2999" s="2" t="str">
        <f>"李宗豪"</f>
        <v>李宗豪</v>
      </c>
      <c r="C2999" s="2" t="s">
        <v>2782</v>
      </c>
      <c r="D2999" s="2" t="s">
        <v>2795</v>
      </c>
      <c r="E2999" s="3"/>
    </row>
    <row r="3000" spans="1:5" ht="24.75" customHeight="1">
      <c r="A3000" s="2">
        <v>2998</v>
      </c>
      <c r="B3000" s="2" t="str">
        <f>"陈家鹏"</f>
        <v>陈家鹏</v>
      </c>
      <c r="C3000" s="2" t="s">
        <v>2782</v>
      </c>
      <c r="D3000" s="2" t="s">
        <v>2796</v>
      </c>
      <c r="E3000" s="3"/>
    </row>
    <row r="3001" spans="1:5" ht="24.75" customHeight="1">
      <c r="A3001" s="2">
        <v>2999</v>
      </c>
      <c r="B3001" s="2" t="str">
        <f>"林鹏"</f>
        <v>林鹏</v>
      </c>
      <c r="C3001" s="2" t="s">
        <v>2782</v>
      </c>
      <c r="D3001" s="2" t="s">
        <v>2797</v>
      </c>
      <c r="E3001" s="3"/>
    </row>
    <row r="3002" spans="1:5" ht="24.75" customHeight="1">
      <c r="A3002" s="2">
        <v>3000</v>
      </c>
      <c r="B3002" s="2" t="str">
        <f>"李小杰"</f>
        <v>李小杰</v>
      </c>
      <c r="C3002" s="2" t="s">
        <v>2782</v>
      </c>
      <c r="D3002" s="2" t="s">
        <v>2798</v>
      </c>
      <c r="E3002" s="3"/>
    </row>
    <row r="3003" spans="1:5" ht="24.75" customHeight="1">
      <c r="A3003" s="2">
        <v>3001</v>
      </c>
      <c r="B3003" s="2" t="str">
        <f>"何怡潇"</f>
        <v>何怡潇</v>
      </c>
      <c r="C3003" s="2" t="s">
        <v>2782</v>
      </c>
      <c r="D3003" s="2" t="s">
        <v>2799</v>
      </c>
      <c r="E3003" s="3"/>
    </row>
    <row r="3004" spans="1:5" ht="24.75" customHeight="1">
      <c r="A3004" s="2">
        <v>3002</v>
      </c>
      <c r="B3004" s="2" t="str">
        <f>"潘望"</f>
        <v>潘望</v>
      </c>
      <c r="C3004" s="2" t="s">
        <v>2782</v>
      </c>
      <c r="D3004" s="2" t="s">
        <v>2800</v>
      </c>
      <c r="E3004" s="3"/>
    </row>
    <row r="3005" spans="1:5" ht="24.75" customHeight="1">
      <c r="A3005" s="2">
        <v>3003</v>
      </c>
      <c r="B3005" s="2" t="str">
        <f>"林义柳"</f>
        <v>林义柳</v>
      </c>
      <c r="C3005" s="2" t="s">
        <v>2782</v>
      </c>
      <c r="D3005" s="2" t="s">
        <v>2801</v>
      </c>
      <c r="E3005" s="3"/>
    </row>
    <row r="3006" spans="1:5" ht="24.75" customHeight="1">
      <c r="A3006" s="2">
        <v>3004</v>
      </c>
      <c r="B3006" s="2" t="str">
        <f>"吴家锐"</f>
        <v>吴家锐</v>
      </c>
      <c r="C3006" s="2" t="s">
        <v>2782</v>
      </c>
      <c r="D3006" s="2" t="s">
        <v>2802</v>
      </c>
      <c r="E3006" s="3"/>
    </row>
    <row r="3007" spans="1:5" ht="24.75" customHeight="1">
      <c r="A3007" s="2">
        <v>3005</v>
      </c>
      <c r="B3007" s="2" t="str">
        <f>"徐康"</f>
        <v>徐康</v>
      </c>
      <c r="C3007" s="2" t="s">
        <v>2782</v>
      </c>
      <c r="D3007" s="2" t="s">
        <v>2803</v>
      </c>
      <c r="E3007" s="3"/>
    </row>
    <row r="3008" spans="1:5" ht="24.75" customHeight="1">
      <c r="A3008" s="2">
        <v>3006</v>
      </c>
      <c r="B3008" s="2" t="str">
        <f>"吴淑宁"</f>
        <v>吴淑宁</v>
      </c>
      <c r="C3008" s="2" t="s">
        <v>2804</v>
      </c>
      <c r="D3008" s="2" t="s">
        <v>1192</v>
      </c>
      <c r="E3008" s="3"/>
    </row>
    <row r="3009" spans="1:5" ht="24.75" customHeight="1">
      <c r="A3009" s="2">
        <v>3007</v>
      </c>
      <c r="B3009" s="2" t="str">
        <f>"黄文"</f>
        <v>黄文</v>
      </c>
      <c r="C3009" s="2" t="s">
        <v>2804</v>
      </c>
      <c r="D3009" s="2" t="s">
        <v>680</v>
      </c>
      <c r="E3009" s="3"/>
    </row>
    <row r="3010" spans="1:5" ht="24.75" customHeight="1">
      <c r="A3010" s="2">
        <v>3008</v>
      </c>
      <c r="B3010" s="2" t="str">
        <f>"谢宗燃"</f>
        <v>谢宗燃</v>
      </c>
      <c r="C3010" s="2" t="s">
        <v>2804</v>
      </c>
      <c r="D3010" s="2" t="s">
        <v>2805</v>
      </c>
      <c r="E3010" s="3"/>
    </row>
    <row r="3011" spans="1:5" ht="24.75" customHeight="1">
      <c r="A3011" s="2">
        <v>3009</v>
      </c>
      <c r="B3011" s="2" t="str">
        <f>"黄在彬"</f>
        <v>黄在彬</v>
      </c>
      <c r="C3011" s="2" t="s">
        <v>2804</v>
      </c>
      <c r="D3011" s="2" t="s">
        <v>2806</v>
      </c>
      <c r="E3011" s="3"/>
    </row>
    <row r="3012" spans="1:5" ht="24.75" customHeight="1">
      <c r="A3012" s="2">
        <v>3010</v>
      </c>
      <c r="B3012" s="2" t="str">
        <f>"容聪敏"</f>
        <v>容聪敏</v>
      </c>
      <c r="C3012" s="2" t="s">
        <v>2804</v>
      </c>
      <c r="D3012" s="2" t="s">
        <v>2807</v>
      </c>
      <c r="E3012" s="3"/>
    </row>
    <row r="3013" spans="1:5" ht="24.75" customHeight="1">
      <c r="A3013" s="2">
        <v>3011</v>
      </c>
      <c r="B3013" s="2" t="str">
        <f>"赵世绵"</f>
        <v>赵世绵</v>
      </c>
      <c r="C3013" s="2" t="s">
        <v>2804</v>
      </c>
      <c r="D3013" s="2" t="s">
        <v>2808</v>
      </c>
      <c r="E3013" s="3"/>
    </row>
    <row r="3014" spans="1:5" ht="24.75" customHeight="1">
      <c r="A3014" s="2">
        <v>3012</v>
      </c>
      <c r="B3014" s="2" t="str">
        <f>"温华康"</f>
        <v>温华康</v>
      </c>
      <c r="C3014" s="2" t="s">
        <v>2804</v>
      </c>
      <c r="D3014" s="2" t="s">
        <v>2809</v>
      </c>
      <c r="E3014" s="3"/>
    </row>
    <row r="3015" spans="1:5" ht="24.75" customHeight="1">
      <c r="A3015" s="2">
        <v>3013</v>
      </c>
      <c r="B3015" s="2" t="str">
        <f>"吴贤生"</f>
        <v>吴贤生</v>
      </c>
      <c r="C3015" s="2" t="s">
        <v>2804</v>
      </c>
      <c r="D3015" s="2" t="s">
        <v>1979</v>
      </c>
      <c r="E3015" s="3"/>
    </row>
    <row r="3016" spans="1:5" ht="24.75" customHeight="1">
      <c r="A3016" s="2">
        <v>3014</v>
      </c>
      <c r="B3016" s="2" t="str">
        <f>"林世鹏"</f>
        <v>林世鹏</v>
      </c>
      <c r="C3016" s="2" t="s">
        <v>2804</v>
      </c>
      <c r="D3016" s="2" t="s">
        <v>1429</v>
      </c>
      <c r="E3016" s="3"/>
    </row>
    <row r="3017" spans="1:5" ht="24.75" customHeight="1">
      <c r="A3017" s="2">
        <v>3015</v>
      </c>
      <c r="B3017" s="2" t="str">
        <f>"王小锋"</f>
        <v>王小锋</v>
      </c>
      <c r="C3017" s="2" t="s">
        <v>2804</v>
      </c>
      <c r="D3017" s="2" t="s">
        <v>2810</v>
      </c>
      <c r="E3017" s="3"/>
    </row>
    <row r="3018" spans="1:5" ht="24.75" customHeight="1">
      <c r="A3018" s="2">
        <v>3016</v>
      </c>
      <c r="B3018" s="2" t="str">
        <f>"陈婉秋"</f>
        <v>陈婉秋</v>
      </c>
      <c r="C3018" s="2" t="s">
        <v>2804</v>
      </c>
      <c r="D3018" s="2" t="s">
        <v>2811</v>
      </c>
      <c r="E3018" s="3"/>
    </row>
    <row r="3019" spans="1:5" ht="24.75" customHeight="1">
      <c r="A3019" s="2">
        <v>3017</v>
      </c>
      <c r="B3019" s="2" t="str">
        <f>"邓昌泽"</f>
        <v>邓昌泽</v>
      </c>
      <c r="C3019" s="2" t="s">
        <v>2804</v>
      </c>
      <c r="D3019" s="2" t="s">
        <v>2812</v>
      </c>
      <c r="E3019" s="3"/>
    </row>
    <row r="3020" spans="1:5" ht="24.75" customHeight="1">
      <c r="A3020" s="2">
        <v>3018</v>
      </c>
      <c r="B3020" s="2" t="str">
        <f>"罗祖威"</f>
        <v>罗祖威</v>
      </c>
      <c r="C3020" s="2" t="s">
        <v>2804</v>
      </c>
      <c r="D3020" s="2" t="s">
        <v>2813</v>
      </c>
      <c r="E3020" s="3"/>
    </row>
    <row r="3021" spans="1:5" ht="24.75" customHeight="1">
      <c r="A3021" s="2">
        <v>3019</v>
      </c>
      <c r="B3021" s="2" t="str">
        <f>"张博云"</f>
        <v>张博云</v>
      </c>
      <c r="C3021" s="2" t="s">
        <v>2804</v>
      </c>
      <c r="D3021" s="2" t="s">
        <v>680</v>
      </c>
      <c r="E3021" s="3"/>
    </row>
    <row r="3022" spans="1:5" ht="24.75" customHeight="1">
      <c r="A3022" s="2">
        <v>3020</v>
      </c>
      <c r="B3022" s="2" t="str">
        <f>"王小银"</f>
        <v>王小银</v>
      </c>
      <c r="C3022" s="2" t="s">
        <v>2804</v>
      </c>
      <c r="D3022" s="2" t="s">
        <v>2814</v>
      </c>
      <c r="E3022" s="3"/>
    </row>
    <row r="3023" spans="1:5" ht="24.75" customHeight="1">
      <c r="A3023" s="2">
        <v>3021</v>
      </c>
      <c r="B3023" s="2" t="str">
        <f>"曾祥帅"</f>
        <v>曾祥帅</v>
      </c>
      <c r="C3023" s="2" t="s">
        <v>2804</v>
      </c>
      <c r="D3023" s="2" t="s">
        <v>2815</v>
      </c>
      <c r="E3023" s="3"/>
    </row>
    <row r="3024" spans="1:5" ht="24.75" customHeight="1">
      <c r="A3024" s="2">
        <v>3022</v>
      </c>
      <c r="B3024" s="2" t="str">
        <f>"卢肖怡"</f>
        <v>卢肖怡</v>
      </c>
      <c r="C3024" s="2" t="s">
        <v>2804</v>
      </c>
      <c r="D3024" s="2" t="s">
        <v>2378</v>
      </c>
      <c r="E3024" s="3"/>
    </row>
    <row r="3025" spans="1:5" ht="24.75" customHeight="1">
      <c r="A3025" s="2">
        <v>3023</v>
      </c>
      <c r="B3025" s="2" t="str">
        <f>"周盛冠"</f>
        <v>周盛冠</v>
      </c>
      <c r="C3025" s="2" t="s">
        <v>2804</v>
      </c>
      <c r="D3025" s="2" t="s">
        <v>2480</v>
      </c>
      <c r="E3025" s="3"/>
    </row>
    <row r="3026" spans="1:5" ht="24.75" customHeight="1">
      <c r="A3026" s="2">
        <v>3024</v>
      </c>
      <c r="B3026" s="2" t="str">
        <f>"李五羊"</f>
        <v>李五羊</v>
      </c>
      <c r="C3026" s="2" t="s">
        <v>2804</v>
      </c>
      <c r="D3026" s="2" t="s">
        <v>2816</v>
      </c>
      <c r="E3026" s="3"/>
    </row>
    <row r="3027" spans="1:5" ht="24.75" customHeight="1">
      <c r="A3027" s="2">
        <v>3025</v>
      </c>
      <c r="B3027" s="2" t="str">
        <f>"苟雨浓"</f>
        <v>苟雨浓</v>
      </c>
      <c r="C3027" s="2" t="s">
        <v>2804</v>
      </c>
      <c r="D3027" s="2" t="s">
        <v>2817</v>
      </c>
      <c r="E3027" s="3"/>
    </row>
    <row r="3028" spans="1:5" ht="24.75" customHeight="1">
      <c r="A3028" s="2">
        <v>3026</v>
      </c>
      <c r="B3028" s="2" t="str">
        <f>"郑悦"</f>
        <v>郑悦</v>
      </c>
      <c r="C3028" s="2" t="s">
        <v>2804</v>
      </c>
      <c r="D3028" s="2" t="s">
        <v>2818</v>
      </c>
      <c r="E3028" s="3"/>
    </row>
    <row r="3029" spans="1:5" ht="24.75" customHeight="1">
      <c r="A3029" s="2">
        <v>3027</v>
      </c>
      <c r="B3029" s="2" t="str">
        <f>"符其帅"</f>
        <v>符其帅</v>
      </c>
      <c r="C3029" s="2" t="s">
        <v>2804</v>
      </c>
      <c r="D3029" s="2" t="s">
        <v>2819</v>
      </c>
      <c r="E3029" s="3"/>
    </row>
    <row r="3030" spans="1:5" ht="24.75" customHeight="1">
      <c r="A3030" s="2">
        <v>3028</v>
      </c>
      <c r="B3030" s="2" t="str">
        <f>"万恺"</f>
        <v>万恺</v>
      </c>
      <c r="C3030" s="2" t="s">
        <v>2804</v>
      </c>
      <c r="D3030" s="2" t="s">
        <v>2820</v>
      </c>
      <c r="E3030" s="3"/>
    </row>
    <row r="3031" spans="1:5" ht="24.75" customHeight="1">
      <c r="A3031" s="2">
        <v>3029</v>
      </c>
      <c r="B3031" s="2" t="str">
        <f>"刘金荣"</f>
        <v>刘金荣</v>
      </c>
      <c r="C3031" s="2" t="s">
        <v>2804</v>
      </c>
      <c r="D3031" s="2" t="s">
        <v>2821</v>
      </c>
      <c r="E3031" s="3"/>
    </row>
    <row r="3032" spans="1:5" ht="24.75" customHeight="1">
      <c r="A3032" s="2">
        <v>3030</v>
      </c>
      <c r="B3032" s="2" t="str">
        <f>"张耿前"</f>
        <v>张耿前</v>
      </c>
      <c r="C3032" s="2" t="s">
        <v>2804</v>
      </c>
      <c r="D3032" s="2" t="s">
        <v>2822</v>
      </c>
      <c r="E3032" s="3"/>
    </row>
    <row r="3033" spans="1:5" ht="24.75" customHeight="1">
      <c r="A3033" s="2">
        <v>3031</v>
      </c>
      <c r="B3033" s="2" t="str">
        <f>"李扬佳"</f>
        <v>李扬佳</v>
      </c>
      <c r="C3033" s="2" t="s">
        <v>2804</v>
      </c>
      <c r="D3033" s="2" t="s">
        <v>2823</v>
      </c>
      <c r="E3033" s="3"/>
    </row>
    <row r="3034" spans="1:5" ht="24.75" customHeight="1">
      <c r="A3034" s="2">
        <v>3032</v>
      </c>
      <c r="B3034" s="2" t="str">
        <f>"廖会理"</f>
        <v>廖会理</v>
      </c>
      <c r="C3034" s="2" t="s">
        <v>2804</v>
      </c>
      <c r="D3034" s="2" t="s">
        <v>2824</v>
      </c>
      <c r="E3034" s="3"/>
    </row>
    <row r="3035" spans="1:5" ht="24.75" customHeight="1">
      <c r="A3035" s="2">
        <v>3033</v>
      </c>
      <c r="B3035" s="2" t="str">
        <f>"陈虹"</f>
        <v>陈虹</v>
      </c>
      <c r="C3035" s="2" t="s">
        <v>2804</v>
      </c>
      <c r="D3035" s="2" t="s">
        <v>440</v>
      </c>
      <c r="E3035" s="3"/>
    </row>
    <row r="3036" spans="1:5" ht="24.75" customHeight="1">
      <c r="A3036" s="2">
        <v>3034</v>
      </c>
      <c r="B3036" s="2" t="str">
        <f>"陈东颖"</f>
        <v>陈东颖</v>
      </c>
      <c r="C3036" s="2" t="s">
        <v>2804</v>
      </c>
      <c r="D3036" s="2" t="s">
        <v>2825</v>
      </c>
      <c r="E3036" s="3"/>
    </row>
    <row r="3037" spans="1:5" ht="24.75" customHeight="1">
      <c r="A3037" s="2">
        <v>3035</v>
      </c>
      <c r="B3037" s="2" t="str">
        <f>"邓开涛"</f>
        <v>邓开涛</v>
      </c>
      <c r="C3037" s="2" t="s">
        <v>2804</v>
      </c>
      <c r="D3037" s="2" t="s">
        <v>2826</v>
      </c>
      <c r="E3037" s="3"/>
    </row>
    <row r="3038" spans="1:5" ht="24.75" customHeight="1">
      <c r="A3038" s="2">
        <v>3036</v>
      </c>
      <c r="B3038" s="2" t="str">
        <f>"廖凯"</f>
        <v>廖凯</v>
      </c>
      <c r="C3038" s="2" t="s">
        <v>2804</v>
      </c>
      <c r="D3038" s="2" t="s">
        <v>2827</v>
      </c>
      <c r="E3038" s="3"/>
    </row>
    <row r="3039" spans="1:5" ht="24.75" customHeight="1">
      <c r="A3039" s="2">
        <v>3037</v>
      </c>
      <c r="B3039" s="2" t="str">
        <f>"符春娜"</f>
        <v>符春娜</v>
      </c>
      <c r="C3039" s="2" t="s">
        <v>2804</v>
      </c>
      <c r="D3039" s="2" t="s">
        <v>2828</v>
      </c>
      <c r="E3039" s="3"/>
    </row>
    <row r="3040" spans="1:5" ht="24.75" customHeight="1">
      <c r="A3040" s="2">
        <v>3038</v>
      </c>
      <c r="B3040" s="2" t="str">
        <f>"林中梓"</f>
        <v>林中梓</v>
      </c>
      <c r="C3040" s="2" t="s">
        <v>2804</v>
      </c>
      <c r="D3040" s="2" t="s">
        <v>2703</v>
      </c>
      <c r="E3040" s="3"/>
    </row>
    <row r="3041" spans="1:5" ht="24.75" customHeight="1">
      <c r="A3041" s="2">
        <v>3039</v>
      </c>
      <c r="B3041" s="2" t="str">
        <f>"付明宇"</f>
        <v>付明宇</v>
      </c>
      <c r="C3041" s="2" t="s">
        <v>2804</v>
      </c>
      <c r="D3041" s="2" t="s">
        <v>2829</v>
      </c>
      <c r="E3041" s="3"/>
    </row>
    <row r="3042" spans="1:5" ht="24.75" customHeight="1">
      <c r="A3042" s="2">
        <v>3040</v>
      </c>
      <c r="B3042" s="2" t="str">
        <f>"王辉"</f>
        <v>王辉</v>
      </c>
      <c r="C3042" s="2" t="s">
        <v>2804</v>
      </c>
      <c r="D3042" s="2" t="s">
        <v>2830</v>
      </c>
      <c r="E3042" s="3"/>
    </row>
    <row r="3043" spans="1:5" ht="24.75" customHeight="1">
      <c r="A3043" s="2">
        <v>3041</v>
      </c>
      <c r="B3043" s="2" t="str">
        <f>"陆飞"</f>
        <v>陆飞</v>
      </c>
      <c r="C3043" s="2" t="s">
        <v>2804</v>
      </c>
      <c r="D3043" s="2" t="s">
        <v>2831</v>
      </c>
      <c r="E3043" s="3"/>
    </row>
    <row r="3044" spans="1:5" ht="24.75" customHeight="1">
      <c r="A3044" s="2">
        <v>3042</v>
      </c>
      <c r="B3044" s="2" t="str">
        <f>"杨健"</f>
        <v>杨健</v>
      </c>
      <c r="C3044" s="2" t="s">
        <v>2804</v>
      </c>
      <c r="D3044" s="2" t="s">
        <v>2832</v>
      </c>
      <c r="E3044" s="3"/>
    </row>
    <row r="3045" spans="1:5" ht="24.75" customHeight="1">
      <c r="A3045" s="2">
        <v>3043</v>
      </c>
      <c r="B3045" s="2" t="str">
        <f>"王荣"</f>
        <v>王荣</v>
      </c>
      <c r="C3045" s="2" t="s">
        <v>2804</v>
      </c>
      <c r="D3045" s="2" t="s">
        <v>2833</v>
      </c>
      <c r="E3045" s="3"/>
    </row>
    <row r="3046" spans="1:5" ht="24.75" customHeight="1">
      <c r="A3046" s="2">
        <v>3044</v>
      </c>
      <c r="B3046" s="2" t="str">
        <f>"郑淇阳"</f>
        <v>郑淇阳</v>
      </c>
      <c r="C3046" s="2" t="s">
        <v>2804</v>
      </c>
      <c r="D3046" s="2" t="s">
        <v>1344</v>
      </c>
      <c r="E3046" s="3"/>
    </row>
    <row r="3047" spans="1:5" ht="24.75" customHeight="1">
      <c r="A3047" s="2">
        <v>3045</v>
      </c>
      <c r="B3047" s="2" t="str">
        <f>"曾仁"</f>
        <v>曾仁</v>
      </c>
      <c r="C3047" s="2" t="s">
        <v>2804</v>
      </c>
      <c r="D3047" s="2" t="s">
        <v>2834</v>
      </c>
      <c r="E3047" s="3"/>
    </row>
    <row r="3048" spans="1:5" ht="24.75" customHeight="1">
      <c r="A3048" s="2">
        <v>3046</v>
      </c>
      <c r="B3048" s="2" t="str">
        <f>"唐良"</f>
        <v>唐良</v>
      </c>
      <c r="C3048" s="2" t="s">
        <v>2804</v>
      </c>
      <c r="D3048" s="2" t="s">
        <v>2835</v>
      </c>
      <c r="E3048" s="3"/>
    </row>
    <row r="3049" spans="1:5" ht="24.75" customHeight="1">
      <c r="A3049" s="2">
        <v>3047</v>
      </c>
      <c r="B3049" s="2" t="str">
        <f>"蔡笃琼"</f>
        <v>蔡笃琼</v>
      </c>
      <c r="C3049" s="2" t="s">
        <v>2804</v>
      </c>
      <c r="D3049" s="2" t="s">
        <v>2836</v>
      </c>
      <c r="E3049" s="3"/>
    </row>
    <row r="3050" spans="1:5" ht="24.75" customHeight="1">
      <c r="A3050" s="2">
        <v>3048</v>
      </c>
      <c r="B3050" s="2" t="str">
        <f>"羊宜发"</f>
        <v>羊宜发</v>
      </c>
      <c r="C3050" s="2" t="s">
        <v>2804</v>
      </c>
      <c r="D3050" s="2" t="s">
        <v>2837</v>
      </c>
      <c r="E3050" s="3"/>
    </row>
    <row r="3051" spans="1:5" ht="24.75" customHeight="1">
      <c r="A3051" s="2">
        <v>3049</v>
      </c>
      <c r="B3051" s="2" t="str">
        <f>"黎腾骏"</f>
        <v>黎腾骏</v>
      </c>
      <c r="C3051" s="2" t="s">
        <v>2804</v>
      </c>
      <c r="D3051" s="2" t="s">
        <v>2838</v>
      </c>
      <c r="E3051" s="3"/>
    </row>
    <row r="3052" spans="1:5" ht="24.75" customHeight="1">
      <c r="A3052" s="2">
        <v>3050</v>
      </c>
      <c r="B3052" s="2" t="str">
        <f>"蔡期章"</f>
        <v>蔡期章</v>
      </c>
      <c r="C3052" s="2" t="s">
        <v>2804</v>
      </c>
      <c r="D3052" s="2" t="s">
        <v>2593</v>
      </c>
      <c r="E3052" s="3"/>
    </row>
    <row r="3053" spans="1:5" ht="24.75" customHeight="1">
      <c r="A3053" s="2">
        <v>3051</v>
      </c>
      <c r="B3053" s="2" t="str">
        <f>"廖会腾"</f>
        <v>廖会腾</v>
      </c>
      <c r="C3053" s="2" t="s">
        <v>2804</v>
      </c>
      <c r="D3053" s="2" t="s">
        <v>2839</v>
      </c>
      <c r="E3053" s="3"/>
    </row>
    <row r="3054" spans="1:5" ht="24.75" customHeight="1">
      <c r="A3054" s="2">
        <v>3052</v>
      </c>
      <c r="B3054" s="2" t="str">
        <f>"王其科"</f>
        <v>王其科</v>
      </c>
      <c r="C3054" s="2" t="s">
        <v>2804</v>
      </c>
      <c r="D3054" s="2" t="s">
        <v>2840</v>
      </c>
      <c r="E3054" s="3"/>
    </row>
    <row r="3055" spans="1:5" ht="24.75" customHeight="1">
      <c r="A3055" s="2">
        <v>3053</v>
      </c>
      <c r="B3055" s="2" t="str">
        <f>"符月钊"</f>
        <v>符月钊</v>
      </c>
      <c r="C3055" s="2" t="s">
        <v>2804</v>
      </c>
      <c r="D3055" s="2" t="s">
        <v>869</v>
      </c>
      <c r="E3055" s="3"/>
    </row>
    <row r="3056" spans="1:5" ht="24.75" customHeight="1">
      <c r="A3056" s="2">
        <v>3054</v>
      </c>
      <c r="B3056" s="2" t="str">
        <f>"符芳岛"</f>
        <v>符芳岛</v>
      </c>
      <c r="C3056" s="2" t="s">
        <v>2804</v>
      </c>
      <c r="D3056" s="2" t="s">
        <v>2841</v>
      </c>
      <c r="E3056" s="3"/>
    </row>
    <row r="3057" spans="1:5" ht="24.75" customHeight="1">
      <c r="A3057" s="2">
        <v>3055</v>
      </c>
      <c r="B3057" s="2" t="str">
        <f>"洪民侦"</f>
        <v>洪民侦</v>
      </c>
      <c r="C3057" s="2" t="s">
        <v>2804</v>
      </c>
      <c r="D3057" s="2" t="s">
        <v>2842</v>
      </c>
      <c r="E3057" s="3"/>
    </row>
    <row r="3058" spans="1:5" ht="24.75" customHeight="1">
      <c r="A3058" s="2">
        <v>3056</v>
      </c>
      <c r="B3058" s="2" t="str">
        <f>"潘家宇"</f>
        <v>潘家宇</v>
      </c>
      <c r="C3058" s="2" t="s">
        <v>2804</v>
      </c>
      <c r="D3058" s="2" t="s">
        <v>2843</v>
      </c>
      <c r="E3058" s="3"/>
    </row>
    <row r="3059" spans="1:5" ht="24.75" customHeight="1">
      <c r="A3059" s="2">
        <v>3057</v>
      </c>
      <c r="B3059" s="2" t="str">
        <f>"王丰展"</f>
        <v>王丰展</v>
      </c>
      <c r="C3059" s="2" t="s">
        <v>2804</v>
      </c>
      <c r="D3059" s="2" t="s">
        <v>2844</v>
      </c>
      <c r="E3059" s="3"/>
    </row>
    <row r="3060" spans="1:5" ht="24.75" customHeight="1">
      <c r="A3060" s="2">
        <v>3058</v>
      </c>
      <c r="B3060" s="2" t="str">
        <f>"王琼汉"</f>
        <v>王琼汉</v>
      </c>
      <c r="C3060" s="2" t="s">
        <v>2804</v>
      </c>
      <c r="D3060" s="2" t="s">
        <v>2845</v>
      </c>
      <c r="E3060" s="3"/>
    </row>
    <row r="3061" spans="1:5" ht="24.75" customHeight="1">
      <c r="A3061" s="2">
        <v>3059</v>
      </c>
      <c r="B3061" s="2" t="str">
        <f>"曾勤"</f>
        <v>曾勤</v>
      </c>
      <c r="C3061" s="2" t="s">
        <v>2804</v>
      </c>
      <c r="D3061" s="2" t="s">
        <v>2846</v>
      </c>
      <c r="E3061" s="3"/>
    </row>
    <row r="3062" spans="1:5" ht="24.75" customHeight="1">
      <c r="A3062" s="2">
        <v>3060</v>
      </c>
      <c r="B3062" s="2" t="str">
        <f>"李东邦"</f>
        <v>李东邦</v>
      </c>
      <c r="C3062" s="2" t="s">
        <v>2804</v>
      </c>
      <c r="D3062" s="2" t="s">
        <v>2847</v>
      </c>
      <c r="E3062" s="3"/>
    </row>
    <row r="3063" spans="1:5" ht="24.75" customHeight="1">
      <c r="A3063" s="2">
        <v>3061</v>
      </c>
      <c r="B3063" s="2" t="str">
        <f>"殷彬"</f>
        <v>殷彬</v>
      </c>
      <c r="C3063" s="2" t="s">
        <v>2804</v>
      </c>
      <c r="D3063" s="2" t="s">
        <v>2848</v>
      </c>
      <c r="E3063" s="3"/>
    </row>
    <row r="3064" spans="1:5" ht="24.75" customHeight="1">
      <c r="A3064" s="2">
        <v>3062</v>
      </c>
      <c r="B3064" s="2" t="str">
        <f>"方中清"</f>
        <v>方中清</v>
      </c>
      <c r="C3064" s="2" t="s">
        <v>2804</v>
      </c>
      <c r="D3064" s="2" t="s">
        <v>1192</v>
      </c>
      <c r="E3064" s="3"/>
    </row>
    <row r="3065" spans="1:5" ht="24.75" customHeight="1">
      <c r="A3065" s="2">
        <v>3063</v>
      </c>
      <c r="B3065" s="2" t="str">
        <f>"张运劲"</f>
        <v>张运劲</v>
      </c>
      <c r="C3065" s="2" t="s">
        <v>2804</v>
      </c>
      <c r="D3065" s="2" t="s">
        <v>2849</v>
      </c>
      <c r="E3065" s="3"/>
    </row>
    <row r="3066" spans="1:5" ht="24.75" customHeight="1">
      <c r="A3066" s="2">
        <v>3064</v>
      </c>
      <c r="B3066" s="2" t="str">
        <f>"陈永豪"</f>
        <v>陈永豪</v>
      </c>
      <c r="C3066" s="2" t="s">
        <v>2804</v>
      </c>
      <c r="D3066" s="2" t="s">
        <v>2850</v>
      </c>
      <c r="E3066" s="3"/>
    </row>
    <row r="3067" spans="1:5" ht="24.75" customHeight="1">
      <c r="A3067" s="2">
        <v>3065</v>
      </c>
      <c r="B3067" s="2" t="str">
        <f>"倪晨曦"</f>
        <v>倪晨曦</v>
      </c>
      <c r="C3067" s="2" t="s">
        <v>2804</v>
      </c>
      <c r="D3067" s="2" t="s">
        <v>2851</v>
      </c>
      <c r="E3067" s="3"/>
    </row>
    <row r="3068" spans="1:5" ht="24.75" customHeight="1">
      <c r="A3068" s="2">
        <v>3066</v>
      </c>
      <c r="B3068" s="2" t="str">
        <f>"赵越"</f>
        <v>赵越</v>
      </c>
      <c r="C3068" s="2" t="s">
        <v>2804</v>
      </c>
      <c r="D3068" s="2" t="s">
        <v>2852</v>
      </c>
      <c r="E3068" s="3"/>
    </row>
    <row r="3069" spans="1:5" ht="24.75" customHeight="1">
      <c r="A3069" s="2">
        <v>3067</v>
      </c>
      <c r="B3069" s="2" t="str">
        <f>"唐若舜"</f>
        <v>唐若舜</v>
      </c>
      <c r="C3069" s="2" t="s">
        <v>2804</v>
      </c>
      <c r="D3069" s="2" t="s">
        <v>2853</v>
      </c>
      <c r="E3069" s="3"/>
    </row>
    <row r="3070" spans="1:5" ht="24.75" customHeight="1">
      <c r="A3070" s="2">
        <v>3068</v>
      </c>
      <c r="B3070" s="2" t="str">
        <f>"王雄斌"</f>
        <v>王雄斌</v>
      </c>
      <c r="C3070" s="2" t="s">
        <v>2804</v>
      </c>
      <c r="D3070" s="2" t="s">
        <v>2854</v>
      </c>
      <c r="E3070" s="3"/>
    </row>
    <row r="3071" spans="1:5" ht="24.75" customHeight="1">
      <c r="A3071" s="2">
        <v>3069</v>
      </c>
      <c r="B3071" s="2" t="str">
        <f>"符王伦"</f>
        <v>符王伦</v>
      </c>
      <c r="C3071" s="2" t="s">
        <v>2804</v>
      </c>
      <c r="D3071" s="2" t="s">
        <v>2854</v>
      </c>
      <c r="E3071" s="3"/>
    </row>
    <row r="3072" spans="1:5" ht="24.75" customHeight="1">
      <c r="A3072" s="2">
        <v>3070</v>
      </c>
      <c r="B3072" s="2" t="str">
        <f>"罗杰"</f>
        <v>罗杰</v>
      </c>
      <c r="C3072" s="2" t="s">
        <v>2804</v>
      </c>
      <c r="D3072" s="2" t="s">
        <v>2855</v>
      </c>
      <c r="E3072" s="3"/>
    </row>
    <row r="3073" spans="1:5" ht="24.75" customHeight="1">
      <c r="A3073" s="2">
        <v>3071</v>
      </c>
      <c r="B3073" s="2" t="str">
        <f>"李文烂"</f>
        <v>李文烂</v>
      </c>
      <c r="C3073" s="2" t="s">
        <v>2804</v>
      </c>
      <c r="D3073" s="2" t="s">
        <v>2856</v>
      </c>
      <c r="E3073" s="3"/>
    </row>
    <row r="3074" spans="1:5" ht="24.75" customHeight="1">
      <c r="A3074" s="2">
        <v>3072</v>
      </c>
      <c r="B3074" s="2" t="str">
        <f>"黄钦"</f>
        <v>黄钦</v>
      </c>
      <c r="C3074" s="2" t="s">
        <v>2804</v>
      </c>
      <c r="D3074" s="2" t="s">
        <v>2857</v>
      </c>
      <c r="E3074" s="3"/>
    </row>
    <row r="3075" spans="1:5" ht="24.75" customHeight="1">
      <c r="A3075" s="2">
        <v>3073</v>
      </c>
      <c r="B3075" s="2" t="str">
        <f>"林师锐"</f>
        <v>林师锐</v>
      </c>
      <c r="C3075" s="2" t="s">
        <v>2858</v>
      </c>
      <c r="D3075" s="2" t="s">
        <v>2104</v>
      </c>
      <c r="E3075" s="3"/>
    </row>
    <row r="3076" spans="1:5" ht="24.75" customHeight="1">
      <c r="A3076" s="2">
        <v>3074</v>
      </c>
      <c r="B3076" s="2" t="str">
        <f>"陈积亮"</f>
        <v>陈积亮</v>
      </c>
      <c r="C3076" s="2" t="s">
        <v>2858</v>
      </c>
      <c r="D3076" s="2" t="s">
        <v>1925</v>
      </c>
      <c r="E3076" s="3"/>
    </row>
    <row r="3077" spans="1:5" ht="24.75" customHeight="1">
      <c r="A3077" s="2">
        <v>3075</v>
      </c>
      <c r="B3077" s="2" t="str">
        <f>"李占雄"</f>
        <v>李占雄</v>
      </c>
      <c r="C3077" s="2" t="s">
        <v>2858</v>
      </c>
      <c r="D3077" s="2" t="s">
        <v>1424</v>
      </c>
      <c r="E3077" s="3"/>
    </row>
    <row r="3078" spans="1:5" ht="24.75" customHeight="1">
      <c r="A3078" s="2">
        <v>3076</v>
      </c>
      <c r="B3078" s="2" t="str">
        <f>"洪玉盛"</f>
        <v>洪玉盛</v>
      </c>
      <c r="C3078" s="2" t="s">
        <v>2858</v>
      </c>
      <c r="D3078" s="2" t="s">
        <v>2859</v>
      </c>
      <c r="E3078" s="3"/>
    </row>
    <row r="3079" spans="1:5" ht="24.75" customHeight="1">
      <c r="A3079" s="2">
        <v>3077</v>
      </c>
      <c r="B3079" s="2" t="str">
        <f>"董开安"</f>
        <v>董开安</v>
      </c>
      <c r="C3079" s="2" t="s">
        <v>2858</v>
      </c>
      <c r="D3079" s="2" t="s">
        <v>1699</v>
      </c>
      <c r="E3079" s="3"/>
    </row>
    <row r="3080" spans="1:5" ht="24.75" customHeight="1">
      <c r="A3080" s="2">
        <v>3078</v>
      </c>
      <c r="B3080" s="2" t="str">
        <f>"陈垂文"</f>
        <v>陈垂文</v>
      </c>
      <c r="C3080" s="2" t="s">
        <v>2858</v>
      </c>
      <c r="D3080" s="2" t="s">
        <v>2860</v>
      </c>
      <c r="E3080" s="3"/>
    </row>
    <row r="3081" spans="1:5" ht="24.75" customHeight="1">
      <c r="A3081" s="2">
        <v>3079</v>
      </c>
      <c r="B3081" s="2" t="str">
        <f>"杜世忠"</f>
        <v>杜世忠</v>
      </c>
      <c r="C3081" s="2" t="s">
        <v>2858</v>
      </c>
      <c r="D3081" s="2" t="s">
        <v>2861</v>
      </c>
      <c r="E3081" s="3"/>
    </row>
    <row r="3082" spans="1:5" ht="24.75" customHeight="1">
      <c r="A3082" s="2">
        <v>3080</v>
      </c>
      <c r="B3082" s="2" t="str">
        <f>"李定高"</f>
        <v>李定高</v>
      </c>
      <c r="C3082" s="2" t="s">
        <v>2858</v>
      </c>
      <c r="D3082" s="2" t="s">
        <v>2862</v>
      </c>
      <c r="E3082" s="3"/>
    </row>
    <row r="3083" spans="1:5" ht="24.75" customHeight="1">
      <c r="A3083" s="2">
        <v>3081</v>
      </c>
      <c r="B3083" s="2" t="str">
        <f>"许河"</f>
        <v>许河</v>
      </c>
      <c r="C3083" s="2" t="s">
        <v>2858</v>
      </c>
      <c r="D3083" s="2" t="s">
        <v>1335</v>
      </c>
      <c r="E3083" s="3"/>
    </row>
    <row r="3084" spans="1:5" ht="24.75" customHeight="1">
      <c r="A3084" s="2">
        <v>3082</v>
      </c>
      <c r="B3084" s="2" t="str">
        <f>"王启进"</f>
        <v>王启进</v>
      </c>
      <c r="C3084" s="2" t="s">
        <v>2858</v>
      </c>
      <c r="D3084" s="2" t="s">
        <v>2863</v>
      </c>
      <c r="E3084" s="3"/>
    </row>
    <row r="3085" spans="1:5" ht="24.75" customHeight="1">
      <c r="A3085" s="2">
        <v>3083</v>
      </c>
      <c r="B3085" s="2" t="str">
        <f>"唐垂孟"</f>
        <v>唐垂孟</v>
      </c>
      <c r="C3085" s="2" t="s">
        <v>2858</v>
      </c>
      <c r="D3085" s="2" t="s">
        <v>2864</v>
      </c>
      <c r="E3085" s="3"/>
    </row>
    <row r="3086" spans="1:5" ht="24.75" customHeight="1">
      <c r="A3086" s="2">
        <v>3084</v>
      </c>
      <c r="B3086" s="2" t="str">
        <f>"潘家利"</f>
        <v>潘家利</v>
      </c>
      <c r="C3086" s="2" t="s">
        <v>2858</v>
      </c>
      <c r="D3086" s="2" t="s">
        <v>2865</v>
      </c>
      <c r="E3086" s="3"/>
    </row>
    <row r="3087" spans="1:5" ht="24.75" customHeight="1">
      <c r="A3087" s="2">
        <v>3085</v>
      </c>
      <c r="B3087" s="2" t="str">
        <f>"朱宸羲"</f>
        <v>朱宸羲</v>
      </c>
      <c r="C3087" s="2" t="s">
        <v>2858</v>
      </c>
      <c r="D3087" s="2" t="s">
        <v>2866</v>
      </c>
      <c r="E3087" s="3"/>
    </row>
    <row r="3088" spans="1:5" ht="24.75" customHeight="1">
      <c r="A3088" s="2">
        <v>3086</v>
      </c>
      <c r="B3088" s="2" t="str">
        <f>"符式成"</f>
        <v>符式成</v>
      </c>
      <c r="C3088" s="2" t="s">
        <v>2858</v>
      </c>
      <c r="D3088" s="2" t="s">
        <v>2266</v>
      </c>
      <c r="E3088" s="3"/>
    </row>
    <row r="3089" spans="1:5" ht="24.75" customHeight="1">
      <c r="A3089" s="2">
        <v>3087</v>
      </c>
      <c r="B3089" s="2" t="str">
        <f>"薛文亮"</f>
        <v>薛文亮</v>
      </c>
      <c r="C3089" s="2" t="s">
        <v>2858</v>
      </c>
      <c r="D3089" s="2" t="s">
        <v>2675</v>
      </c>
      <c r="E3089" s="3"/>
    </row>
    <row r="3090" spans="1:5" ht="24.75" customHeight="1">
      <c r="A3090" s="2">
        <v>3088</v>
      </c>
      <c r="B3090" s="2" t="str">
        <f>"曾小松"</f>
        <v>曾小松</v>
      </c>
      <c r="C3090" s="2" t="s">
        <v>2858</v>
      </c>
      <c r="D3090" s="2" t="s">
        <v>2867</v>
      </c>
      <c r="E3090" s="3"/>
    </row>
    <row r="3091" spans="1:5" ht="24.75" customHeight="1">
      <c r="A3091" s="2">
        <v>3089</v>
      </c>
      <c r="B3091" s="2" t="str">
        <f>"蔡锦前"</f>
        <v>蔡锦前</v>
      </c>
      <c r="C3091" s="2" t="s">
        <v>2858</v>
      </c>
      <c r="D3091" s="2" t="s">
        <v>2868</v>
      </c>
      <c r="E3091" s="3"/>
    </row>
    <row r="3092" spans="1:5" ht="24.75" customHeight="1">
      <c r="A3092" s="2">
        <v>3090</v>
      </c>
      <c r="B3092" s="2" t="str">
        <f>"吴体金"</f>
        <v>吴体金</v>
      </c>
      <c r="C3092" s="2" t="s">
        <v>2858</v>
      </c>
      <c r="D3092" s="2" t="s">
        <v>2869</v>
      </c>
      <c r="E3092" s="3"/>
    </row>
    <row r="3093" spans="1:5" ht="24.75" customHeight="1">
      <c r="A3093" s="2">
        <v>3091</v>
      </c>
      <c r="B3093" s="2" t="str">
        <f>"张忠宝"</f>
        <v>张忠宝</v>
      </c>
      <c r="C3093" s="2" t="s">
        <v>2858</v>
      </c>
      <c r="D3093" s="2" t="s">
        <v>2870</v>
      </c>
      <c r="E3093" s="3"/>
    </row>
    <row r="3094" spans="1:5" ht="24.75" customHeight="1">
      <c r="A3094" s="2">
        <v>3092</v>
      </c>
      <c r="B3094" s="2" t="str">
        <f>"邓孟坤"</f>
        <v>邓孟坤</v>
      </c>
      <c r="C3094" s="2" t="s">
        <v>2858</v>
      </c>
      <c r="D3094" s="2" t="s">
        <v>2871</v>
      </c>
      <c r="E3094" s="3"/>
    </row>
    <row r="3095" spans="1:5" ht="24.75" customHeight="1">
      <c r="A3095" s="2">
        <v>3093</v>
      </c>
      <c r="B3095" s="2" t="str">
        <f>"王开坤"</f>
        <v>王开坤</v>
      </c>
      <c r="C3095" s="2" t="s">
        <v>2858</v>
      </c>
      <c r="D3095" s="2" t="s">
        <v>362</v>
      </c>
      <c r="E3095" s="3"/>
    </row>
    <row r="3096" spans="1:5" ht="24.75" customHeight="1">
      <c r="A3096" s="2">
        <v>3094</v>
      </c>
      <c r="B3096" s="2" t="str">
        <f>"李实壮"</f>
        <v>李实壮</v>
      </c>
      <c r="C3096" s="2" t="s">
        <v>2858</v>
      </c>
      <c r="D3096" s="2" t="s">
        <v>2872</v>
      </c>
      <c r="E3096" s="3"/>
    </row>
    <row r="3097" spans="1:5" ht="24.75" customHeight="1">
      <c r="A3097" s="2">
        <v>3095</v>
      </c>
      <c r="B3097" s="2" t="str">
        <f>"郑同政"</f>
        <v>郑同政</v>
      </c>
      <c r="C3097" s="2" t="s">
        <v>2858</v>
      </c>
      <c r="D3097" s="2" t="s">
        <v>2873</v>
      </c>
      <c r="E3097" s="3"/>
    </row>
    <row r="3098" spans="1:5" ht="24.75" customHeight="1">
      <c r="A3098" s="2">
        <v>3096</v>
      </c>
      <c r="B3098" s="2" t="str">
        <f>"陈上丰"</f>
        <v>陈上丰</v>
      </c>
      <c r="C3098" s="2" t="s">
        <v>2858</v>
      </c>
      <c r="D3098" s="2" t="s">
        <v>2874</v>
      </c>
      <c r="E3098" s="3"/>
    </row>
    <row r="3099" spans="1:5" ht="24.75" customHeight="1">
      <c r="A3099" s="2">
        <v>3097</v>
      </c>
      <c r="B3099" s="2" t="str">
        <f>"施智元"</f>
        <v>施智元</v>
      </c>
      <c r="C3099" s="2" t="s">
        <v>2858</v>
      </c>
      <c r="D3099" s="2" t="s">
        <v>2875</v>
      </c>
      <c r="E3099" s="3"/>
    </row>
    <row r="3100" spans="1:5" ht="24.75" customHeight="1">
      <c r="A3100" s="2">
        <v>3098</v>
      </c>
      <c r="B3100" s="2" t="str">
        <f>"林冠宏"</f>
        <v>林冠宏</v>
      </c>
      <c r="C3100" s="2" t="s">
        <v>2858</v>
      </c>
      <c r="D3100" s="2" t="s">
        <v>2876</v>
      </c>
      <c r="E3100" s="3"/>
    </row>
    <row r="3101" spans="1:5" ht="24.75" customHeight="1">
      <c r="A3101" s="2">
        <v>3099</v>
      </c>
      <c r="B3101" s="2" t="str">
        <f>"孙栋"</f>
        <v>孙栋</v>
      </c>
      <c r="C3101" s="2" t="s">
        <v>2858</v>
      </c>
      <c r="D3101" s="2" t="s">
        <v>1226</v>
      </c>
      <c r="E3101" s="3"/>
    </row>
    <row r="3102" spans="1:5" ht="24.75" customHeight="1">
      <c r="A3102" s="2">
        <v>3100</v>
      </c>
      <c r="B3102" s="2" t="str">
        <f>"李基周"</f>
        <v>李基周</v>
      </c>
      <c r="C3102" s="2" t="s">
        <v>2858</v>
      </c>
      <c r="D3102" s="2" t="s">
        <v>2877</v>
      </c>
      <c r="E3102" s="3"/>
    </row>
    <row r="3103" spans="1:5" ht="24.75" customHeight="1">
      <c r="A3103" s="2">
        <v>3101</v>
      </c>
      <c r="B3103" s="2" t="str">
        <f>"陶宇晨"</f>
        <v>陶宇晨</v>
      </c>
      <c r="C3103" s="2" t="s">
        <v>2858</v>
      </c>
      <c r="D3103" s="2" t="s">
        <v>2878</v>
      </c>
      <c r="E3103" s="3"/>
    </row>
    <row r="3104" spans="1:5" ht="24.75" customHeight="1">
      <c r="A3104" s="2">
        <v>3102</v>
      </c>
      <c r="B3104" s="2" t="str">
        <f>"肖志"</f>
        <v>肖志</v>
      </c>
      <c r="C3104" s="2" t="s">
        <v>2858</v>
      </c>
      <c r="D3104" s="2" t="s">
        <v>2879</v>
      </c>
      <c r="E3104" s="3"/>
    </row>
    <row r="3105" spans="1:5" ht="24.75" customHeight="1">
      <c r="A3105" s="2">
        <v>3103</v>
      </c>
      <c r="B3105" s="2" t="str">
        <f>"孙发跃"</f>
        <v>孙发跃</v>
      </c>
      <c r="C3105" s="2" t="s">
        <v>2858</v>
      </c>
      <c r="D3105" s="2" t="s">
        <v>2880</v>
      </c>
      <c r="E3105" s="3"/>
    </row>
    <row r="3106" spans="1:5" ht="24.75" customHeight="1">
      <c r="A3106" s="2">
        <v>3104</v>
      </c>
      <c r="B3106" s="2" t="str">
        <f>"符仕求"</f>
        <v>符仕求</v>
      </c>
      <c r="C3106" s="2" t="s">
        <v>2858</v>
      </c>
      <c r="D3106" s="2" t="s">
        <v>2881</v>
      </c>
      <c r="E3106" s="3"/>
    </row>
    <row r="3107" spans="1:5" ht="24.75" customHeight="1">
      <c r="A3107" s="2">
        <v>3105</v>
      </c>
      <c r="B3107" s="2" t="str">
        <f>"符芳竞"</f>
        <v>符芳竞</v>
      </c>
      <c r="C3107" s="2" t="s">
        <v>2858</v>
      </c>
      <c r="D3107" s="2" t="s">
        <v>2882</v>
      </c>
      <c r="E3107" s="3"/>
    </row>
    <row r="3108" spans="1:5" ht="24.75" customHeight="1">
      <c r="A3108" s="2">
        <v>3106</v>
      </c>
      <c r="B3108" s="2" t="str">
        <f>"陈光旺"</f>
        <v>陈光旺</v>
      </c>
      <c r="C3108" s="2" t="s">
        <v>2858</v>
      </c>
      <c r="D3108" s="2" t="s">
        <v>2883</v>
      </c>
      <c r="E3108" s="3"/>
    </row>
    <row r="3109" spans="1:5" ht="24.75" customHeight="1">
      <c r="A3109" s="2">
        <v>3107</v>
      </c>
      <c r="B3109" s="2" t="str">
        <f>"王胜"</f>
        <v>王胜</v>
      </c>
      <c r="C3109" s="2" t="s">
        <v>2858</v>
      </c>
      <c r="D3109" s="2" t="s">
        <v>2884</v>
      </c>
      <c r="E3109" s="3"/>
    </row>
    <row r="3110" spans="1:5" ht="24.75" customHeight="1">
      <c r="A3110" s="2">
        <v>3108</v>
      </c>
      <c r="B3110" s="2" t="str">
        <f>"沈浩庭"</f>
        <v>沈浩庭</v>
      </c>
      <c r="C3110" s="2" t="s">
        <v>2858</v>
      </c>
      <c r="D3110" s="2" t="s">
        <v>2885</v>
      </c>
      <c r="E3110" s="3"/>
    </row>
    <row r="3111" spans="1:5" ht="24.75" customHeight="1">
      <c r="A3111" s="2">
        <v>3109</v>
      </c>
      <c r="B3111" s="2" t="str">
        <f>"唐锦林"</f>
        <v>唐锦林</v>
      </c>
      <c r="C3111" s="2" t="s">
        <v>2858</v>
      </c>
      <c r="D3111" s="2" t="s">
        <v>2886</v>
      </c>
      <c r="E3111" s="3"/>
    </row>
    <row r="3112" spans="1:5" ht="24.75" customHeight="1">
      <c r="A3112" s="2">
        <v>3110</v>
      </c>
      <c r="B3112" s="2" t="str">
        <f>"王振达"</f>
        <v>王振达</v>
      </c>
      <c r="C3112" s="2" t="s">
        <v>2858</v>
      </c>
      <c r="D3112" s="2" t="s">
        <v>2887</v>
      </c>
      <c r="E3112" s="3"/>
    </row>
    <row r="3113" spans="1:5" ht="24.75" customHeight="1">
      <c r="A3113" s="2">
        <v>3111</v>
      </c>
      <c r="B3113" s="2" t="str">
        <f>"沈运振"</f>
        <v>沈运振</v>
      </c>
      <c r="C3113" s="2" t="s">
        <v>2858</v>
      </c>
      <c r="D3113" s="2" t="s">
        <v>2888</v>
      </c>
      <c r="E3113" s="3"/>
    </row>
    <row r="3114" spans="1:5" ht="24.75" customHeight="1">
      <c r="A3114" s="2">
        <v>3112</v>
      </c>
      <c r="B3114" s="2" t="str">
        <f>"符泰华"</f>
        <v>符泰华</v>
      </c>
      <c r="C3114" s="2" t="s">
        <v>2858</v>
      </c>
      <c r="D3114" s="2" t="s">
        <v>2889</v>
      </c>
      <c r="E3114" s="3"/>
    </row>
    <row r="3115" spans="1:5" ht="24.75" customHeight="1">
      <c r="A3115" s="2">
        <v>3113</v>
      </c>
      <c r="B3115" s="2" t="str">
        <f>"林先照"</f>
        <v>林先照</v>
      </c>
      <c r="C3115" s="2" t="s">
        <v>2858</v>
      </c>
      <c r="D3115" s="2" t="s">
        <v>2890</v>
      </c>
      <c r="E3115" s="3"/>
    </row>
    <row r="3116" spans="1:5" ht="24.75" customHeight="1">
      <c r="A3116" s="2">
        <v>3114</v>
      </c>
      <c r="B3116" s="2" t="str">
        <f>"吴挺翔"</f>
        <v>吴挺翔</v>
      </c>
      <c r="C3116" s="2" t="s">
        <v>2858</v>
      </c>
      <c r="D3116" s="2" t="s">
        <v>2891</v>
      </c>
      <c r="E3116" s="3"/>
    </row>
    <row r="3117" spans="1:5" ht="24.75" customHeight="1">
      <c r="A3117" s="2">
        <v>3115</v>
      </c>
      <c r="B3117" s="2" t="str">
        <f>"洪道俊"</f>
        <v>洪道俊</v>
      </c>
      <c r="C3117" s="2" t="s">
        <v>2858</v>
      </c>
      <c r="D3117" s="2" t="s">
        <v>2892</v>
      </c>
      <c r="E3117" s="3"/>
    </row>
    <row r="3118" spans="1:5" ht="24.75" customHeight="1">
      <c r="A3118" s="2">
        <v>3116</v>
      </c>
      <c r="B3118" s="2" t="str">
        <f>"吴祥瑞"</f>
        <v>吴祥瑞</v>
      </c>
      <c r="C3118" s="2" t="s">
        <v>2858</v>
      </c>
      <c r="D3118" s="2" t="s">
        <v>2796</v>
      </c>
      <c r="E3118" s="3"/>
    </row>
    <row r="3119" spans="1:5" ht="24.75" customHeight="1">
      <c r="A3119" s="2">
        <v>3117</v>
      </c>
      <c r="B3119" s="2" t="str">
        <f>"苏运昌"</f>
        <v>苏运昌</v>
      </c>
      <c r="C3119" s="2" t="s">
        <v>2858</v>
      </c>
      <c r="D3119" s="2" t="s">
        <v>2893</v>
      </c>
      <c r="E3119" s="3"/>
    </row>
    <row r="3120" spans="1:5" ht="24.75" customHeight="1">
      <c r="A3120" s="2">
        <v>3118</v>
      </c>
      <c r="B3120" s="2" t="str">
        <f>"王上林"</f>
        <v>王上林</v>
      </c>
      <c r="C3120" s="2" t="s">
        <v>2858</v>
      </c>
      <c r="D3120" s="2" t="s">
        <v>2894</v>
      </c>
      <c r="E3120" s="3"/>
    </row>
    <row r="3121" spans="1:5" ht="24.75" customHeight="1">
      <c r="A3121" s="2">
        <v>3119</v>
      </c>
      <c r="B3121" s="2" t="str">
        <f>"王梓"</f>
        <v>王梓</v>
      </c>
      <c r="C3121" s="2" t="s">
        <v>2858</v>
      </c>
      <c r="D3121" s="2" t="s">
        <v>2895</v>
      </c>
      <c r="E3121" s="3"/>
    </row>
    <row r="3122" spans="1:5" ht="24.75" customHeight="1">
      <c r="A3122" s="2">
        <v>3120</v>
      </c>
      <c r="B3122" s="2" t="str">
        <f>"王训帅"</f>
        <v>王训帅</v>
      </c>
      <c r="C3122" s="2" t="s">
        <v>2858</v>
      </c>
      <c r="D3122" s="2" t="s">
        <v>2896</v>
      </c>
      <c r="E3122" s="3"/>
    </row>
    <row r="3123" spans="1:5" ht="24.75" customHeight="1">
      <c r="A3123" s="2">
        <v>3121</v>
      </c>
      <c r="B3123" s="2" t="str">
        <f>"徐耿彬"</f>
        <v>徐耿彬</v>
      </c>
      <c r="C3123" s="2" t="s">
        <v>2858</v>
      </c>
      <c r="D3123" s="2" t="s">
        <v>2897</v>
      </c>
      <c r="E3123" s="3"/>
    </row>
    <row r="3124" spans="1:5" ht="24.75" customHeight="1">
      <c r="A3124" s="2">
        <v>3122</v>
      </c>
      <c r="B3124" s="2" t="str">
        <f>"曾孟荣"</f>
        <v>曾孟荣</v>
      </c>
      <c r="C3124" s="2" t="s">
        <v>2858</v>
      </c>
      <c r="D3124" s="2" t="s">
        <v>2898</v>
      </c>
      <c r="E3124" s="3"/>
    </row>
    <row r="3125" spans="1:5" ht="24.75" customHeight="1">
      <c r="A3125" s="2">
        <v>3123</v>
      </c>
      <c r="B3125" s="2" t="str">
        <f>"李文连"</f>
        <v>李文连</v>
      </c>
      <c r="C3125" s="2" t="s">
        <v>2858</v>
      </c>
      <c r="D3125" s="2" t="s">
        <v>2899</v>
      </c>
      <c r="E3125" s="3"/>
    </row>
    <row r="3126" spans="1:5" ht="24.75" customHeight="1">
      <c r="A3126" s="2">
        <v>3124</v>
      </c>
      <c r="B3126" s="2" t="str">
        <f>"王大俊"</f>
        <v>王大俊</v>
      </c>
      <c r="C3126" s="2" t="s">
        <v>2858</v>
      </c>
      <c r="D3126" s="2" t="s">
        <v>113</v>
      </c>
      <c r="E3126" s="3"/>
    </row>
    <row r="3127" spans="1:5" ht="24.75" customHeight="1">
      <c r="A3127" s="2">
        <v>3125</v>
      </c>
      <c r="B3127" s="2" t="str">
        <f>"许石辉"</f>
        <v>许石辉</v>
      </c>
      <c r="C3127" s="2" t="s">
        <v>2858</v>
      </c>
      <c r="D3127" s="2" t="s">
        <v>2447</v>
      </c>
      <c r="E3127" s="3"/>
    </row>
    <row r="3128" spans="1:5" ht="24.75" customHeight="1">
      <c r="A3128" s="2">
        <v>3126</v>
      </c>
      <c r="B3128" s="2" t="str">
        <f>"庞立荣"</f>
        <v>庞立荣</v>
      </c>
      <c r="C3128" s="2" t="s">
        <v>2858</v>
      </c>
      <c r="D3128" s="2" t="s">
        <v>2900</v>
      </c>
      <c r="E3128" s="3"/>
    </row>
    <row r="3129" spans="1:5" ht="24.75" customHeight="1">
      <c r="A3129" s="2">
        <v>3127</v>
      </c>
      <c r="B3129" s="2" t="str">
        <f>"陈月莹"</f>
        <v>陈月莹</v>
      </c>
      <c r="C3129" s="2" t="s">
        <v>2858</v>
      </c>
      <c r="D3129" s="2" t="s">
        <v>2901</v>
      </c>
      <c r="E3129" s="3"/>
    </row>
    <row r="3130" spans="1:5" ht="24.75" customHeight="1">
      <c r="A3130" s="2">
        <v>3128</v>
      </c>
      <c r="B3130" s="2" t="str">
        <f>"陈生玙"</f>
        <v>陈生玙</v>
      </c>
      <c r="C3130" s="2" t="s">
        <v>2858</v>
      </c>
      <c r="D3130" s="2" t="s">
        <v>1611</v>
      </c>
      <c r="E3130" s="3"/>
    </row>
    <row r="3131" spans="1:5" ht="24.75" customHeight="1">
      <c r="A3131" s="2">
        <v>3129</v>
      </c>
      <c r="B3131" s="2" t="str">
        <f>"莫亲力"</f>
        <v>莫亲力</v>
      </c>
      <c r="C3131" s="2" t="s">
        <v>2858</v>
      </c>
      <c r="D3131" s="2" t="s">
        <v>2902</v>
      </c>
      <c r="E3131" s="3"/>
    </row>
    <row r="3132" spans="1:5" ht="24.75" customHeight="1">
      <c r="A3132" s="2">
        <v>3130</v>
      </c>
      <c r="B3132" s="2" t="str">
        <f>"黄林博"</f>
        <v>黄林博</v>
      </c>
      <c r="C3132" s="2" t="s">
        <v>2858</v>
      </c>
      <c r="D3132" s="2" t="s">
        <v>2903</v>
      </c>
      <c r="E3132" s="3"/>
    </row>
    <row r="3133" spans="1:5" ht="24.75" customHeight="1">
      <c r="A3133" s="2">
        <v>3131</v>
      </c>
      <c r="B3133" s="2" t="str">
        <f>"吴博能"</f>
        <v>吴博能</v>
      </c>
      <c r="C3133" s="2" t="s">
        <v>2858</v>
      </c>
      <c r="D3133" s="2" t="s">
        <v>2904</v>
      </c>
      <c r="E3133" s="3"/>
    </row>
    <row r="3134" spans="1:5" ht="24.75" customHeight="1">
      <c r="A3134" s="2">
        <v>3132</v>
      </c>
      <c r="B3134" s="2" t="str">
        <f>"刘凤槐"</f>
        <v>刘凤槐</v>
      </c>
      <c r="C3134" s="2" t="s">
        <v>2858</v>
      </c>
      <c r="D3134" s="2" t="s">
        <v>2905</v>
      </c>
      <c r="E3134" s="3"/>
    </row>
    <row r="3135" spans="1:5" ht="24.75" customHeight="1">
      <c r="A3135" s="2">
        <v>3133</v>
      </c>
      <c r="B3135" s="2" t="str">
        <f>"文克杰"</f>
        <v>文克杰</v>
      </c>
      <c r="C3135" s="2" t="s">
        <v>2858</v>
      </c>
      <c r="D3135" s="2" t="s">
        <v>2906</v>
      </c>
      <c r="E3135" s="3"/>
    </row>
    <row r="3136" spans="1:5" ht="24.75" customHeight="1">
      <c r="A3136" s="2">
        <v>3134</v>
      </c>
      <c r="B3136" s="2" t="str">
        <f>"陈俊华"</f>
        <v>陈俊华</v>
      </c>
      <c r="C3136" s="2" t="s">
        <v>2858</v>
      </c>
      <c r="D3136" s="2" t="s">
        <v>740</v>
      </c>
      <c r="E3136" s="3"/>
    </row>
    <row r="3137" spans="1:5" ht="24.75" customHeight="1">
      <c r="A3137" s="2">
        <v>3135</v>
      </c>
      <c r="B3137" s="2" t="str">
        <f>"符成相"</f>
        <v>符成相</v>
      </c>
      <c r="C3137" s="2" t="s">
        <v>2858</v>
      </c>
      <c r="D3137" s="2" t="s">
        <v>2907</v>
      </c>
      <c r="E3137" s="3"/>
    </row>
    <row r="3138" spans="1:5" ht="24.75" customHeight="1">
      <c r="A3138" s="2">
        <v>3136</v>
      </c>
      <c r="B3138" s="2" t="str">
        <f>"曾垂敬"</f>
        <v>曾垂敬</v>
      </c>
      <c r="C3138" s="2" t="s">
        <v>2858</v>
      </c>
      <c r="D3138" s="2" t="s">
        <v>2908</v>
      </c>
      <c r="E3138" s="3"/>
    </row>
    <row r="3139" spans="1:5" ht="24.75" customHeight="1">
      <c r="A3139" s="2">
        <v>3137</v>
      </c>
      <c r="B3139" s="2" t="str">
        <f>"王安力"</f>
        <v>王安力</v>
      </c>
      <c r="C3139" s="2" t="s">
        <v>2858</v>
      </c>
      <c r="D3139" s="2" t="s">
        <v>2909</v>
      </c>
      <c r="E3139" s="3"/>
    </row>
    <row r="3140" spans="1:5" ht="24.75" customHeight="1">
      <c r="A3140" s="2">
        <v>3138</v>
      </c>
      <c r="B3140" s="2" t="str">
        <f>"陈道益"</f>
        <v>陈道益</v>
      </c>
      <c r="C3140" s="2" t="s">
        <v>2858</v>
      </c>
      <c r="D3140" s="2" t="s">
        <v>2910</v>
      </c>
      <c r="E3140" s="3"/>
    </row>
    <row r="3141" spans="1:5" ht="24.75" customHeight="1">
      <c r="A3141" s="2">
        <v>3139</v>
      </c>
      <c r="B3141" s="2" t="str">
        <f>"陈兴源"</f>
        <v>陈兴源</v>
      </c>
      <c r="C3141" s="2" t="s">
        <v>2858</v>
      </c>
      <c r="D3141" s="2" t="s">
        <v>2911</v>
      </c>
      <c r="E3141" s="3"/>
    </row>
    <row r="3142" spans="1:5" ht="24.75" customHeight="1">
      <c r="A3142" s="2">
        <v>3140</v>
      </c>
      <c r="B3142" s="2" t="str">
        <f>"符裕发"</f>
        <v>符裕发</v>
      </c>
      <c r="C3142" s="2" t="s">
        <v>2858</v>
      </c>
      <c r="D3142" s="2" t="s">
        <v>2912</v>
      </c>
      <c r="E3142" s="3"/>
    </row>
    <row r="3143" spans="1:5" ht="24.75" customHeight="1">
      <c r="A3143" s="2">
        <v>3141</v>
      </c>
      <c r="B3143" s="2" t="str">
        <f>"崔博胜"</f>
        <v>崔博胜</v>
      </c>
      <c r="C3143" s="2" t="s">
        <v>2858</v>
      </c>
      <c r="D3143" s="2" t="s">
        <v>2913</v>
      </c>
      <c r="E3143" s="3"/>
    </row>
    <row r="3144" spans="1:5" ht="24.75" customHeight="1">
      <c r="A3144" s="2">
        <v>3142</v>
      </c>
      <c r="B3144" s="2" t="str">
        <f>"周光倩"</f>
        <v>周光倩</v>
      </c>
      <c r="C3144" s="2" t="s">
        <v>2858</v>
      </c>
      <c r="D3144" s="2" t="s">
        <v>2914</v>
      </c>
      <c r="E3144" s="3"/>
    </row>
    <row r="3145" spans="1:5" ht="24.75" customHeight="1">
      <c r="A3145" s="2">
        <v>3143</v>
      </c>
      <c r="B3145" s="2" t="str">
        <f>"陈崇汉"</f>
        <v>陈崇汉</v>
      </c>
      <c r="C3145" s="2" t="s">
        <v>2858</v>
      </c>
      <c r="D3145" s="2" t="s">
        <v>2915</v>
      </c>
      <c r="E3145" s="3"/>
    </row>
    <row r="3146" spans="1:5" ht="24.75" customHeight="1">
      <c r="A3146" s="2">
        <v>3144</v>
      </c>
      <c r="B3146" s="2" t="str">
        <f>"陈太文"</f>
        <v>陈太文</v>
      </c>
      <c r="C3146" s="2" t="s">
        <v>2858</v>
      </c>
      <c r="D3146" s="2" t="s">
        <v>740</v>
      </c>
      <c r="E3146" s="3"/>
    </row>
    <row r="3147" spans="1:5" ht="24.75" customHeight="1">
      <c r="A3147" s="2">
        <v>3145</v>
      </c>
      <c r="B3147" s="2" t="str">
        <f>"黄智刚"</f>
        <v>黄智刚</v>
      </c>
      <c r="C3147" s="2" t="s">
        <v>2858</v>
      </c>
      <c r="D3147" s="2" t="s">
        <v>2916</v>
      </c>
      <c r="E3147" s="3"/>
    </row>
    <row r="3148" spans="1:5" ht="24.75" customHeight="1">
      <c r="A3148" s="2">
        <v>3146</v>
      </c>
      <c r="B3148" s="2" t="str">
        <f>"吴多卿"</f>
        <v>吴多卿</v>
      </c>
      <c r="C3148" s="2" t="s">
        <v>2858</v>
      </c>
      <c r="D3148" s="2" t="s">
        <v>2917</v>
      </c>
      <c r="E3148" s="3"/>
    </row>
    <row r="3149" spans="1:5" ht="24.75" customHeight="1">
      <c r="A3149" s="2">
        <v>3147</v>
      </c>
      <c r="B3149" s="2" t="str">
        <f>"刘峥"</f>
        <v>刘峥</v>
      </c>
      <c r="C3149" s="2" t="s">
        <v>2918</v>
      </c>
      <c r="D3149" s="2" t="s">
        <v>2919</v>
      </c>
      <c r="E3149" s="3"/>
    </row>
    <row r="3150" spans="1:5" ht="24.75" customHeight="1">
      <c r="A3150" s="2">
        <v>3148</v>
      </c>
      <c r="B3150" s="2" t="str">
        <f>"魏胤"</f>
        <v>魏胤</v>
      </c>
      <c r="C3150" s="2" t="s">
        <v>2918</v>
      </c>
      <c r="D3150" s="2" t="s">
        <v>2920</v>
      </c>
      <c r="E3150" s="3"/>
    </row>
    <row r="3151" spans="1:5" ht="24.75" customHeight="1">
      <c r="A3151" s="2">
        <v>3149</v>
      </c>
      <c r="B3151" s="2" t="str">
        <f>"钟岸玲"</f>
        <v>钟岸玲</v>
      </c>
      <c r="C3151" s="2" t="s">
        <v>2918</v>
      </c>
      <c r="D3151" s="2" t="s">
        <v>2921</v>
      </c>
      <c r="E3151" s="3"/>
    </row>
    <row r="3152" spans="1:5" ht="24.75" customHeight="1">
      <c r="A3152" s="2">
        <v>3150</v>
      </c>
      <c r="B3152" s="2" t="str">
        <f>"林念相"</f>
        <v>林念相</v>
      </c>
      <c r="C3152" s="2" t="s">
        <v>2918</v>
      </c>
      <c r="D3152" s="2" t="s">
        <v>2922</v>
      </c>
      <c r="E3152" s="3"/>
    </row>
    <row r="3153" spans="1:5" ht="24.75" customHeight="1">
      <c r="A3153" s="2">
        <v>3151</v>
      </c>
      <c r="B3153" s="2" t="str">
        <f>"蒋涛"</f>
        <v>蒋涛</v>
      </c>
      <c r="C3153" s="2" t="s">
        <v>2918</v>
      </c>
      <c r="D3153" s="2" t="s">
        <v>2923</v>
      </c>
      <c r="E3153" s="3"/>
    </row>
    <row r="3154" spans="1:5" ht="24.75" customHeight="1">
      <c r="A3154" s="2">
        <v>3152</v>
      </c>
      <c r="B3154" s="2" t="str">
        <f>"陈红日"</f>
        <v>陈红日</v>
      </c>
      <c r="C3154" s="2" t="s">
        <v>2918</v>
      </c>
      <c r="D3154" s="2" t="s">
        <v>2924</v>
      </c>
      <c r="E3154" s="3"/>
    </row>
    <row r="3155" spans="1:5" ht="24.75" customHeight="1">
      <c r="A3155" s="2">
        <v>3153</v>
      </c>
      <c r="B3155" s="2" t="str">
        <f>"高策策"</f>
        <v>高策策</v>
      </c>
      <c r="C3155" s="2" t="s">
        <v>2918</v>
      </c>
      <c r="D3155" s="2" t="s">
        <v>2925</v>
      </c>
      <c r="E3155" s="3"/>
    </row>
    <row r="3156" spans="1:5" ht="24.75" customHeight="1">
      <c r="A3156" s="2">
        <v>3154</v>
      </c>
      <c r="B3156" s="2" t="str">
        <f>"王小雨"</f>
        <v>王小雨</v>
      </c>
      <c r="C3156" s="2" t="s">
        <v>2918</v>
      </c>
      <c r="D3156" s="2" t="s">
        <v>2926</v>
      </c>
      <c r="E3156" s="3"/>
    </row>
    <row r="3157" spans="1:5" ht="24.75" customHeight="1">
      <c r="A3157" s="2">
        <v>3155</v>
      </c>
      <c r="B3157" s="2" t="str">
        <f>"朱艳"</f>
        <v>朱艳</v>
      </c>
      <c r="C3157" s="2" t="s">
        <v>2918</v>
      </c>
      <c r="D3157" s="2" t="s">
        <v>2927</v>
      </c>
      <c r="E3157" s="3"/>
    </row>
    <row r="3158" spans="1:5" ht="24.75" customHeight="1">
      <c r="A3158" s="2">
        <v>3156</v>
      </c>
      <c r="B3158" s="2" t="str">
        <f>"吴毓丽"</f>
        <v>吴毓丽</v>
      </c>
      <c r="C3158" s="2" t="s">
        <v>2918</v>
      </c>
      <c r="D3158" s="2" t="s">
        <v>2928</v>
      </c>
      <c r="E3158" s="3"/>
    </row>
    <row r="3159" spans="1:5" ht="24.75" customHeight="1">
      <c r="A3159" s="2">
        <v>3157</v>
      </c>
      <c r="B3159" s="2" t="str">
        <f>"黄思宇"</f>
        <v>黄思宇</v>
      </c>
      <c r="C3159" s="2" t="s">
        <v>2918</v>
      </c>
      <c r="D3159" s="2" t="s">
        <v>2929</v>
      </c>
      <c r="E3159" s="3"/>
    </row>
    <row r="3160" spans="1:5" ht="24.75" customHeight="1">
      <c r="A3160" s="2">
        <v>3158</v>
      </c>
      <c r="B3160" s="2" t="str">
        <f>"王大尉"</f>
        <v>王大尉</v>
      </c>
      <c r="C3160" s="2" t="s">
        <v>2918</v>
      </c>
      <c r="D3160" s="2" t="s">
        <v>2930</v>
      </c>
      <c r="E3160" s="3"/>
    </row>
    <row r="3161" spans="1:5" ht="24.75" customHeight="1">
      <c r="A3161" s="2">
        <v>3159</v>
      </c>
      <c r="B3161" s="2" t="str">
        <f>"王景春"</f>
        <v>王景春</v>
      </c>
      <c r="C3161" s="2" t="s">
        <v>2918</v>
      </c>
      <c r="D3161" s="2" t="s">
        <v>2931</v>
      </c>
      <c r="E3161" s="3"/>
    </row>
    <row r="3162" spans="1:5" ht="24.75" customHeight="1">
      <c r="A3162" s="2">
        <v>3160</v>
      </c>
      <c r="B3162" s="2" t="str">
        <f>"孙蕾"</f>
        <v>孙蕾</v>
      </c>
      <c r="C3162" s="2" t="s">
        <v>2918</v>
      </c>
      <c r="D3162" s="2" t="s">
        <v>2932</v>
      </c>
      <c r="E3162" s="3"/>
    </row>
    <row r="3163" spans="1:5" ht="24.75" customHeight="1">
      <c r="A3163" s="2">
        <v>3161</v>
      </c>
      <c r="B3163" s="2" t="str">
        <f>"冼庆帝"</f>
        <v>冼庆帝</v>
      </c>
      <c r="C3163" s="2" t="s">
        <v>2918</v>
      </c>
      <c r="D3163" s="2" t="s">
        <v>2933</v>
      </c>
      <c r="E3163" s="3"/>
    </row>
    <row r="3164" spans="1:5" ht="24.75" customHeight="1">
      <c r="A3164" s="2">
        <v>3162</v>
      </c>
      <c r="B3164" s="2" t="str">
        <f>"陈雅玉"</f>
        <v>陈雅玉</v>
      </c>
      <c r="C3164" s="2" t="s">
        <v>2918</v>
      </c>
      <c r="D3164" s="2" t="s">
        <v>2934</v>
      </c>
      <c r="E3164" s="3"/>
    </row>
    <row r="3165" spans="1:5" ht="24.75" customHeight="1">
      <c r="A3165" s="2">
        <v>3163</v>
      </c>
      <c r="B3165" s="2" t="str">
        <f>"李莹"</f>
        <v>李莹</v>
      </c>
      <c r="C3165" s="2" t="s">
        <v>2918</v>
      </c>
      <c r="D3165" s="2" t="s">
        <v>2935</v>
      </c>
      <c r="E3165" s="3"/>
    </row>
    <row r="3166" spans="1:5" ht="24.75" customHeight="1">
      <c r="A3166" s="2">
        <v>3164</v>
      </c>
      <c r="B3166" s="2" t="str">
        <f>"曾艺婕"</f>
        <v>曾艺婕</v>
      </c>
      <c r="C3166" s="2" t="s">
        <v>2918</v>
      </c>
      <c r="D3166" s="2" t="s">
        <v>2936</v>
      </c>
      <c r="E3166" s="3"/>
    </row>
    <row r="3167" spans="1:5" ht="24.75" customHeight="1">
      <c r="A3167" s="2">
        <v>3165</v>
      </c>
      <c r="B3167" s="2" t="str">
        <f>"王静"</f>
        <v>王静</v>
      </c>
      <c r="C3167" s="2" t="s">
        <v>2918</v>
      </c>
      <c r="D3167" s="2" t="s">
        <v>2937</v>
      </c>
      <c r="E3167" s="3"/>
    </row>
    <row r="3168" spans="1:5" ht="24.75" customHeight="1">
      <c r="A3168" s="2">
        <v>3166</v>
      </c>
      <c r="B3168" s="2" t="str">
        <f>"黄达鸣"</f>
        <v>黄达鸣</v>
      </c>
      <c r="C3168" s="2" t="s">
        <v>2918</v>
      </c>
      <c r="D3168" s="2" t="s">
        <v>2019</v>
      </c>
      <c r="E3168" s="3"/>
    </row>
    <row r="3169" spans="1:5" ht="24.75" customHeight="1">
      <c r="A3169" s="2">
        <v>3167</v>
      </c>
      <c r="B3169" s="2" t="str">
        <f>"王露娜"</f>
        <v>王露娜</v>
      </c>
      <c r="C3169" s="2" t="s">
        <v>2918</v>
      </c>
      <c r="D3169" s="2" t="s">
        <v>2938</v>
      </c>
      <c r="E3169" s="3"/>
    </row>
    <row r="3170" spans="1:5" ht="24.75" customHeight="1">
      <c r="A3170" s="2">
        <v>3168</v>
      </c>
      <c r="B3170" s="2" t="str">
        <f>"郑贞莹"</f>
        <v>郑贞莹</v>
      </c>
      <c r="C3170" s="2" t="s">
        <v>2918</v>
      </c>
      <c r="D3170" s="2" t="s">
        <v>2939</v>
      </c>
      <c r="E3170" s="3"/>
    </row>
    <row r="3171" spans="1:5" ht="24.75" customHeight="1">
      <c r="A3171" s="2">
        <v>3169</v>
      </c>
      <c r="B3171" s="2" t="str">
        <f>"林颖佳"</f>
        <v>林颖佳</v>
      </c>
      <c r="C3171" s="2" t="s">
        <v>2918</v>
      </c>
      <c r="D3171" s="2" t="s">
        <v>2940</v>
      </c>
      <c r="E3171" s="3"/>
    </row>
    <row r="3172" spans="1:5" ht="24.75" customHeight="1">
      <c r="A3172" s="2">
        <v>3170</v>
      </c>
      <c r="B3172" s="2" t="str">
        <f>"韦秋杰"</f>
        <v>韦秋杰</v>
      </c>
      <c r="C3172" s="2" t="s">
        <v>2918</v>
      </c>
      <c r="D3172" s="2" t="s">
        <v>2941</v>
      </c>
      <c r="E3172" s="3"/>
    </row>
    <row r="3173" spans="1:5" ht="24.75" customHeight="1">
      <c r="A3173" s="2">
        <v>3171</v>
      </c>
      <c r="B3173" s="2" t="str">
        <f>"马祯"</f>
        <v>马祯</v>
      </c>
      <c r="C3173" s="2" t="s">
        <v>2918</v>
      </c>
      <c r="D3173" s="2" t="s">
        <v>2942</v>
      </c>
      <c r="E3173" s="3"/>
    </row>
    <row r="3174" spans="1:5" ht="24.75" customHeight="1">
      <c r="A3174" s="2">
        <v>3172</v>
      </c>
      <c r="B3174" s="2" t="str">
        <f>"王琦"</f>
        <v>王琦</v>
      </c>
      <c r="C3174" s="2" t="s">
        <v>2918</v>
      </c>
      <c r="D3174" s="2" t="s">
        <v>2943</v>
      </c>
      <c r="E3174" s="3"/>
    </row>
    <row r="3175" spans="1:5" ht="24.75" customHeight="1">
      <c r="A3175" s="2">
        <v>3173</v>
      </c>
      <c r="B3175" s="2" t="str">
        <f>"谢欣"</f>
        <v>谢欣</v>
      </c>
      <c r="C3175" s="2" t="s">
        <v>2918</v>
      </c>
      <c r="D3175" s="2" t="s">
        <v>2944</v>
      </c>
      <c r="E3175" s="3"/>
    </row>
    <row r="3176" spans="1:5" ht="24.75" customHeight="1">
      <c r="A3176" s="2">
        <v>3174</v>
      </c>
      <c r="B3176" s="2" t="str">
        <f>"黄潇潇"</f>
        <v>黄潇潇</v>
      </c>
      <c r="C3176" s="2" t="s">
        <v>2918</v>
      </c>
      <c r="D3176" s="2" t="s">
        <v>2945</v>
      </c>
      <c r="E3176" s="3"/>
    </row>
    <row r="3177" spans="1:5" ht="24.75" customHeight="1">
      <c r="A3177" s="2">
        <v>3175</v>
      </c>
      <c r="B3177" s="2" t="str">
        <f>"陆晶"</f>
        <v>陆晶</v>
      </c>
      <c r="C3177" s="2" t="s">
        <v>2918</v>
      </c>
      <c r="D3177" s="2" t="s">
        <v>2946</v>
      </c>
      <c r="E3177" s="3"/>
    </row>
    <row r="3178" spans="1:5" ht="24.75" customHeight="1">
      <c r="A3178" s="2">
        <v>3176</v>
      </c>
      <c r="B3178" s="2" t="str">
        <f>"莫玲"</f>
        <v>莫玲</v>
      </c>
      <c r="C3178" s="2" t="s">
        <v>2918</v>
      </c>
      <c r="D3178" s="2" t="s">
        <v>2947</v>
      </c>
      <c r="E3178" s="3"/>
    </row>
    <row r="3179" spans="1:5" ht="24.75" customHeight="1">
      <c r="A3179" s="2">
        <v>3177</v>
      </c>
      <c r="B3179" s="2" t="str">
        <f>"苏敏"</f>
        <v>苏敏</v>
      </c>
      <c r="C3179" s="2" t="s">
        <v>2918</v>
      </c>
      <c r="D3179" s="2" t="s">
        <v>2948</v>
      </c>
      <c r="E3179" s="3"/>
    </row>
    <row r="3180" spans="1:5" ht="24.75" customHeight="1">
      <c r="A3180" s="2">
        <v>3178</v>
      </c>
      <c r="B3180" s="2" t="str">
        <f>"陈重蕾"</f>
        <v>陈重蕾</v>
      </c>
      <c r="C3180" s="2" t="s">
        <v>2918</v>
      </c>
      <c r="D3180" s="2" t="s">
        <v>2949</v>
      </c>
      <c r="E3180" s="3"/>
    </row>
    <row r="3181" spans="1:5" ht="24.75" customHeight="1">
      <c r="A3181" s="2">
        <v>3179</v>
      </c>
      <c r="B3181" s="2" t="str">
        <f>"邢维婷"</f>
        <v>邢维婷</v>
      </c>
      <c r="C3181" s="2" t="s">
        <v>2918</v>
      </c>
      <c r="D3181" s="2" t="s">
        <v>2950</v>
      </c>
      <c r="E3181" s="3"/>
    </row>
    <row r="3182" spans="1:5" ht="24.75" customHeight="1">
      <c r="A3182" s="2">
        <v>3180</v>
      </c>
      <c r="B3182" s="2" t="str">
        <f>"许水金"</f>
        <v>许水金</v>
      </c>
      <c r="C3182" s="2" t="s">
        <v>2918</v>
      </c>
      <c r="D3182" s="2" t="s">
        <v>2951</v>
      </c>
      <c r="E3182" s="3"/>
    </row>
    <row r="3183" spans="1:5" ht="24.75" customHeight="1">
      <c r="A3183" s="2">
        <v>3181</v>
      </c>
      <c r="B3183" s="2" t="str">
        <f>"陈玲瑶"</f>
        <v>陈玲瑶</v>
      </c>
      <c r="C3183" s="2" t="s">
        <v>2918</v>
      </c>
      <c r="D3183" s="2" t="s">
        <v>1051</v>
      </c>
      <c r="E3183" s="3"/>
    </row>
    <row r="3184" spans="1:5" ht="24.75" customHeight="1">
      <c r="A3184" s="2">
        <v>3182</v>
      </c>
      <c r="B3184" s="2" t="str">
        <f>"徐家贝"</f>
        <v>徐家贝</v>
      </c>
      <c r="C3184" s="2" t="s">
        <v>2918</v>
      </c>
      <c r="D3184" s="2" t="s">
        <v>2952</v>
      </c>
      <c r="E3184" s="3"/>
    </row>
    <row r="3185" spans="1:5" ht="24.75" customHeight="1">
      <c r="A3185" s="2">
        <v>3183</v>
      </c>
      <c r="B3185" s="2" t="str">
        <f>"吴海燕"</f>
        <v>吴海燕</v>
      </c>
      <c r="C3185" s="2" t="s">
        <v>2918</v>
      </c>
      <c r="D3185" s="2" t="s">
        <v>2953</v>
      </c>
      <c r="E3185" s="3"/>
    </row>
    <row r="3186" spans="1:5" ht="24.75" customHeight="1">
      <c r="A3186" s="2">
        <v>3184</v>
      </c>
      <c r="B3186" s="2" t="str">
        <f>"张颖"</f>
        <v>张颖</v>
      </c>
      <c r="C3186" s="2" t="s">
        <v>2918</v>
      </c>
      <c r="D3186" s="2" t="s">
        <v>2954</v>
      </c>
      <c r="E3186" s="3"/>
    </row>
    <row r="3187" spans="1:5" ht="24.75" customHeight="1">
      <c r="A3187" s="2">
        <v>3185</v>
      </c>
      <c r="B3187" s="2" t="str">
        <f>"翁晓静"</f>
        <v>翁晓静</v>
      </c>
      <c r="C3187" s="2" t="s">
        <v>2918</v>
      </c>
      <c r="D3187" s="2" t="s">
        <v>2955</v>
      </c>
      <c r="E3187" s="3"/>
    </row>
    <row r="3188" spans="1:5" ht="24.75" customHeight="1">
      <c r="A3188" s="2">
        <v>3186</v>
      </c>
      <c r="B3188" s="2" t="str">
        <f>"林良缘"</f>
        <v>林良缘</v>
      </c>
      <c r="C3188" s="2" t="s">
        <v>2918</v>
      </c>
      <c r="D3188" s="2" t="s">
        <v>873</v>
      </c>
      <c r="E3188" s="3"/>
    </row>
    <row r="3189" spans="1:5" ht="24.75" customHeight="1">
      <c r="A3189" s="2">
        <v>3187</v>
      </c>
      <c r="B3189" s="2" t="str">
        <f>"郑敏"</f>
        <v>郑敏</v>
      </c>
      <c r="C3189" s="2" t="s">
        <v>2918</v>
      </c>
      <c r="D3189" s="2" t="s">
        <v>2956</v>
      </c>
      <c r="E3189" s="3"/>
    </row>
    <row r="3190" spans="1:5" ht="24.75" customHeight="1">
      <c r="A3190" s="2">
        <v>3188</v>
      </c>
      <c r="B3190" s="2" t="str">
        <f>"吴芳玲"</f>
        <v>吴芳玲</v>
      </c>
      <c r="C3190" s="2" t="s">
        <v>2918</v>
      </c>
      <c r="D3190" s="2" t="s">
        <v>2957</v>
      </c>
      <c r="E3190" s="3"/>
    </row>
    <row r="3191" spans="1:5" ht="24.75" customHeight="1">
      <c r="A3191" s="2">
        <v>3189</v>
      </c>
      <c r="B3191" s="2" t="str">
        <f>"林师鹏"</f>
        <v>林师鹏</v>
      </c>
      <c r="C3191" s="2" t="s">
        <v>2918</v>
      </c>
      <c r="D3191" s="2" t="s">
        <v>2958</v>
      </c>
      <c r="E3191" s="3"/>
    </row>
    <row r="3192" spans="1:5" ht="24.75" customHeight="1">
      <c r="A3192" s="2">
        <v>3190</v>
      </c>
      <c r="B3192" s="2" t="str">
        <f>"朱小敏"</f>
        <v>朱小敏</v>
      </c>
      <c r="C3192" s="2" t="s">
        <v>2918</v>
      </c>
      <c r="D3192" s="2" t="s">
        <v>2959</v>
      </c>
      <c r="E3192" s="3"/>
    </row>
    <row r="3193" spans="1:5" ht="24.75" customHeight="1">
      <c r="A3193" s="2">
        <v>3191</v>
      </c>
      <c r="B3193" s="2" t="str">
        <f>"张智森"</f>
        <v>张智森</v>
      </c>
      <c r="C3193" s="2" t="s">
        <v>2918</v>
      </c>
      <c r="D3193" s="2" t="s">
        <v>1122</v>
      </c>
      <c r="E3193" s="3"/>
    </row>
    <row r="3194" spans="1:5" ht="24.75" customHeight="1">
      <c r="A3194" s="2">
        <v>3192</v>
      </c>
      <c r="B3194" s="2" t="str">
        <f>"陈巧婵"</f>
        <v>陈巧婵</v>
      </c>
      <c r="C3194" s="2" t="s">
        <v>2918</v>
      </c>
      <c r="D3194" s="2" t="s">
        <v>647</v>
      </c>
      <c r="E3194" s="3"/>
    </row>
    <row r="3195" spans="1:5" ht="24.75" customHeight="1">
      <c r="A3195" s="2">
        <v>3193</v>
      </c>
      <c r="B3195" s="2" t="str">
        <f>"卓多豹"</f>
        <v>卓多豹</v>
      </c>
      <c r="C3195" s="2" t="s">
        <v>2918</v>
      </c>
      <c r="D3195" s="2" t="s">
        <v>2960</v>
      </c>
      <c r="E3195" s="3"/>
    </row>
    <row r="3196" spans="1:5" ht="24.75" customHeight="1">
      <c r="A3196" s="2">
        <v>3194</v>
      </c>
      <c r="B3196" s="2" t="str">
        <f>"黄桂"</f>
        <v>黄桂</v>
      </c>
      <c r="C3196" s="2" t="s">
        <v>2918</v>
      </c>
      <c r="D3196" s="2" t="s">
        <v>2961</v>
      </c>
      <c r="E3196" s="3"/>
    </row>
    <row r="3197" spans="1:5" ht="24.75" customHeight="1">
      <c r="A3197" s="2">
        <v>3195</v>
      </c>
      <c r="B3197" s="2" t="str">
        <f>"杨世明"</f>
        <v>杨世明</v>
      </c>
      <c r="C3197" s="2" t="s">
        <v>2918</v>
      </c>
      <c r="D3197" s="2" t="s">
        <v>2962</v>
      </c>
      <c r="E3197" s="3"/>
    </row>
    <row r="3198" spans="1:5" ht="24.75" customHeight="1">
      <c r="A3198" s="2">
        <v>3196</v>
      </c>
      <c r="B3198" s="2" t="str">
        <f>"谭书锦"</f>
        <v>谭书锦</v>
      </c>
      <c r="C3198" s="2" t="s">
        <v>2918</v>
      </c>
      <c r="D3198" s="2" t="s">
        <v>2963</v>
      </c>
      <c r="E3198" s="3"/>
    </row>
    <row r="3199" spans="1:5" ht="24.75" customHeight="1">
      <c r="A3199" s="2">
        <v>3197</v>
      </c>
      <c r="B3199" s="2" t="str">
        <f>"刘旭丽"</f>
        <v>刘旭丽</v>
      </c>
      <c r="C3199" s="2" t="s">
        <v>2918</v>
      </c>
      <c r="D3199" s="2" t="s">
        <v>2964</v>
      </c>
      <c r="E3199" s="3"/>
    </row>
    <row r="3200" spans="1:5" ht="24.75" customHeight="1">
      <c r="A3200" s="2">
        <v>3198</v>
      </c>
      <c r="B3200" s="2" t="str">
        <f>"周小丽"</f>
        <v>周小丽</v>
      </c>
      <c r="C3200" s="2" t="s">
        <v>2918</v>
      </c>
      <c r="D3200" s="2" t="s">
        <v>2965</v>
      </c>
      <c r="E3200" s="3"/>
    </row>
    <row r="3201" spans="1:5" ht="24.75" customHeight="1">
      <c r="A3201" s="2">
        <v>3199</v>
      </c>
      <c r="B3201" s="2" t="str">
        <f>"王小玲"</f>
        <v>王小玲</v>
      </c>
      <c r="C3201" s="2" t="s">
        <v>2918</v>
      </c>
      <c r="D3201" s="2" t="s">
        <v>2966</v>
      </c>
      <c r="E3201" s="3"/>
    </row>
    <row r="3202" spans="1:5" ht="24.75" customHeight="1">
      <c r="A3202" s="2">
        <v>3200</v>
      </c>
      <c r="B3202" s="2" t="str">
        <f>"沈庆美"</f>
        <v>沈庆美</v>
      </c>
      <c r="C3202" s="2" t="s">
        <v>2918</v>
      </c>
      <c r="D3202" s="2" t="s">
        <v>2967</v>
      </c>
      <c r="E3202" s="3"/>
    </row>
    <row r="3203" spans="1:5" ht="24.75" customHeight="1">
      <c r="A3203" s="2">
        <v>3201</v>
      </c>
      <c r="B3203" s="2" t="str">
        <f>"蔡於顿"</f>
        <v>蔡於顿</v>
      </c>
      <c r="C3203" s="2" t="s">
        <v>2918</v>
      </c>
      <c r="D3203" s="2" t="s">
        <v>2968</v>
      </c>
      <c r="E3203" s="3"/>
    </row>
    <row r="3204" spans="1:5" ht="24.75" customHeight="1">
      <c r="A3204" s="2">
        <v>3202</v>
      </c>
      <c r="B3204" s="2" t="str">
        <f>"梁倪铭"</f>
        <v>梁倪铭</v>
      </c>
      <c r="C3204" s="2" t="s">
        <v>2918</v>
      </c>
      <c r="D3204" s="2" t="s">
        <v>2942</v>
      </c>
      <c r="E3204" s="3"/>
    </row>
    <row r="3205" spans="1:5" ht="24.75" customHeight="1">
      <c r="A3205" s="2">
        <v>3203</v>
      </c>
      <c r="B3205" s="2" t="str">
        <f>"罗成铭"</f>
        <v>罗成铭</v>
      </c>
      <c r="C3205" s="2" t="s">
        <v>2918</v>
      </c>
      <c r="D3205" s="2" t="s">
        <v>2969</v>
      </c>
      <c r="E3205" s="3"/>
    </row>
    <row r="3206" spans="1:5" ht="24.75" customHeight="1">
      <c r="A3206" s="2">
        <v>3204</v>
      </c>
      <c r="B3206" s="2" t="str">
        <f>"廖慧琴"</f>
        <v>廖慧琴</v>
      </c>
      <c r="C3206" s="2" t="s">
        <v>2918</v>
      </c>
      <c r="D3206" s="2" t="s">
        <v>2970</v>
      </c>
      <c r="E3206" s="3"/>
    </row>
    <row r="3207" spans="1:5" ht="24.75" customHeight="1">
      <c r="A3207" s="2">
        <v>3205</v>
      </c>
      <c r="B3207" s="2" t="str">
        <f>"王康宝"</f>
        <v>王康宝</v>
      </c>
      <c r="C3207" s="2" t="s">
        <v>2918</v>
      </c>
      <c r="D3207" s="2" t="s">
        <v>2971</v>
      </c>
      <c r="E3207" s="3"/>
    </row>
    <row r="3208" spans="1:5" ht="24.75" customHeight="1">
      <c r="A3208" s="2">
        <v>3206</v>
      </c>
      <c r="B3208" s="2" t="str">
        <f>"王燕平"</f>
        <v>王燕平</v>
      </c>
      <c r="C3208" s="2" t="s">
        <v>2918</v>
      </c>
      <c r="D3208" s="2" t="s">
        <v>2972</v>
      </c>
      <c r="E3208" s="3"/>
    </row>
    <row r="3209" spans="1:5" ht="24.75" customHeight="1">
      <c r="A3209" s="2">
        <v>3207</v>
      </c>
      <c r="B3209" s="2" t="str">
        <f>"王钰"</f>
        <v>王钰</v>
      </c>
      <c r="C3209" s="2" t="s">
        <v>2918</v>
      </c>
      <c r="D3209" s="2" t="s">
        <v>2973</v>
      </c>
      <c r="E3209" s="3"/>
    </row>
    <row r="3210" spans="1:5" ht="24.75" customHeight="1">
      <c r="A3210" s="2">
        <v>3208</v>
      </c>
      <c r="B3210" s="2" t="str">
        <f>"张静"</f>
        <v>张静</v>
      </c>
      <c r="C3210" s="2" t="s">
        <v>2918</v>
      </c>
      <c r="D3210" s="2" t="s">
        <v>2356</v>
      </c>
      <c r="E3210" s="3"/>
    </row>
    <row r="3211" spans="1:5" ht="24.75" customHeight="1">
      <c r="A3211" s="2">
        <v>3209</v>
      </c>
      <c r="B3211" s="2" t="str">
        <f>"张辉"</f>
        <v>张辉</v>
      </c>
      <c r="C3211" s="2" t="s">
        <v>2918</v>
      </c>
      <c r="D3211" s="2" t="s">
        <v>2974</v>
      </c>
      <c r="E3211" s="3"/>
    </row>
    <row r="3212" spans="1:5" ht="24.75" customHeight="1">
      <c r="A3212" s="2">
        <v>3210</v>
      </c>
      <c r="B3212" s="2" t="str">
        <f>"陈春姑"</f>
        <v>陈春姑</v>
      </c>
      <c r="C3212" s="2" t="s">
        <v>2918</v>
      </c>
      <c r="D3212" s="2" t="s">
        <v>2975</v>
      </c>
      <c r="E3212" s="3"/>
    </row>
    <row r="3213" spans="1:5" ht="24.75" customHeight="1">
      <c r="A3213" s="2">
        <v>3211</v>
      </c>
      <c r="B3213" s="2" t="str">
        <f>"王月兰"</f>
        <v>王月兰</v>
      </c>
      <c r="C3213" s="2" t="s">
        <v>2918</v>
      </c>
      <c r="D3213" s="2" t="s">
        <v>2976</v>
      </c>
      <c r="E3213" s="3"/>
    </row>
    <row r="3214" spans="1:5" ht="24.75" customHeight="1">
      <c r="A3214" s="2">
        <v>3212</v>
      </c>
      <c r="B3214" s="2" t="str">
        <f>"曾小玲"</f>
        <v>曾小玲</v>
      </c>
      <c r="C3214" s="2" t="s">
        <v>2918</v>
      </c>
      <c r="D3214" s="2" t="s">
        <v>2977</v>
      </c>
      <c r="E3214" s="3"/>
    </row>
    <row r="3215" spans="1:5" ht="24.75" customHeight="1">
      <c r="A3215" s="2">
        <v>3213</v>
      </c>
      <c r="B3215" s="2" t="str">
        <f>"林国海"</f>
        <v>林国海</v>
      </c>
      <c r="C3215" s="2" t="s">
        <v>2918</v>
      </c>
      <c r="D3215" s="2" t="s">
        <v>2978</v>
      </c>
      <c r="E3215" s="3"/>
    </row>
    <row r="3216" spans="1:5" ht="24.75" customHeight="1">
      <c r="A3216" s="2">
        <v>3214</v>
      </c>
      <c r="B3216" s="2" t="str">
        <f>"殷承辉"</f>
        <v>殷承辉</v>
      </c>
      <c r="C3216" s="2" t="s">
        <v>2918</v>
      </c>
      <c r="D3216" s="2" t="s">
        <v>2979</v>
      </c>
      <c r="E3216" s="3"/>
    </row>
    <row r="3217" spans="1:5" ht="24.75" customHeight="1">
      <c r="A3217" s="2">
        <v>3215</v>
      </c>
      <c r="B3217" s="2" t="str">
        <f>"陈彩彩"</f>
        <v>陈彩彩</v>
      </c>
      <c r="C3217" s="2" t="s">
        <v>2918</v>
      </c>
      <c r="D3217" s="2" t="s">
        <v>2750</v>
      </c>
      <c r="E3217" s="3"/>
    </row>
    <row r="3218" spans="1:5" ht="24.75" customHeight="1">
      <c r="A3218" s="2">
        <v>3216</v>
      </c>
      <c r="B3218" s="2" t="str">
        <f>"黎正兰"</f>
        <v>黎正兰</v>
      </c>
      <c r="C3218" s="2" t="s">
        <v>2918</v>
      </c>
      <c r="D3218" s="2" t="s">
        <v>2980</v>
      </c>
      <c r="E3218" s="3"/>
    </row>
    <row r="3219" spans="1:5" ht="24.75" customHeight="1">
      <c r="A3219" s="2">
        <v>3217</v>
      </c>
      <c r="B3219" s="2" t="str">
        <f>"谢润菁"</f>
        <v>谢润菁</v>
      </c>
      <c r="C3219" s="2" t="s">
        <v>2918</v>
      </c>
      <c r="D3219" s="2" t="s">
        <v>2981</v>
      </c>
      <c r="E3219" s="3"/>
    </row>
    <row r="3220" spans="1:5" ht="24.75" customHeight="1">
      <c r="A3220" s="2">
        <v>3218</v>
      </c>
      <c r="B3220" s="2" t="str">
        <f>"杨冲"</f>
        <v>杨冲</v>
      </c>
      <c r="C3220" s="2" t="s">
        <v>2918</v>
      </c>
      <c r="D3220" s="2" t="s">
        <v>2982</v>
      </c>
      <c r="E3220" s="3"/>
    </row>
    <row r="3221" spans="1:5" ht="24.75" customHeight="1">
      <c r="A3221" s="2">
        <v>3219</v>
      </c>
      <c r="B3221" s="2" t="str">
        <f>"唐萍"</f>
        <v>唐萍</v>
      </c>
      <c r="C3221" s="2" t="s">
        <v>2918</v>
      </c>
      <c r="D3221" s="2" t="s">
        <v>2983</v>
      </c>
      <c r="E3221" s="3"/>
    </row>
    <row r="3222" spans="1:5" ht="24.75" customHeight="1">
      <c r="A3222" s="2">
        <v>3220</v>
      </c>
      <c r="B3222" s="2" t="str">
        <f>"黎正婷"</f>
        <v>黎正婷</v>
      </c>
      <c r="C3222" s="2" t="s">
        <v>2918</v>
      </c>
      <c r="D3222" s="2" t="s">
        <v>2984</v>
      </c>
      <c r="E3222" s="3"/>
    </row>
    <row r="3223" spans="1:5" ht="24.75" customHeight="1">
      <c r="A3223" s="2">
        <v>3221</v>
      </c>
      <c r="B3223" s="2" t="str">
        <f>"文莉"</f>
        <v>文莉</v>
      </c>
      <c r="C3223" s="2" t="s">
        <v>2918</v>
      </c>
      <c r="D3223" s="2" t="s">
        <v>1480</v>
      </c>
      <c r="E3223" s="3"/>
    </row>
    <row r="3224" spans="1:5" ht="24.75" customHeight="1">
      <c r="A3224" s="2">
        <v>3222</v>
      </c>
      <c r="B3224" s="2" t="str">
        <f>"杜齐重"</f>
        <v>杜齐重</v>
      </c>
      <c r="C3224" s="2" t="s">
        <v>2918</v>
      </c>
      <c r="D3224" s="2" t="s">
        <v>2985</v>
      </c>
      <c r="E3224" s="3"/>
    </row>
    <row r="3225" spans="1:5" ht="24.75" customHeight="1">
      <c r="A3225" s="2">
        <v>3223</v>
      </c>
      <c r="B3225" s="2" t="str">
        <f>"周发锐"</f>
        <v>周发锐</v>
      </c>
      <c r="C3225" s="2" t="s">
        <v>2918</v>
      </c>
      <c r="D3225" s="2" t="s">
        <v>2986</v>
      </c>
      <c r="E3225" s="3"/>
    </row>
    <row r="3226" spans="1:5" ht="24.75" customHeight="1">
      <c r="A3226" s="2">
        <v>3224</v>
      </c>
      <c r="B3226" s="2" t="str">
        <f>"王海力"</f>
        <v>王海力</v>
      </c>
      <c r="C3226" s="2" t="s">
        <v>2918</v>
      </c>
      <c r="D3226" s="2" t="s">
        <v>2987</v>
      </c>
      <c r="E3226" s="3"/>
    </row>
    <row r="3227" spans="1:5" ht="24.75" customHeight="1">
      <c r="A3227" s="2">
        <v>3225</v>
      </c>
      <c r="B3227" s="2" t="str">
        <f>"罗岚"</f>
        <v>罗岚</v>
      </c>
      <c r="C3227" s="2" t="s">
        <v>2918</v>
      </c>
      <c r="D3227" s="2" t="s">
        <v>2988</v>
      </c>
      <c r="E3227" s="3"/>
    </row>
    <row r="3228" spans="1:5" ht="24.75" customHeight="1">
      <c r="A3228" s="2">
        <v>3226</v>
      </c>
      <c r="B3228" s="2" t="str">
        <f>"莫丽荣"</f>
        <v>莫丽荣</v>
      </c>
      <c r="C3228" s="2" t="s">
        <v>2918</v>
      </c>
      <c r="D3228" s="2" t="s">
        <v>2989</v>
      </c>
      <c r="E3228" s="3"/>
    </row>
    <row r="3229" spans="1:5" ht="24.75" customHeight="1">
      <c r="A3229" s="2">
        <v>3227</v>
      </c>
      <c r="B3229" s="2" t="str">
        <f>"王世妹"</f>
        <v>王世妹</v>
      </c>
      <c r="C3229" s="2" t="s">
        <v>2918</v>
      </c>
      <c r="D3229" s="2" t="s">
        <v>2990</v>
      </c>
      <c r="E3229" s="3"/>
    </row>
    <row r="3230" spans="1:5" ht="24.75" customHeight="1">
      <c r="A3230" s="2">
        <v>3228</v>
      </c>
      <c r="B3230" s="2" t="str">
        <f>"孙荣雾"</f>
        <v>孙荣雾</v>
      </c>
      <c r="C3230" s="2" t="s">
        <v>2918</v>
      </c>
      <c r="D3230" s="2" t="s">
        <v>2235</v>
      </c>
      <c r="E3230" s="3"/>
    </row>
    <row r="3231" spans="1:5" ht="24.75" customHeight="1">
      <c r="A3231" s="2">
        <v>3229</v>
      </c>
      <c r="B3231" s="2" t="str">
        <f>"黄发玲"</f>
        <v>黄发玲</v>
      </c>
      <c r="C3231" s="2" t="s">
        <v>2918</v>
      </c>
      <c r="D3231" s="2" t="s">
        <v>2991</v>
      </c>
      <c r="E3231" s="3"/>
    </row>
    <row r="3232" spans="1:5" ht="24.75" customHeight="1">
      <c r="A3232" s="2">
        <v>3230</v>
      </c>
      <c r="B3232" s="2" t="str">
        <f>"肖婉茜"</f>
        <v>肖婉茜</v>
      </c>
      <c r="C3232" s="2" t="s">
        <v>2918</v>
      </c>
      <c r="D3232" s="2" t="s">
        <v>2992</v>
      </c>
      <c r="E3232" s="3"/>
    </row>
    <row r="3233" spans="1:5" ht="24.75" customHeight="1">
      <c r="A3233" s="2">
        <v>3231</v>
      </c>
      <c r="B3233" s="2" t="str">
        <f>"侯德聪"</f>
        <v>侯德聪</v>
      </c>
      <c r="C3233" s="2" t="s">
        <v>2918</v>
      </c>
      <c r="D3233" s="2" t="s">
        <v>2993</v>
      </c>
      <c r="E3233" s="3"/>
    </row>
    <row r="3234" spans="1:5" ht="24.75" customHeight="1">
      <c r="A3234" s="2">
        <v>3232</v>
      </c>
      <c r="B3234" s="2" t="str">
        <f>"黄华"</f>
        <v>黄华</v>
      </c>
      <c r="C3234" s="2" t="s">
        <v>2918</v>
      </c>
      <c r="D3234" s="2" t="s">
        <v>2994</v>
      </c>
      <c r="E3234" s="3"/>
    </row>
    <row r="3235" spans="1:5" ht="24.75" customHeight="1">
      <c r="A3235" s="2">
        <v>3233</v>
      </c>
      <c r="B3235" s="2" t="str">
        <f>"杨杏"</f>
        <v>杨杏</v>
      </c>
      <c r="C3235" s="2" t="s">
        <v>2918</v>
      </c>
      <c r="D3235" s="2" t="s">
        <v>2995</v>
      </c>
      <c r="E3235" s="3"/>
    </row>
    <row r="3236" spans="1:5" ht="24.75" customHeight="1">
      <c r="A3236" s="2">
        <v>3234</v>
      </c>
      <c r="B3236" s="2" t="str">
        <f>"许宝尹"</f>
        <v>许宝尹</v>
      </c>
      <c r="C3236" s="2" t="s">
        <v>2918</v>
      </c>
      <c r="D3236" s="2" t="s">
        <v>2996</v>
      </c>
      <c r="E3236" s="3"/>
    </row>
    <row r="3237" spans="1:5" ht="24.75" customHeight="1">
      <c r="A3237" s="2">
        <v>3235</v>
      </c>
      <c r="B3237" s="2" t="str">
        <f>"符湘锦"</f>
        <v>符湘锦</v>
      </c>
      <c r="C3237" s="2" t="s">
        <v>2918</v>
      </c>
      <c r="D3237" s="2" t="s">
        <v>2997</v>
      </c>
      <c r="E3237" s="3"/>
    </row>
    <row r="3238" spans="1:5" ht="24.75" customHeight="1">
      <c r="A3238" s="2">
        <v>3236</v>
      </c>
      <c r="B3238" s="2" t="str">
        <f>"刘迪"</f>
        <v>刘迪</v>
      </c>
      <c r="C3238" s="2" t="s">
        <v>2918</v>
      </c>
      <c r="D3238" s="2" t="s">
        <v>2998</v>
      </c>
      <c r="E3238" s="3"/>
    </row>
    <row r="3239" spans="1:5" ht="24.75" customHeight="1">
      <c r="A3239" s="2">
        <v>3237</v>
      </c>
      <c r="B3239" s="2" t="str">
        <f>"廖殿才"</f>
        <v>廖殿才</v>
      </c>
      <c r="C3239" s="2" t="s">
        <v>2918</v>
      </c>
      <c r="D3239" s="2" t="s">
        <v>2999</v>
      </c>
      <c r="E3239" s="3"/>
    </row>
    <row r="3240" spans="1:5" ht="24.75" customHeight="1">
      <c r="A3240" s="2">
        <v>3238</v>
      </c>
      <c r="B3240" s="2" t="str">
        <f>"陈益胜"</f>
        <v>陈益胜</v>
      </c>
      <c r="C3240" s="2" t="s">
        <v>2918</v>
      </c>
      <c r="D3240" s="2" t="s">
        <v>3000</v>
      </c>
      <c r="E3240" s="3"/>
    </row>
    <row r="3241" spans="1:5" ht="24.75" customHeight="1">
      <c r="A3241" s="2">
        <v>3239</v>
      </c>
      <c r="B3241" s="2" t="str">
        <f>"黄明莉"</f>
        <v>黄明莉</v>
      </c>
      <c r="C3241" s="2" t="s">
        <v>2918</v>
      </c>
      <c r="D3241" s="2" t="s">
        <v>3001</v>
      </c>
      <c r="E3241" s="3"/>
    </row>
    <row r="3242" spans="1:5" ht="24.75" customHeight="1">
      <c r="A3242" s="2">
        <v>3240</v>
      </c>
      <c r="B3242" s="2" t="str">
        <f>"曾德升"</f>
        <v>曾德升</v>
      </c>
      <c r="C3242" s="2" t="s">
        <v>2918</v>
      </c>
      <c r="D3242" s="2" t="s">
        <v>3002</v>
      </c>
      <c r="E3242" s="3"/>
    </row>
    <row r="3243" spans="1:5" ht="24.75" customHeight="1">
      <c r="A3243" s="2">
        <v>3241</v>
      </c>
      <c r="B3243" s="2" t="str">
        <f>"王晓翎"</f>
        <v>王晓翎</v>
      </c>
      <c r="C3243" s="2" t="s">
        <v>2918</v>
      </c>
      <c r="D3243" s="2" t="s">
        <v>845</v>
      </c>
      <c r="E3243" s="3"/>
    </row>
    <row r="3244" spans="1:5" ht="24.75" customHeight="1">
      <c r="A3244" s="2">
        <v>3242</v>
      </c>
      <c r="B3244" s="2" t="str">
        <f>"李桂娟"</f>
        <v>李桂娟</v>
      </c>
      <c r="C3244" s="2" t="s">
        <v>2918</v>
      </c>
      <c r="D3244" s="2" t="s">
        <v>3003</v>
      </c>
      <c r="E3244" s="3"/>
    </row>
    <row r="3245" spans="1:5" ht="24.75" customHeight="1">
      <c r="A3245" s="2">
        <v>3243</v>
      </c>
      <c r="B3245" s="2" t="str">
        <f>"王媛"</f>
        <v>王媛</v>
      </c>
      <c r="C3245" s="2" t="s">
        <v>2918</v>
      </c>
      <c r="D3245" s="2" t="s">
        <v>2947</v>
      </c>
      <c r="E3245" s="3"/>
    </row>
    <row r="3246" spans="1:5" ht="24.75" customHeight="1">
      <c r="A3246" s="2">
        <v>3244</v>
      </c>
      <c r="B3246" s="2" t="str">
        <f>"徐菀领"</f>
        <v>徐菀领</v>
      </c>
      <c r="C3246" s="2" t="s">
        <v>2918</v>
      </c>
      <c r="D3246" s="2" t="s">
        <v>638</v>
      </c>
      <c r="E3246" s="3"/>
    </row>
    <row r="3247" spans="1:5" ht="24.75" customHeight="1">
      <c r="A3247" s="2">
        <v>3245</v>
      </c>
      <c r="B3247" s="2" t="str">
        <f>"林凡钰"</f>
        <v>林凡钰</v>
      </c>
      <c r="C3247" s="2" t="s">
        <v>2918</v>
      </c>
      <c r="D3247" s="2" t="s">
        <v>3004</v>
      </c>
      <c r="E3247" s="3"/>
    </row>
    <row r="3248" spans="1:5" ht="24.75" customHeight="1">
      <c r="A3248" s="2">
        <v>3246</v>
      </c>
      <c r="B3248" s="2" t="str">
        <f>"张会明"</f>
        <v>张会明</v>
      </c>
      <c r="C3248" s="2" t="s">
        <v>2918</v>
      </c>
      <c r="D3248" s="2" t="s">
        <v>3005</v>
      </c>
      <c r="E3248" s="3"/>
    </row>
    <row r="3249" spans="1:5" ht="24.75" customHeight="1">
      <c r="A3249" s="2">
        <v>3247</v>
      </c>
      <c r="B3249" s="2" t="str">
        <f>"陈珏葶"</f>
        <v>陈珏葶</v>
      </c>
      <c r="C3249" s="2" t="s">
        <v>2918</v>
      </c>
      <c r="D3249" s="2" t="s">
        <v>526</v>
      </c>
      <c r="E3249" s="3"/>
    </row>
    <row r="3250" spans="1:5" ht="24.75" customHeight="1">
      <c r="A3250" s="2">
        <v>3248</v>
      </c>
      <c r="B3250" s="2" t="str">
        <f>"叶高斌"</f>
        <v>叶高斌</v>
      </c>
      <c r="C3250" s="2" t="s">
        <v>2918</v>
      </c>
      <c r="D3250" s="2" t="s">
        <v>1327</v>
      </c>
      <c r="E3250" s="3"/>
    </row>
    <row r="3251" spans="1:5" ht="24.75" customHeight="1">
      <c r="A3251" s="2">
        <v>3249</v>
      </c>
      <c r="B3251" s="2" t="str">
        <f>"吴英伟"</f>
        <v>吴英伟</v>
      </c>
      <c r="C3251" s="2" t="s">
        <v>2918</v>
      </c>
      <c r="D3251" s="2" t="s">
        <v>3006</v>
      </c>
      <c r="E3251" s="3"/>
    </row>
    <row r="3252" spans="1:5" ht="24.75" customHeight="1">
      <c r="A3252" s="2">
        <v>3250</v>
      </c>
      <c r="B3252" s="2" t="str">
        <f>"陈玟博"</f>
        <v>陈玟博</v>
      </c>
      <c r="C3252" s="2" t="s">
        <v>2918</v>
      </c>
      <c r="D3252" s="2" t="s">
        <v>3007</v>
      </c>
      <c r="E3252" s="3"/>
    </row>
    <row r="3253" spans="1:5" ht="24.75" customHeight="1">
      <c r="A3253" s="2">
        <v>3251</v>
      </c>
      <c r="B3253" s="2" t="str">
        <f>"陈慧妮"</f>
        <v>陈慧妮</v>
      </c>
      <c r="C3253" s="2" t="s">
        <v>2918</v>
      </c>
      <c r="D3253" s="2" t="s">
        <v>1393</v>
      </c>
      <c r="E3253" s="3"/>
    </row>
    <row r="3254" spans="1:5" ht="24.75" customHeight="1">
      <c r="A3254" s="2">
        <v>3252</v>
      </c>
      <c r="B3254" s="2" t="str">
        <f>"叶长政"</f>
        <v>叶长政</v>
      </c>
      <c r="C3254" s="2" t="s">
        <v>2918</v>
      </c>
      <c r="D3254" s="2" t="s">
        <v>1032</v>
      </c>
      <c r="E3254" s="3"/>
    </row>
    <row r="3255" spans="1:5" ht="24.75" customHeight="1">
      <c r="A3255" s="2">
        <v>3253</v>
      </c>
      <c r="B3255" s="2" t="str">
        <f>"林贤"</f>
        <v>林贤</v>
      </c>
      <c r="C3255" s="2" t="s">
        <v>2918</v>
      </c>
      <c r="D3255" s="2" t="s">
        <v>3008</v>
      </c>
      <c r="E3255" s="3"/>
    </row>
    <row r="3256" spans="1:5" ht="24.75" customHeight="1">
      <c r="A3256" s="2">
        <v>3254</v>
      </c>
      <c r="B3256" s="2" t="str">
        <f>"吴永春"</f>
        <v>吴永春</v>
      </c>
      <c r="C3256" s="2" t="s">
        <v>2918</v>
      </c>
      <c r="D3256" s="2" t="s">
        <v>3009</v>
      </c>
      <c r="E3256" s="3"/>
    </row>
    <row r="3257" spans="1:5" ht="24.75" customHeight="1">
      <c r="A3257" s="2">
        <v>3255</v>
      </c>
      <c r="B3257" s="2" t="str">
        <f>"林前善"</f>
        <v>林前善</v>
      </c>
      <c r="C3257" s="2" t="s">
        <v>2918</v>
      </c>
      <c r="D3257" s="2" t="s">
        <v>3010</v>
      </c>
      <c r="E3257" s="3"/>
    </row>
    <row r="3258" spans="1:5" ht="24.75" customHeight="1">
      <c r="A3258" s="2">
        <v>3256</v>
      </c>
      <c r="B3258" s="2" t="str">
        <f>"廖洵"</f>
        <v>廖洵</v>
      </c>
      <c r="C3258" s="2" t="s">
        <v>2918</v>
      </c>
      <c r="D3258" s="2" t="s">
        <v>3011</v>
      </c>
      <c r="E3258" s="3"/>
    </row>
    <row r="3259" spans="1:5" ht="24.75" customHeight="1">
      <c r="A3259" s="2">
        <v>3257</v>
      </c>
      <c r="B3259" s="2" t="str">
        <f>"何静宜"</f>
        <v>何静宜</v>
      </c>
      <c r="C3259" s="2" t="s">
        <v>2918</v>
      </c>
      <c r="D3259" s="2" t="s">
        <v>3012</v>
      </c>
      <c r="E3259" s="3"/>
    </row>
    <row r="3260" spans="1:5" ht="24.75" customHeight="1">
      <c r="A3260" s="2">
        <v>3258</v>
      </c>
      <c r="B3260" s="2" t="str">
        <f>"欧平静"</f>
        <v>欧平静</v>
      </c>
      <c r="C3260" s="2" t="s">
        <v>2918</v>
      </c>
      <c r="D3260" s="2" t="s">
        <v>1018</v>
      </c>
      <c r="E3260" s="3"/>
    </row>
    <row r="3261" spans="1:5" ht="24.75" customHeight="1">
      <c r="A3261" s="2">
        <v>3259</v>
      </c>
      <c r="B3261" s="2" t="str">
        <f>"任国铭"</f>
        <v>任国铭</v>
      </c>
      <c r="C3261" s="2" t="s">
        <v>2918</v>
      </c>
      <c r="D3261" s="2" t="s">
        <v>3013</v>
      </c>
      <c r="E3261" s="3"/>
    </row>
    <row r="3262" spans="1:5" ht="24.75" customHeight="1">
      <c r="A3262" s="2">
        <v>3260</v>
      </c>
      <c r="B3262" s="2" t="str">
        <f>"王朝"</f>
        <v>王朝</v>
      </c>
      <c r="C3262" s="2" t="s">
        <v>2918</v>
      </c>
      <c r="D3262" s="2" t="s">
        <v>3014</v>
      </c>
      <c r="E3262" s="3"/>
    </row>
    <row r="3263" spans="1:5" ht="24.75" customHeight="1">
      <c r="A3263" s="2">
        <v>3261</v>
      </c>
      <c r="B3263" s="2" t="str">
        <f>"吴雅雯"</f>
        <v>吴雅雯</v>
      </c>
      <c r="C3263" s="2" t="s">
        <v>2918</v>
      </c>
      <c r="D3263" s="2" t="s">
        <v>2386</v>
      </c>
      <c r="E3263" s="3"/>
    </row>
    <row r="3264" spans="1:5" ht="24.75" customHeight="1">
      <c r="A3264" s="2">
        <v>3262</v>
      </c>
      <c r="B3264" s="2" t="str">
        <f>"秦昌哲"</f>
        <v>秦昌哲</v>
      </c>
      <c r="C3264" s="2" t="s">
        <v>2918</v>
      </c>
      <c r="D3264" s="2" t="s">
        <v>1032</v>
      </c>
      <c r="E3264" s="3"/>
    </row>
    <row r="3265" spans="1:5" ht="24.75" customHeight="1">
      <c r="A3265" s="2">
        <v>3263</v>
      </c>
      <c r="B3265" s="2" t="str">
        <f>"陈荣师"</f>
        <v>陈荣师</v>
      </c>
      <c r="C3265" s="2" t="s">
        <v>2918</v>
      </c>
      <c r="D3265" s="2" t="s">
        <v>1016</v>
      </c>
      <c r="E3265" s="3"/>
    </row>
    <row r="3266" spans="1:5" ht="24.75" customHeight="1">
      <c r="A3266" s="2">
        <v>3264</v>
      </c>
      <c r="B3266" s="2" t="str">
        <f>"罗莎"</f>
        <v>罗莎</v>
      </c>
      <c r="C3266" s="2" t="s">
        <v>2918</v>
      </c>
      <c r="D3266" s="2" t="s">
        <v>3015</v>
      </c>
      <c r="E3266" s="3"/>
    </row>
    <row r="3267" spans="1:5" ht="24.75" customHeight="1">
      <c r="A3267" s="2">
        <v>3265</v>
      </c>
      <c r="B3267" s="2" t="str">
        <f>"程琦"</f>
        <v>程琦</v>
      </c>
      <c r="C3267" s="2" t="s">
        <v>2918</v>
      </c>
      <c r="D3267" s="2" t="s">
        <v>3016</v>
      </c>
      <c r="E3267" s="3"/>
    </row>
    <row r="3268" spans="1:5" ht="24.75" customHeight="1">
      <c r="A3268" s="2">
        <v>3266</v>
      </c>
      <c r="B3268" s="2" t="str">
        <f>"朱梦洁"</f>
        <v>朱梦洁</v>
      </c>
      <c r="C3268" s="2" t="s">
        <v>2918</v>
      </c>
      <c r="D3268" s="2" t="s">
        <v>3017</v>
      </c>
      <c r="E3268" s="3"/>
    </row>
    <row r="3269" spans="1:5" ht="24.75" customHeight="1">
      <c r="A3269" s="2">
        <v>3267</v>
      </c>
      <c r="B3269" s="2" t="str">
        <f>"符火威"</f>
        <v>符火威</v>
      </c>
      <c r="C3269" s="2" t="s">
        <v>2918</v>
      </c>
      <c r="D3269" s="2" t="s">
        <v>3018</v>
      </c>
      <c r="E3269" s="3"/>
    </row>
    <row r="3270" spans="1:5" ht="24.75" customHeight="1">
      <c r="A3270" s="2">
        <v>3268</v>
      </c>
      <c r="B3270" s="2" t="str">
        <f>"邓宇"</f>
        <v>邓宇</v>
      </c>
      <c r="C3270" s="2" t="s">
        <v>2918</v>
      </c>
      <c r="D3270" s="2" t="s">
        <v>3019</v>
      </c>
      <c r="E3270" s="3"/>
    </row>
    <row r="3271" spans="1:5" ht="24.75" customHeight="1">
      <c r="A3271" s="2">
        <v>3269</v>
      </c>
      <c r="B3271" s="2" t="str">
        <f>"黄越月"</f>
        <v>黄越月</v>
      </c>
      <c r="C3271" s="2" t="s">
        <v>2918</v>
      </c>
      <c r="D3271" s="2" t="s">
        <v>3020</v>
      </c>
      <c r="E3271" s="3"/>
    </row>
    <row r="3272" spans="1:5" ht="24.75" customHeight="1">
      <c r="A3272" s="2">
        <v>3270</v>
      </c>
      <c r="B3272" s="2" t="str">
        <f>"吉雪凝"</f>
        <v>吉雪凝</v>
      </c>
      <c r="C3272" s="2" t="s">
        <v>2918</v>
      </c>
      <c r="D3272" s="2" t="s">
        <v>95</v>
      </c>
      <c r="E3272" s="3"/>
    </row>
    <row r="3273" spans="1:5" ht="24.75" customHeight="1">
      <c r="A3273" s="2">
        <v>3271</v>
      </c>
      <c r="B3273" s="2" t="str">
        <f>"吴可任"</f>
        <v>吴可任</v>
      </c>
      <c r="C3273" s="2" t="s">
        <v>2918</v>
      </c>
      <c r="D3273" s="2" t="s">
        <v>3021</v>
      </c>
      <c r="E3273" s="3"/>
    </row>
    <row r="3274" spans="1:5" ht="24.75" customHeight="1">
      <c r="A3274" s="2">
        <v>3272</v>
      </c>
      <c r="B3274" s="2" t="str">
        <f>"董朝咪"</f>
        <v>董朝咪</v>
      </c>
      <c r="C3274" s="2" t="s">
        <v>2918</v>
      </c>
      <c r="D3274" s="2" t="s">
        <v>3022</v>
      </c>
      <c r="E3274" s="3"/>
    </row>
    <row r="3275" spans="1:5" ht="24.75" customHeight="1">
      <c r="A3275" s="2">
        <v>3273</v>
      </c>
      <c r="B3275" s="2" t="str">
        <f>"徐辉宁"</f>
        <v>徐辉宁</v>
      </c>
      <c r="C3275" s="2" t="s">
        <v>2918</v>
      </c>
      <c r="D3275" s="2" t="s">
        <v>3023</v>
      </c>
      <c r="E3275" s="3"/>
    </row>
    <row r="3276" spans="1:5" ht="24.75" customHeight="1">
      <c r="A3276" s="2">
        <v>3274</v>
      </c>
      <c r="B3276" s="2" t="str">
        <f>"陈康漂"</f>
        <v>陈康漂</v>
      </c>
      <c r="C3276" s="2" t="s">
        <v>2918</v>
      </c>
      <c r="D3276" s="2" t="s">
        <v>3024</v>
      </c>
      <c r="E3276" s="3"/>
    </row>
    <row r="3277" spans="1:5" ht="24.75" customHeight="1">
      <c r="A3277" s="2">
        <v>3275</v>
      </c>
      <c r="B3277" s="2" t="str">
        <f>"杨韵榆"</f>
        <v>杨韵榆</v>
      </c>
      <c r="C3277" s="2" t="s">
        <v>2918</v>
      </c>
      <c r="D3277" s="2" t="s">
        <v>3025</v>
      </c>
      <c r="E3277" s="3"/>
    </row>
    <row r="3278" spans="1:5" ht="24.75" customHeight="1">
      <c r="A3278" s="2">
        <v>3276</v>
      </c>
      <c r="B3278" s="2" t="str">
        <f>"高假连"</f>
        <v>高假连</v>
      </c>
      <c r="C3278" s="2" t="s">
        <v>2918</v>
      </c>
      <c r="D3278" s="2" t="s">
        <v>3026</v>
      </c>
      <c r="E3278" s="3"/>
    </row>
    <row r="3279" spans="1:5" ht="24.75" customHeight="1">
      <c r="A3279" s="2">
        <v>3277</v>
      </c>
      <c r="B3279" s="2" t="str">
        <f>"王敏"</f>
        <v>王敏</v>
      </c>
      <c r="C3279" s="2" t="s">
        <v>2918</v>
      </c>
      <c r="D3279" s="2" t="s">
        <v>81</v>
      </c>
      <c r="E3279" s="3"/>
    </row>
    <row r="3280" spans="1:5" ht="24.75" customHeight="1">
      <c r="A3280" s="2">
        <v>3278</v>
      </c>
      <c r="B3280" s="2" t="str">
        <f>"蒙冠文"</f>
        <v>蒙冠文</v>
      </c>
      <c r="C3280" s="2" t="s">
        <v>2918</v>
      </c>
      <c r="D3280" s="2" t="s">
        <v>3027</v>
      </c>
      <c r="E3280" s="3"/>
    </row>
    <row r="3281" spans="1:5" ht="24.75" customHeight="1">
      <c r="A3281" s="2">
        <v>3279</v>
      </c>
      <c r="B3281" s="2" t="str">
        <f>"李晓萱"</f>
        <v>李晓萱</v>
      </c>
      <c r="C3281" s="2" t="s">
        <v>2918</v>
      </c>
      <c r="D3281" s="2" t="s">
        <v>3028</v>
      </c>
      <c r="E3281" s="3"/>
    </row>
    <row r="3282" spans="1:5" ht="24.75" customHeight="1">
      <c r="A3282" s="2">
        <v>3280</v>
      </c>
      <c r="B3282" s="2" t="str">
        <f>"王育高"</f>
        <v>王育高</v>
      </c>
      <c r="C3282" s="2" t="s">
        <v>2918</v>
      </c>
      <c r="D3282" s="2" t="s">
        <v>3029</v>
      </c>
      <c r="E3282" s="3"/>
    </row>
    <row r="3283" spans="1:5" ht="24.75" customHeight="1">
      <c r="A3283" s="2">
        <v>3281</v>
      </c>
      <c r="B3283" s="2" t="str">
        <f>"余燕"</f>
        <v>余燕</v>
      </c>
      <c r="C3283" s="2" t="s">
        <v>2918</v>
      </c>
      <c r="D3283" s="2" t="s">
        <v>3030</v>
      </c>
      <c r="E3283" s="3"/>
    </row>
    <row r="3284" spans="1:5" ht="24.75" customHeight="1">
      <c r="A3284" s="2">
        <v>3282</v>
      </c>
      <c r="B3284" s="2" t="str">
        <f>"王康扬"</f>
        <v>王康扬</v>
      </c>
      <c r="C3284" s="2" t="s">
        <v>2918</v>
      </c>
      <c r="D3284" s="2" t="s">
        <v>3031</v>
      </c>
      <c r="E3284" s="3"/>
    </row>
    <row r="3285" spans="1:5" ht="24.75" customHeight="1">
      <c r="A3285" s="2">
        <v>3283</v>
      </c>
      <c r="B3285" s="2" t="str">
        <f>"周铭"</f>
        <v>周铭</v>
      </c>
      <c r="C3285" s="2" t="s">
        <v>2918</v>
      </c>
      <c r="D3285" s="2" t="s">
        <v>3032</v>
      </c>
      <c r="E3285" s="3"/>
    </row>
    <row r="3286" spans="1:5" ht="24.75" customHeight="1">
      <c r="A3286" s="2">
        <v>3284</v>
      </c>
      <c r="B3286" s="2" t="str">
        <f>"周洁"</f>
        <v>周洁</v>
      </c>
      <c r="C3286" s="2" t="s">
        <v>2918</v>
      </c>
      <c r="D3286" s="2" t="s">
        <v>772</v>
      </c>
      <c r="E3286" s="3"/>
    </row>
    <row r="3287" spans="1:5" ht="24.75" customHeight="1">
      <c r="A3287" s="2">
        <v>3285</v>
      </c>
      <c r="B3287" s="2" t="str">
        <f>"郑元寅"</f>
        <v>郑元寅</v>
      </c>
      <c r="C3287" s="2" t="s">
        <v>2918</v>
      </c>
      <c r="D3287" s="2" t="s">
        <v>2949</v>
      </c>
      <c r="E3287" s="3"/>
    </row>
    <row r="3288" spans="1:5" ht="24.75" customHeight="1">
      <c r="A3288" s="2">
        <v>3286</v>
      </c>
      <c r="B3288" s="2" t="str">
        <f>"邢增智"</f>
        <v>邢增智</v>
      </c>
      <c r="C3288" s="2" t="s">
        <v>3033</v>
      </c>
      <c r="D3288" s="2" t="s">
        <v>3034</v>
      </c>
      <c r="E3288" s="3"/>
    </row>
    <row r="3289" spans="1:5" ht="24.75" customHeight="1">
      <c r="A3289" s="2">
        <v>3287</v>
      </c>
      <c r="B3289" s="2" t="str">
        <f>"李忠浪"</f>
        <v>李忠浪</v>
      </c>
      <c r="C3289" s="2" t="s">
        <v>3033</v>
      </c>
      <c r="D3289" s="2" t="s">
        <v>3035</v>
      </c>
      <c r="E3289" s="3"/>
    </row>
    <row r="3290" spans="1:5" ht="24.75" customHeight="1">
      <c r="A3290" s="2">
        <v>3288</v>
      </c>
      <c r="B3290" s="2" t="str">
        <f>"陈硕"</f>
        <v>陈硕</v>
      </c>
      <c r="C3290" s="2" t="s">
        <v>3033</v>
      </c>
      <c r="D3290" s="2" t="s">
        <v>1429</v>
      </c>
      <c r="E3290" s="3"/>
    </row>
    <row r="3291" spans="1:5" ht="24.75" customHeight="1">
      <c r="A3291" s="2">
        <v>3289</v>
      </c>
      <c r="B3291" s="2" t="str">
        <f>"黎惠娴"</f>
        <v>黎惠娴</v>
      </c>
      <c r="C3291" s="2" t="s">
        <v>3033</v>
      </c>
      <c r="D3291" s="2" t="s">
        <v>2898</v>
      </c>
      <c r="E3291" s="3"/>
    </row>
    <row r="3292" spans="1:5" ht="24.75" customHeight="1">
      <c r="A3292" s="2">
        <v>3290</v>
      </c>
      <c r="B3292" s="2" t="str">
        <f>"汪蒙"</f>
        <v>汪蒙</v>
      </c>
      <c r="C3292" s="2" t="s">
        <v>3033</v>
      </c>
      <c r="D3292" s="2" t="s">
        <v>3036</v>
      </c>
      <c r="E3292" s="3"/>
    </row>
    <row r="3293" spans="1:5" ht="24.75" customHeight="1">
      <c r="A3293" s="2">
        <v>3291</v>
      </c>
      <c r="B3293" s="2" t="str">
        <f>"李畅利"</f>
        <v>李畅利</v>
      </c>
      <c r="C3293" s="2" t="s">
        <v>3033</v>
      </c>
      <c r="D3293" s="2" t="s">
        <v>3037</v>
      </c>
      <c r="E3293" s="3"/>
    </row>
    <row r="3294" spans="1:5" ht="24.75" customHeight="1">
      <c r="A3294" s="2">
        <v>3292</v>
      </c>
      <c r="B3294" s="2" t="str">
        <f>"王上前"</f>
        <v>王上前</v>
      </c>
      <c r="C3294" s="2" t="s">
        <v>3033</v>
      </c>
      <c r="D3294" s="2" t="s">
        <v>3038</v>
      </c>
      <c r="E3294" s="3"/>
    </row>
    <row r="3295" spans="1:5" ht="24.75" customHeight="1">
      <c r="A3295" s="2">
        <v>3293</v>
      </c>
      <c r="B3295" s="2" t="str">
        <f>"王大彬"</f>
        <v>王大彬</v>
      </c>
      <c r="C3295" s="2" t="s">
        <v>3033</v>
      </c>
      <c r="D3295" s="2" t="s">
        <v>3039</v>
      </c>
      <c r="E3295" s="3"/>
    </row>
    <row r="3296" spans="1:5" ht="24.75" customHeight="1">
      <c r="A3296" s="2">
        <v>3294</v>
      </c>
      <c r="B3296" s="2" t="str">
        <f>"许弘姐"</f>
        <v>许弘姐</v>
      </c>
      <c r="C3296" s="2" t="s">
        <v>3033</v>
      </c>
      <c r="D3296" s="2" t="s">
        <v>3040</v>
      </c>
      <c r="E3296" s="3"/>
    </row>
    <row r="3297" spans="1:5" ht="24.75" customHeight="1">
      <c r="A3297" s="2">
        <v>3295</v>
      </c>
      <c r="B3297" s="2" t="str">
        <f>"符华泽"</f>
        <v>符华泽</v>
      </c>
      <c r="C3297" s="2" t="s">
        <v>3033</v>
      </c>
      <c r="D3297" s="2" t="s">
        <v>3041</v>
      </c>
      <c r="E3297" s="3"/>
    </row>
    <row r="3298" spans="1:5" ht="24.75" customHeight="1">
      <c r="A3298" s="2">
        <v>3296</v>
      </c>
      <c r="B3298" s="2" t="str">
        <f>"韩晶晶"</f>
        <v>韩晶晶</v>
      </c>
      <c r="C3298" s="2" t="s">
        <v>3033</v>
      </c>
      <c r="D3298" s="2" t="s">
        <v>3042</v>
      </c>
      <c r="E3298" s="3"/>
    </row>
    <row r="3299" spans="1:5" ht="24.75" customHeight="1">
      <c r="A3299" s="2">
        <v>3297</v>
      </c>
      <c r="B3299" s="2" t="str">
        <f>"洪起迈"</f>
        <v>洪起迈</v>
      </c>
      <c r="C3299" s="2" t="s">
        <v>3033</v>
      </c>
      <c r="D3299" s="2" t="s">
        <v>1670</v>
      </c>
      <c r="E3299" s="3"/>
    </row>
    <row r="3300" spans="1:5" ht="24.75" customHeight="1">
      <c r="A3300" s="2">
        <v>3298</v>
      </c>
      <c r="B3300" s="2" t="str">
        <f>"钟金玲"</f>
        <v>钟金玲</v>
      </c>
      <c r="C3300" s="2" t="s">
        <v>3033</v>
      </c>
      <c r="D3300" s="2" t="s">
        <v>359</v>
      </c>
      <c r="E3300" s="3"/>
    </row>
    <row r="3301" spans="1:5" ht="24.75" customHeight="1">
      <c r="A3301" s="2">
        <v>3299</v>
      </c>
      <c r="B3301" s="2" t="str">
        <f>"齐奇"</f>
        <v>齐奇</v>
      </c>
      <c r="C3301" s="2" t="s">
        <v>3033</v>
      </c>
      <c r="D3301" s="2" t="s">
        <v>3043</v>
      </c>
      <c r="E3301" s="3"/>
    </row>
    <row r="3302" spans="1:5" ht="24.75" customHeight="1">
      <c r="A3302" s="2">
        <v>3300</v>
      </c>
      <c r="B3302" s="2" t="str">
        <f>"温良玉"</f>
        <v>温良玉</v>
      </c>
      <c r="C3302" s="2" t="s">
        <v>3033</v>
      </c>
      <c r="D3302" s="2" t="s">
        <v>3025</v>
      </c>
      <c r="E3302" s="3"/>
    </row>
    <row r="3303" spans="1:5" ht="24.75" customHeight="1">
      <c r="A3303" s="2">
        <v>3301</v>
      </c>
      <c r="B3303" s="2" t="str">
        <f>"王长锋"</f>
        <v>王长锋</v>
      </c>
      <c r="C3303" s="2" t="s">
        <v>3033</v>
      </c>
      <c r="D3303" s="2" t="s">
        <v>113</v>
      </c>
      <c r="E3303" s="3"/>
    </row>
    <row r="3304" spans="1:5" ht="24.75" customHeight="1">
      <c r="A3304" s="2">
        <v>3302</v>
      </c>
      <c r="B3304" s="2" t="str">
        <f>"何俊道"</f>
        <v>何俊道</v>
      </c>
      <c r="C3304" s="2" t="s">
        <v>3033</v>
      </c>
      <c r="D3304" s="2" t="s">
        <v>3044</v>
      </c>
      <c r="E3304" s="3"/>
    </row>
    <row r="3305" spans="1:5" ht="24.75" customHeight="1">
      <c r="A3305" s="2">
        <v>3303</v>
      </c>
      <c r="B3305" s="2" t="str">
        <f>"陈金雁"</f>
        <v>陈金雁</v>
      </c>
      <c r="C3305" s="2" t="s">
        <v>3033</v>
      </c>
      <c r="D3305" s="2" t="s">
        <v>3045</v>
      </c>
      <c r="E3305" s="3"/>
    </row>
    <row r="3306" spans="1:5" ht="24.75" customHeight="1">
      <c r="A3306" s="2">
        <v>3304</v>
      </c>
      <c r="B3306" s="2" t="str">
        <f>"陈彰俊"</f>
        <v>陈彰俊</v>
      </c>
      <c r="C3306" s="2" t="s">
        <v>3033</v>
      </c>
      <c r="D3306" s="2" t="s">
        <v>2910</v>
      </c>
      <c r="E3306" s="3"/>
    </row>
    <row r="3307" spans="1:5" ht="24.75" customHeight="1">
      <c r="A3307" s="2">
        <v>3305</v>
      </c>
      <c r="B3307" s="2" t="str">
        <f>"黄辉"</f>
        <v>黄辉</v>
      </c>
      <c r="C3307" s="2" t="s">
        <v>3033</v>
      </c>
      <c r="D3307" s="2" t="s">
        <v>3046</v>
      </c>
      <c r="E3307" s="3"/>
    </row>
    <row r="3308" spans="1:5" ht="24.75" customHeight="1">
      <c r="A3308" s="2">
        <v>3306</v>
      </c>
      <c r="B3308" s="2" t="str">
        <f>"郑民豪"</f>
        <v>郑民豪</v>
      </c>
      <c r="C3308" s="2" t="s">
        <v>3033</v>
      </c>
      <c r="D3308" s="2" t="s">
        <v>3047</v>
      </c>
      <c r="E3308" s="3"/>
    </row>
    <row r="3309" spans="1:5" ht="24.75" customHeight="1">
      <c r="A3309" s="2">
        <v>3307</v>
      </c>
      <c r="B3309" s="2" t="str">
        <f>"周忠喜"</f>
        <v>周忠喜</v>
      </c>
      <c r="C3309" s="2" t="s">
        <v>3033</v>
      </c>
      <c r="D3309" s="2" t="s">
        <v>3048</v>
      </c>
      <c r="E3309" s="3"/>
    </row>
    <row r="3310" spans="1:5" ht="24.75" customHeight="1">
      <c r="A3310" s="2">
        <v>3308</v>
      </c>
      <c r="B3310" s="2" t="str">
        <f>"李燕红"</f>
        <v>李燕红</v>
      </c>
      <c r="C3310" s="2" t="s">
        <v>3033</v>
      </c>
      <c r="D3310" s="2" t="s">
        <v>459</v>
      </c>
      <c r="E3310" s="3"/>
    </row>
    <row r="3311" spans="1:5" ht="24.75" customHeight="1">
      <c r="A3311" s="2">
        <v>3309</v>
      </c>
      <c r="B3311" s="2" t="str">
        <f>"李怡妙"</f>
        <v>李怡妙</v>
      </c>
      <c r="C3311" s="2" t="s">
        <v>3033</v>
      </c>
      <c r="D3311" s="2" t="s">
        <v>3049</v>
      </c>
      <c r="E3311" s="3"/>
    </row>
    <row r="3312" spans="1:5" ht="24.75" customHeight="1">
      <c r="A3312" s="2">
        <v>3310</v>
      </c>
      <c r="B3312" s="2" t="str">
        <f>"朱深祥"</f>
        <v>朱深祥</v>
      </c>
      <c r="C3312" s="2" t="s">
        <v>3033</v>
      </c>
      <c r="D3312" s="2" t="s">
        <v>1091</v>
      </c>
      <c r="E3312" s="3"/>
    </row>
    <row r="3313" spans="1:5" ht="24.75" customHeight="1">
      <c r="A3313" s="2">
        <v>3311</v>
      </c>
      <c r="B3313" s="2" t="str">
        <f>"刘翱宇"</f>
        <v>刘翱宇</v>
      </c>
      <c r="C3313" s="2" t="s">
        <v>3033</v>
      </c>
      <c r="D3313" s="2" t="s">
        <v>3050</v>
      </c>
      <c r="E3313" s="3"/>
    </row>
    <row r="3314" spans="1:5" ht="24.75" customHeight="1">
      <c r="A3314" s="2">
        <v>3312</v>
      </c>
      <c r="B3314" s="2" t="str">
        <f>"钟鸿"</f>
        <v>钟鸿</v>
      </c>
      <c r="C3314" s="2" t="s">
        <v>3033</v>
      </c>
      <c r="D3314" s="2" t="s">
        <v>3051</v>
      </c>
      <c r="E3314" s="3"/>
    </row>
    <row r="3315" spans="1:5" ht="24.75" customHeight="1">
      <c r="A3315" s="2">
        <v>3313</v>
      </c>
      <c r="B3315" s="2" t="str">
        <f>"邓小梅"</f>
        <v>邓小梅</v>
      </c>
      <c r="C3315" s="2" t="s">
        <v>3033</v>
      </c>
      <c r="D3315" s="2" t="s">
        <v>3052</v>
      </c>
      <c r="E3315" s="3"/>
    </row>
    <row r="3316" spans="1:5" ht="24.75" customHeight="1">
      <c r="A3316" s="2">
        <v>3314</v>
      </c>
      <c r="B3316" s="2" t="str">
        <f>"林友芳"</f>
        <v>林友芳</v>
      </c>
      <c r="C3316" s="2" t="s">
        <v>3033</v>
      </c>
      <c r="D3316" s="2" t="s">
        <v>3053</v>
      </c>
      <c r="E3316" s="3"/>
    </row>
    <row r="3317" spans="1:5" ht="24.75" customHeight="1">
      <c r="A3317" s="2">
        <v>3315</v>
      </c>
      <c r="B3317" s="2" t="str">
        <f>"王善如"</f>
        <v>王善如</v>
      </c>
      <c r="C3317" s="2" t="s">
        <v>3033</v>
      </c>
      <c r="D3317" s="2" t="s">
        <v>3054</v>
      </c>
      <c r="E3317" s="3"/>
    </row>
    <row r="3318" spans="1:5" ht="24.75" customHeight="1">
      <c r="A3318" s="2">
        <v>3316</v>
      </c>
      <c r="B3318" s="2" t="str">
        <f>"严显伟"</f>
        <v>严显伟</v>
      </c>
      <c r="C3318" s="2" t="s">
        <v>3033</v>
      </c>
      <c r="D3318" s="2" t="s">
        <v>3055</v>
      </c>
      <c r="E3318" s="3"/>
    </row>
    <row r="3319" spans="1:5" ht="24.75" customHeight="1">
      <c r="A3319" s="2">
        <v>3317</v>
      </c>
      <c r="B3319" s="2" t="str">
        <f>"翁贤虎"</f>
        <v>翁贤虎</v>
      </c>
      <c r="C3319" s="2" t="s">
        <v>3033</v>
      </c>
      <c r="D3319" s="2" t="s">
        <v>2593</v>
      </c>
      <c r="E3319" s="3"/>
    </row>
    <row r="3320" spans="1:5" ht="24.75" customHeight="1">
      <c r="A3320" s="2">
        <v>3318</v>
      </c>
      <c r="B3320" s="2" t="str">
        <f>"吴清忠"</f>
        <v>吴清忠</v>
      </c>
      <c r="C3320" s="2" t="s">
        <v>3033</v>
      </c>
      <c r="D3320" s="2" t="s">
        <v>3056</v>
      </c>
      <c r="E3320" s="3"/>
    </row>
    <row r="3321" spans="1:5" ht="24.75" customHeight="1">
      <c r="A3321" s="2">
        <v>3319</v>
      </c>
      <c r="B3321" s="2" t="str">
        <f>"唐凤芸"</f>
        <v>唐凤芸</v>
      </c>
      <c r="C3321" s="2" t="s">
        <v>3033</v>
      </c>
      <c r="D3321" s="2" t="s">
        <v>3057</v>
      </c>
      <c r="E3321" s="3"/>
    </row>
    <row r="3322" spans="1:5" ht="24.75" customHeight="1">
      <c r="A3322" s="2">
        <v>3320</v>
      </c>
      <c r="B3322" s="2" t="str">
        <f>"潘诚"</f>
        <v>潘诚</v>
      </c>
      <c r="C3322" s="2" t="s">
        <v>3033</v>
      </c>
      <c r="D3322" s="2" t="s">
        <v>3058</v>
      </c>
      <c r="E3322" s="3"/>
    </row>
    <row r="3323" spans="1:5" ht="24.75" customHeight="1">
      <c r="A3323" s="2">
        <v>3321</v>
      </c>
      <c r="B3323" s="2" t="str">
        <f>"郑永箕"</f>
        <v>郑永箕</v>
      </c>
      <c r="C3323" s="2" t="s">
        <v>3033</v>
      </c>
      <c r="D3323" s="2" t="s">
        <v>1573</v>
      </c>
      <c r="E3323" s="3"/>
    </row>
    <row r="3324" spans="1:5" ht="24.75" customHeight="1">
      <c r="A3324" s="2">
        <v>3322</v>
      </c>
      <c r="B3324" s="2" t="str">
        <f>"陈盈"</f>
        <v>陈盈</v>
      </c>
      <c r="C3324" s="2" t="s">
        <v>3033</v>
      </c>
      <c r="D3324" s="2" t="s">
        <v>3059</v>
      </c>
      <c r="E3324" s="3"/>
    </row>
    <row r="3325" spans="1:5" ht="24.75" customHeight="1">
      <c r="A3325" s="2">
        <v>3323</v>
      </c>
      <c r="B3325" s="2" t="str">
        <f>"黄良榜"</f>
        <v>黄良榜</v>
      </c>
      <c r="C3325" s="2" t="s">
        <v>3033</v>
      </c>
      <c r="D3325" s="2" t="s">
        <v>92</v>
      </c>
      <c r="E3325" s="3"/>
    </row>
    <row r="3326" spans="1:5" ht="24.75" customHeight="1">
      <c r="A3326" s="2">
        <v>3324</v>
      </c>
      <c r="B3326" s="2" t="str">
        <f>"廖业胜"</f>
        <v>廖业胜</v>
      </c>
      <c r="C3326" s="2" t="s">
        <v>3033</v>
      </c>
      <c r="D3326" s="2" t="s">
        <v>3060</v>
      </c>
      <c r="E3326" s="3"/>
    </row>
    <row r="3327" spans="1:5" ht="24.75" customHeight="1">
      <c r="A3327" s="2">
        <v>3325</v>
      </c>
      <c r="B3327" s="2" t="str">
        <f>"何春慧"</f>
        <v>何春慧</v>
      </c>
      <c r="C3327" s="2" t="s">
        <v>3033</v>
      </c>
      <c r="D3327" s="2" t="s">
        <v>635</v>
      </c>
      <c r="E3327" s="3"/>
    </row>
    <row r="3328" spans="1:5" ht="24.75" customHeight="1">
      <c r="A3328" s="2">
        <v>3326</v>
      </c>
      <c r="B3328" s="2" t="str">
        <f>"谢一玮"</f>
        <v>谢一玮</v>
      </c>
      <c r="C3328" s="2" t="s">
        <v>3033</v>
      </c>
      <c r="D3328" s="2" t="s">
        <v>3061</v>
      </c>
      <c r="E3328" s="3"/>
    </row>
    <row r="3329" spans="1:5" ht="24.75" customHeight="1">
      <c r="A3329" s="2">
        <v>3327</v>
      </c>
      <c r="B3329" s="2" t="str">
        <f>"王艳"</f>
        <v>王艳</v>
      </c>
      <c r="C3329" s="2" t="s">
        <v>3033</v>
      </c>
      <c r="D3329" s="2" t="s">
        <v>3062</v>
      </c>
      <c r="E3329" s="3"/>
    </row>
    <row r="3330" spans="1:5" ht="24.75" customHeight="1">
      <c r="A3330" s="2">
        <v>3328</v>
      </c>
      <c r="B3330" s="2" t="str">
        <f>"张孟江"</f>
        <v>张孟江</v>
      </c>
      <c r="C3330" s="2" t="s">
        <v>3033</v>
      </c>
      <c r="D3330" s="2" t="s">
        <v>3063</v>
      </c>
      <c r="E3330" s="3"/>
    </row>
    <row r="3331" spans="1:5" ht="24.75" customHeight="1">
      <c r="A3331" s="2">
        <v>3329</v>
      </c>
      <c r="B3331" s="2" t="str">
        <f>"羊二桃"</f>
        <v>羊二桃</v>
      </c>
      <c r="C3331" s="2" t="s">
        <v>3033</v>
      </c>
      <c r="D3331" s="2" t="s">
        <v>3064</v>
      </c>
      <c r="E3331" s="3"/>
    </row>
    <row r="3332" spans="1:5" ht="24.75" customHeight="1">
      <c r="A3332" s="2">
        <v>3330</v>
      </c>
      <c r="B3332" s="2" t="str">
        <f>"陈利琳"</f>
        <v>陈利琳</v>
      </c>
      <c r="C3332" s="2" t="s">
        <v>3033</v>
      </c>
      <c r="D3332" s="2" t="s">
        <v>3065</v>
      </c>
      <c r="E3332" s="3"/>
    </row>
    <row r="3333" spans="1:5" ht="24.75" customHeight="1">
      <c r="A3333" s="2">
        <v>3331</v>
      </c>
      <c r="B3333" s="2" t="str">
        <f>"曾德桥"</f>
        <v>曾德桥</v>
      </c>
      <c r="C3333" s="2" t="s">
        <v>3033</v>
      </c>
      <c r="D3333" s="2" t="s">
        <v>3066</v>
      </c>
      <c r="E3333" s="3"/>
    </row>
    <row r="3334" spans="1:5" ht="24.75" customHeight="1">
      <c r="A3334" s="2">
        <v>3332</v>
      </c>
      <c r="B3334" s="2" t="str">
        <f>"张凯"</f>
        <v>张凯</v>
      </c>
      <c r="C3334" s="2" t="s">
        <v>3033</v>
      </c>
      <c r="D3334" s="2" t="s">
        <v>3067</v>
      </c>
      <c r="E3334" s="3"/>
    </row>
    <row r="3335" spans="1:5" ht="24.75" customHeight="1">
      <c r="A3335" s="2">
        <v>3333</v>
      </c>
      <c r="B3335" s="2" t="str">
        <f>"黄楠棣"</f>
        <v>黄楠棣</v>
      </c>
      <c r="C3335" s="2" t="s">
        <v>3033</v>
      </c>
      <c r="D3335" s="2" t="s">
        <v>3068</v>
      </c>
      <c r="E3335" s="3"/>
    </row>
    <row r="3336" spans="1:5" ht="24.75" customHeight="1">
      <c r="A3336" s="2">
        <v>3334</v>
      </c>
      <c r="B3336" s="2" t="str">
        <f>"康霞"</f>
        <v>康霞</v>
      </c>
      <c r="C3336" s="2" t="s">
        <v>3033</v>
      </c>
      <c r="D3336" s="2" t="s">
        <v>3069</v>
      </c>
      <c r="E3336" s="3"/>
    </row>
    <row r="3337" spans="1:5" ht="24.75" customHeight="1">
      <c r="A3337" s="2">
        <v>3335</v>
      </c>
      <c r="B3337" s="2" t="str">
        <f>"邢增慧"</f>
        <v>邢增慧</v>
      </c>
      <c r="C3337" s="2" t="s">
        <v>3070</v>
      </c>
      <c r="D3337" s="2" t="s">
        <v>3028</v>
      </c>
      <c r="E3337" s="3"/>
    </row>
    <row r="3338" spans="1:5" ht="24.75" customHeight="1">
      <c r="A3338" s="2">
        <v>3336</v>
      </c>
      <c r="B3338" s="2" t="str">
        <f>"陈文挚"</f>
        <v>陈文挚</v>
      </c>
      <c r="C3338" s="2" t="s">
        <v>3070</v>
      </c>
      <c r="D3338" s="2" t="s">
        <v>3071</v>
      </c>
      <c r="E3338" s="3"/>
    </row>
    <row r="3339" spans="1:5" ht="24.75" customHeight="1">
      <c r="A3339" s="2">
        <v>3337</v>
      </c>
      <c r="B3339" s="2" t="str">
        <f>"刘子珊"</f>
        <v>刘子珊</v>
      </c>
      <c r="C3339" s="2" t="s">
        <v>3070</v>
      </c>
      <c r="D3339" s="2" t="s">
        <v>3072</v>
      </c>
      <c r="E3339" s="3"/>
    </row>
    <row r="3340" spans="1:5" ht="24.75" customHeight="1">
      <c r="A3340" s="2">
        <v>3338</v>
      </c>
      <c r="B3340" s="2" t="str">
        <f>"文凤环"</f>
        <v>文凤环</v>
      </c>
      <c r="C3340" s="2" t="s">
        <v>3070</v>
      </c>
      <c r="D3340" s="2" t="s">
        <v>3073</v>
      </c>
      <c r="E3340" s="3"/>
    </row>
    <row r="3341" spans="1:5" ht="24.75" customHeight="1">
      <c r="A3341" s="2">
        <v>3339</v>
      </c>
      <c r="B3341" s="2" t="str">
        <f>"刘松"</f>
        <v>刘松</v>
      </c>
      <c r="C3341" s="2" t="s">
        <v>3070</v>
      </c>
      <c r="D3341" s="2" t="s">
        <v>3074</v>
      </c>
      <c r="E3341" s="3"/>
    </row>
    <row r="3342" spans="1:5" ht="24.75" customHeight="1">
      <c r="A3342" s="2">
        <v>3340</v>
      </c>
      <c r="B3342" s="2" t="str">
        <f>"罗捷"</f>
        <v>罗捷</v>
      </c>
      <c r="C3342" s="2" t="s">
        <v>3070</v>
      </c>
      <c r="D3342" s="2" t="s">
        <v>3075</v>
      </c>
      <c r="E3342" s="3"/>
    </row>
    <row r="3343" spans="1:5" ht="24.75" customHeight="1">
      <c r="A3343" s="2">
        <v>3341</v>
      </c>
      <c r="B3343" s="2" t="str">
        <f>"王艺霞"</f>
        <v>王艺霞</v>
      </c>
      <c r="C3343" s="2" t="s">
        <v>3070</v>
      </c>
      <c r="D3343" s="2" t="s">
        <v>3076</v>
      </c>
      <c r="E3343" s="3"/>
    </row>
    <row r="3344" spans="1:5" ht="24.75" customHeight="1">
      <c r="A3344" s="2">
        <v>3342</v>
      </c>
      <c r="B3344" s="2" t="str">
        <f>"陈炳森"</f>
        <v>陈炳森</v>
      </c>
      <c r="C3344" s="2" t="s">
        <v>3070</v>
      </c>
      <c r="D3344" s="2" t="s">
        <v>2675</v>
      </c>
      <c r="E3344" s="3"/>
    </row>
    <row r="3345" spans="1:5" ht="24.75" customHeight="1">
      <c r="A3345" s="2">
        <v>3343</v>
      </c>
      <c r="B3345" s="2" t="str">
        <f>"罗昌仁"</f>
        <v>罗昌仁</v>
      </c>
      <c r="C3345" s="2" t="s">
        <v>3070</v>
      </c>
      <c r="D3345" s="2" t="s">
        <v>3077</v>
      </c>
      <c r="E3345" s="3"/>
    </row>
    <row r="3346" spans="1:5" ht="24.75" customHeight="1">
      <c r="A3346" s="2">
        <v>3344</v>
      </c>
      <c r="B3346" s="2" t="str">
        <f>"吴丕碧"</f>
        <v>吴丕碧</v>
      </c>
      <c r="C3346" s="2" t="s">
        <v>3070</v>
      </c>
      <c r="D3346" s="2" t="s">
        <v>2245</v>
      </c>
      <c r="E3346" s="3"/>
    </row>
    <row r="3347" spans="1:5" ht="24.75" customHeight="1">
      <c r="A3347" s="2">
        <v>3345</v>
      </c>
      <c r="B3347" s="2" t="str">
        <f>"王启松"</f>
        <v>王启松</v>
      </c>
      <c r="C3347" s="2" t="s">
        <v>3070</v>
      </c>
      <c r="D3347" s="2" t="s">
        <v>753</v>
      </c>
      <c r="E3347" s="3"/>
    </row>
    <row r="3348" spans="1:5" ht="24.75" customHeight="1">
      <c r="A3348" s="2">
        <v>3346</v>
      </c>
      <c r="B3348" s="2" t="str">
        <f>"邱垂霖"</f>
        <v>邱垂霖</v>
      </c>
      <c r="C3348" s="2" t="s">
        <v>3070</v>
      </c>
      <c r="D3348" s="2" t="s">
        <v>3078</v>
      </c>
      <c r="E3348" s="3"/>
    </row>
    <row r="3349" spans="1:5" ht="24.75" customHeight="1">
      <c r="A3349" s="2">
        <v>3347</v>
      </c>
      <c r="B3349" s="2" t="str">
        <f>"李道弟"</f>
        <v>李道弟</v>
      </c>
      <c r="C3349" s="2" t="s">
        <v>3070</v>
      </c>
      <c r="D3349" s="2" t="s">
        <v>3079</v>
      </c>
      <c r="E3349" s="3"/>
    </row>
    <row r="3350" spans="1:5" ht="24.75" customHeight="1">
      <c r="A3350" s="2">
        <v>3348</v>
      </c>
      <c r="B3350" s="2" t="str">
        <f>"李选军"</f>
        <v>李选军</v>
      </c>
      <c r="C3350" s="2" t="s">
        <v>3070</v>
      </c>
      <c r="D3350" s="2" t="s">
        <v>1585</v>
      </c>
      <c r="E3350" s="3"/>
    </row>
    <row r="3351" spans="1:5" ht="24.75" customHeight="1">
      <c r="A3351" s="2">
        <v>3349</v>
      </c>
      <c r="B3351" s="2" t="str">
        <f>"林展"</f>
        <v>林展</v>
      </c>
      <c r="C3351" s="2" t="s">
        <v>3070</v>
      </c>
      <c r="D3351" s="2" t="s">
        <v>740</v>
      </c>
      <c r="E3351" s="3"/>
    </row>
    <row r="3352" spans="1:5" ht="24.75" customHeight="1">
      <c r="A3352" s="2">
        <v>3350</v>
      </c>
      <c r="B3352" s="2" t="str">
        <f>"文柳"</f>
        <v>文柳</v>
      </c>
      <c r="C3352" s="2" t="s">
        <v>3070</v>
      </c>
      <c r="D3352" s="2" t="s">
        <v>3080</v>
      </c>
      <c r="E3352" s="3"/>
    </row>
    <row r="3353" spans="1:5" ht="24.75" customHeight="1">
      <c r="A3353" s="2">
        <v>3351</v>
      </c>
      <c r="B3353" s="2" t="str">
        <f>"魏智威"</f>
        <v>魏智威</v>
      </c>
      <c r="C3353" s="2" t="s">
        <v>3070</v>
      </c>
      <c r="D3353" s="2" t="s">
        <v>3081</v>
      </c>
      <c r="E3353" s="3"/>
    </row>
    <row r="3354" spans="1:5" ht="24.75" customHeight="1">
      <c r="A3354" s="2">
        <v>3352</v>
      </c>
      <c r="B3354" s="2" t="str">
        <f>"林梅"</f>
        <v>林梅</v>
      </c>
      <c r="C3354" s="2" t="s">
        <v>3070</v>
      </c>
      <c r="D3354" s="2" t="s">
        <v>3082</v>
      </c>
      <c r="E3354" s="3"/>
    </row>
    <row r="3355" spans="1:5" ht="24.75" customHeight="1">
      <c r="A3355" s="2">
        <v>3353</v>
      </c>
      <c r="B3355" s="2" t="str">
        <f>"陈武君"</f>
        <v>陈武君</v>
      </c>
      <c r="C3355" s="2" t="s">
        <v>3070</v>
      </c>
      <c r="D3355" s="2" t="s">
        <v>789</v>
      </c>
      <c r="E3355" s="3"/>
    </row>
    <row r="3356" spans="1:5" ht="24.75" customHeight="1">
      <c r="A3356" s="2">
        <v>3354</v>
      </c>
      <c r="B3356" s="2" t="str">
        <f>"杨国昇"</f>
        <v>杨国昇</v>
      </c>
      <c r="C3356" s="2" t="s">
        <v>3070</v>
      </c>
      <c r="D3356" s="2" t="s">
        <v>3083</v>
      </c>
      <c r="E3356" s="3"/>
    </row>
    <row r="3357" spans="1:5" ht="24.75" customHeight="1">
      <c r="A3357" s="2">
        <v>3355</v>
      </c>
      <c r="B3357" s="2" t="str">
        <f>"王小丹"</f>
        <v>王小丹</v>
      </c>
      <c r="C3357" s="2" t="s">
        <v>3070</v>
      </c>
      <c r="D3357" s="2" t="s">
        <v>3084</v>
      </c>
      <c r="E3357" s="3"/>
    </row>
    <row r="3358" spans="1:5" ht="24.75" customHeight="1">
      <c r="A3358" s="2">
        <v>3356</v>
      </c>
      <c r="B3358" s="2" t="str">
        <f>"颜飞鸿"</f>
        <v>颜飞鸿</v>
      </c>
      <c r="C3358" s="2" t="s">
        <v>3070</v>
      </c>
      <c r="D3358" s="2" t="s">
        <v>3085</v>
      </c>
      <c r="E3358" s="3"/>
    </row>
    <row r="3359" spans="1:5" ht="24.75" customHeight="1">
      <c r="A3359" s="2">
        <v>3357</v>
      </c>
      <c r="B3359" s="2" t="str">
        <f>"蔡丽园"</f>
        <v>蔡丽园</v>
      </c>
      <c r="C3359" s="2" t="s">
        <v>3070</v>
      </c>
      <c r="D3359" s="2" t="s">
        <v>3086</v>
      </c>
      <c r="E3359" s="3"/>
    </row>
    <row r="3360" spans="1:5" ht="24.75" customHeight="1">
      <c r="A3360" s="2">
        <v>3358</v>
      </c>
      <c r="B3360" s="2" t="str">
        <f>"张涛"</f>
        <v>张涛</v>
      </c>
      <c r="C3360" s="2" t="s">
        <v>3070</v>
      </c>
      <c r="D3360" s="2" t="s">
        <v>3087</v>
      </c>
      <c r="E3360" s="3"/>
    </row>
    <row r="3361" spans="1:5" ht="24.75" customHeight="1">
      <c r="A3361" s="2">
        <v>3359</v>
      </c>
      <c r="B3361" s="2" t="str">
        <f>"尹胜港"</f>
        <v>尹胜港</v>
      </c>
      <c r="C3361" s="2" t="s">
        <v>3070</v>
      </c>
      <c r="D3361" s="2" t="s">
        <v>3088</v>
      </c>
      <c r="E3361" s="3"/>
    </row>
    <row r="3362" spans="1:5" ht="24.75" customHeight="1">
      <c r="A3362" s="2">
        <v>3360</v>
      </c>
      <c r="B3362" s="2" t="str">
        <f>"罗裕淇"</f>
        <v>罗裕淇</v>
      </c>
      <c r="C3362" s="2" t="s">
        <v>3070</v>
      </c>
      <c r="D3362" s="2" t="s">
        <v>113</v>
      </c>
      <c r="E3362" s="3"/>
    </row>
    <row r="3363" spans="1:5" ht="24.75" customHeight="1">
      <c r="A3363" s="2">
        <v>3361</v>
      </c>
      <c r="B3363" s="2" t="str">
        <f>"张金鹏"</f>
        <v>张金鹏</v>
      </c>
      <c r="C3363" s="2" t="s">
        <v>3070</v>
      </c>
      <c r="D3363" s="2" t="s">
        <v>3089</v>
      </c>
      <c r="E3363" s="3"/>
    </row>
    <row r="3364" spans="1:5" ht="24.75" customHeight="1">
      <c r="A3364" s="2">
        <v>3362</v>
      </c>
      <c r="B3364" s="2" t="str">
        <f>"林洁东"</f>
        <v>林洁东</v>
      </c>
      <c r="C3364" s="2" t="s">
        <v>3070</v>
      </c>
      <c r="D3364" s="2" t="s">
        <v>3090</v>
      </c>
      <c r="E3364" s="3"/>
    </row>
    <row r="3365" spans="1:5" ht="24.75" customHeight="1">
      <c r="A3365" s="2">
        <v>3363</v>
      </c>
      <c r="B3365" s="2" t="str">
        <f>"王圣熠"</f>
        <v>王圣熠</v>
      </c>
      <c r="C3365" s="2" t="s">
        <v>3070</v>
      </c>
      <c r="D3365" s="2" t="s">
        <v>3091</v>
      </c>
      <c r="E3365" s="3"/>
    </row>
    <row r="3366" spans="1:5" ht="24.75" customHeight="1">
      <c r="A3366" s="2">
        <v>3364</v>
      </c>
      <c r="B3366" s="2" t="str">
        <f>"陈泽琳"</f>
        <v>陈泽琳</v>
      </c>
      <c r="C3366" s="2" t="s">
        <v>3070</v>
      </c>
      <c r="D3366" s="2" t="s">
        <v>3092</v>
      </c>
      <c r="E3366" s="3"/>
    </row>
    <row r="3367" spans="1:5" ht="24.75" customHeight="1">
      <c r="A3367" s="2">
        <v>3365</v>
      </c>
      <c r="B3367" s="2" t="str">
        <f>"王芳"</f>
        <v>王芳</v>
      </c>
      <c r="C3367" s="2" t="s">
        <v>3070</v>
      </c>
      <c r="D3367" s="2" t="s">
        <v>3093</v>
      </c>
      <c r="E3367" s="3"/>
    </row>
    <row r="3368" spans="1:5" ht="24.75" customHeight="1">
      <c r="A3368" s="2">
        <v>3366</v>
      </c>
      <c r="B3368" s="2" t="str">
        <f>"陈绵彪"</f>
        <v>陈绵彪</v>
      </c>
      <c r="C3368" s="2" t="s">
        <v>3070</v>
      </c>
      <c r="D3368" s="2" t="s">
        <v>3000</v>
      </c>
      <c r="E3368" s="3"/>
    </row>
    <row r="3369" spans="1:5" ht="24.75" customHeight="1">
      <c r="A3369" s="2">
        <v>3367</v>
      </c>
      <c r="B3369" s="2" t="str">
        <f>"王晓婧"</f>
        <v>王晓婧</v>
      </c>
      <c r="C3369" s="2" t="s">
        <v>3070</v>
      </c>
      <c r="D3369" s="2" t="s">
        <v>3094</v>
      </c>
      <c r="E3369" s="3"/>
    </row>
    <row r="3370" spans="1:5" ht="24.75" customHeight="1">
      <c r="A3370" s="2">
        <v>3368</v>
      </c>
      <c r="B3370" s="2" t="str">
        <f>"符斯壮"</f>
        <v>符斯壮</v>
      </c>
      <c r="C3370" s="2" t="s">
        <v>3070</v>
      </c>
      <c r="D3370" s="2" t="s">
        <v>3095</v>
      </c>
      <c r="E3370" s="3"/>
    </row>
    <row r="3371" spans="1:5" ht="24.75" customHeight="1">
      <c r="A3371" s="2">
        <v>3369</v>
      </c>
      <c r="B3371" s="2" t="str">
        <f>"黄开善"</f>
        <v>黄开善</v>
      </c>
      <c r="C3371" s="2" t="s">
        <v>3070</v>
      </c>
      <c r="D3371" s="2" t="s">
        <v>3096</v>
      </c>
      <c r="E3371" s="3"/>
    </row>
    <row r="3372" spans="1:5" ht="24.75" customHeight="1">
      <c r="A3372" s="2">
        <v>3370</v>
      </c>
      <c r="B3372" s="2" t="str">
        <f>"郑丁健"</f>
        <v>郑丁健</v>
      </c>
      <c r="C3372" s="2" t="s">
        <v>3070</v>
      </c>
      <c r="D3372" s="2" t="s">
        <v>3097</v>
      </c>
      <c r="E3372" s="3"/>
    </row>
    <row r="3373" spans="1:5" ht="24.75" customHeight="1">
      <c r="A3373" s="2">
        <v>3371</v>
      </c>
      <c r="B3373" s="2" t="str">
        <f>"黄芳晓"</f>
        <v>黄芳晓</v>
      </c>
      <c r="C3373" s="2" t="s">
        <v>3070</v>
      </c>
      <c r="D3373" s="2" t="s">
        <v>3098</v>
      </c>
      <c r="E3373" s="3"/>
    </row>
    <row r="3374" spans="1:5" ht="24.75" customHeight="1">
      <c r="A3374" s="2">
        <v>3372</v>
      </c>
      <c r="B3374" s="2" t="str">
        <f>"倪世天"</f>
        <v>倪世天</v>
      </c>
      <c r="C3374" s="2" t="s">
        <v>3070</v>
      </c>
      <c r="D3374" s="2" t="s">
        <v>3099</v>
      </c>
      <c r="E3374" s="3"/>
    </row>
    <row r="3375" spans="1:5" ht="24.75" customHeight="1">
      <c r="A3375" s="2">
        <v>3373</v>
      </c>
      <c r="B3375" s="2" t="str">
        <f>"郑尹"</f>
        <v>郑尹</v>
      </c>
      <c r="C3375" s="2" t="s">
        <v>3070</v>
      </c>
      <c r="D3375" s="2" t="s">
        <v>3100</v>
      </c>
      <c r="E3375" s="3"/>
    </row>
    <row r="3376" spans="1:5" ht="24.75" customHeight="1">
      <c r="A3376" s="2">
        <v>3374</v>
      </c>
      <c r="B3376" s="2" t="str">
        <f>"王万威"</f>
        <v>王万威</v>
      </c>
      <c r="C3376" s="2" t="s">
        <v>3070</v>
      </c>
      <c r="D3376" s="2" t="s">
        <v>3101</v>
      </c>
      <c r="E3376" s="3"/>
    </row>
    <row r="3377" spans="1:5" ht="24.75" customHeight="1">
      <c r="A3377" s="2">
        <v>3375</v>
      </c>
      <c r="B3377" s="2" t="str">
        <f>"吴晓琳"</f>
        <v>吴晓琳</v>
      </c>
      <c r="C3377" s="2" t="s">
        <v>3070</v>
      </c>
      <c r="D3377" s="2" t="s">
        <v>3102</v>
      </c>
      <c r="E3377" s="3"/>
    </row>
    <row r="3378" spans="1:5" ht="24.75" customHeight="1">
      <c r="A3378" s="2">
        <v>3376</v>
      </c>
      <c r="B3378" s="2" t="str">
        <f>"王贤福"</f>
        <v>王贤福</v>
      </c>
      <c r="C3378" s="2" t="s">
        <v>3070</v>
      </c>
      <c r="D3378" s="2" t="s">
        <v>3103</v>
      </c>
      <c r="E3378" s="3"/>
    </row>
    <row r="3379" spans="1:5" ht="24.75" customHeight="1">
      <c r="A3379" s="2">
        <v>3377</v>
      </c>
      <c r="B3379" s="2" t="str">
        <f>"王明铭"</f>
        <v>王明铭</v>
      </c>
      <c r="C3379" s="2" t="s">
        <v>3070</v>
      </c>
      <c r="D3379" s="2" t="s">
        <v>3104</v>
      </c>
      <c r="E3379" s="3"/>
    </row>
    <row r="3380" spans="1:5" ht="24.75" customHeight="1">
      <c r="A3380" s="2">
        <v>3378</v>
      </c>
      <c r="B3380" s="2" t="str">
        <f>"蔡阳川"</f>
        <v>蔡阳川</v>
      </c>
      <c r="C3380" s="2" t="s">
        <v>3070</v>
      </c>
      <c r="D3380" s="2" t="s">
        <v>3105</v>
      </c>
      <c r="E3380" s="3"/>
    </row>
    <row r="3381" spans="1:5" ht="24.75" customHeight="1">
      <c r="A3381" s="2">
        <v>3379</v>
      </c>
      <c r="B3381" s="2" t="str">
        <f>"黄开博"</f>
        <v>黄开博</v>
      </c>
      <c r="C3381" s="2" t="s">
        <v>3070</v>
      </c>
      <c r="D3381" s="2" t="s">
        <v>3106</v>
      </c>
      <c r="E3381" s="3"/>
    </row>
    <row r="3382" spans="1:5" ht="24.75" customHeight="1">
      <c r="A3382" s="2">
        <v>3380</v>
      </c>
      <c r="B3382" s="2" t="str">
        <f>"王海敏"</f>
        <v>王海敏</v>
      </c>
      <c r="C3382" s="2" t="s">
        <v>3070</v>
      </c>
      <c r="D3382" s="2" t="s">
        <v>3107</v>
      </c>
      <c r="E3382" s="3"/>
    </row>
    <row r="3383" spans="1:5" ht="24.75" customHeight="1">
      <c r="A3383" s="2">
        <v>3381</v>
      </c>
      <c r="B3383" s="2" t="str">
        <f>"李小吟"</f>
        <v>李小吟</v>
      </c>
      <c r="C3383" s="2" t="s">
        <v>3070</v>
      </c>
      <c r="D3383" s="2" t="s">
        <v>3108</v>
      </c>
      <c r="E3383" s="3"/>
    </row>
    <row r="3384" spans="1:5" ht="24.75" customHeight="1">
      <c r="A3384" s="2">
        <v>3382</v>
      </c>
      <c r="B3384" s="2" t="str">
        <f>"蔡良杰"</f>
        <v>蔡良杰</v>
      </c>
      <c r="C3384" s="2" t="s">
        <v>3070</v>
      </c>
      <c r="D3384" s="2" t="s">
        <v>3109</v>
      </c>
      <c r="E3384" s="3"/>
    </row>
    <row r="3385" spans="1:5" ht="24.75" customHeight="1">
      <c r="A3385" s="2">
        <v>3383</v>
      </c>
      <c r="B3385" s="2" t="str">
        <f>"王金妮"</f>
        <v>王金妮</v>
      </c>
      <c r="C3385" s="2" t="s">
        <v>3070</v>
      </c>
      <c r="D3385" s="2" t="s">
        <v>3110</v>
      </c>
      <c r="E3385" s="3"/>
    </row>
    <row r="3386" spans="1:5" ht="24.75" customHeight="1">
      <c r="A3386" s="2">
        <v>3384</v>
      </c>
      <c r="B3386" s="2" t="str">
        <f>"王晶"</f>
        <v>王晶</v>
      </c>
      <c r="C3386" s="2" t="s">
        <v>3070</v>
      </c>
      <c r="D3386" s="2" t="s">
        <v>3111</v>
      </c>
      <c r="E3386" s="3"/>
    </row>
    <row r="3387" spans="1:5" ht="24.75" customHeight="1">
      <c r="A3387" s="2">
        <v>3385</v>
      </c>
      <c r="B3387" s="2" t="str">
        <f>"王太华"</f>
        <v>王太华</v>
      </c>
      <c r="C3387" s="2" t="s">
        <v>3070</v>
      </c>
      <c r="D3387" s="2" t="s">
        <v>3112</v>
      </c>
      <c r="E3387" s="3"/>
    </row>
    <row r="3388" spans="1:5" ht="24.75" customHeight="1">
      <c r="A3388" s="2">
        <v>3386</v>
      </c>
      <c r="B3388" s="2" t="str">
        <f>"覃宁宁"</f>
        <v>覃宁宁</v>
      </c>
      <c r="C3388" s="2" t="s">
        <v>3070</v>
      </c>
      <c r="D3388" s="2" t="s">
        <v>3113</v>
      </c>
      <c r="E3388" s="3"/>
    </row>
    <row r="3389" spans="1:5" ht="24.75" customHeight="1">
      <c r="A3389" s="2">
        <v>3387</v>
      </c>
      <c r="B3389" s="2" t="str">
        <f>"黄秋贵"</f>
        <v>黄秋贵</v>
      </c>
      <c r="C3389" s="2" t="s">
        <v>3070</v>
      </c>
      <c r="D3389" s="2" t="s">
        <v>3114</v>
      </c>
      <c r="E3389" s="3"/>
    </row>
    <row r="3390" spans="1:5" ht="24.75" customHeight="1">
      <c r="A3390" s="2">
        <v>3388</v>
      </c>
      <c r="B3390" s="2" t="str">
        <f>"曾星"</f>
        <v>曾星</v>
      </c>
      <c r="C3390" s="2" t="s">
        <v>3070</v>
      </c>
      <c r="D3390" s="2" t="s">
        <v>3115</v>
      </c>
      <c r="E3390" s="3"/>
    </row>
    <row r="3391" spans="1:5" ht="24.75" customHeight="1">
      <c r="A3391" s="2">
        <v>3389</v>
      </c>
      <c r="B3391" s="2" t="str">
        <f>"刘星语"</f>
        <v>刘星语</v>
      </c>
      <c r="C3391" s="2" t="s">
        <v>3070</v>
      </c>
      <c r="D3391" s="2" t="s">
        <v>3116</v>
      </c>
      <c r="E3391" s="3"/>
    </row>
    <row r="3392" spans="1:5" ht="24.75" customHeight="1">
      <c r="A3392" s="2">
        <v>3390</v>
      </c>
      <c r="B3392" s="2" t="str">
        <f>"王祯霞"</f>
        <v>王祯霞</v>
      </c>
      <c r="C3392" s="2" t="s">
        <v>3070</v>
      </c>
      <c r="D3392" s="2" t="s">
        <v>3117</v>
      </c>
      <c r="E3392" s="3"/>
    </row>
    <row r="3393" spans="1:5" ht="24.75" customHeight="1">
      <c r="A3393" s="2">
        <v>3391</v>
      </c>
      <c r="B3393" s="2" t="str">
        <f>"韩健元"</f>
        <v>韩健元</v>
      </c>
      <c r="C3393" s="2" t="s">
        <v>3070</v>
      </c>
      <c r="D3393" s="2" t="s">
        <v>3118</v>
      </c>
      <c r="E3393" s="3"/>
    </row>
    <row r="3394" spans="1:5" ht="24.75" customHeight="1">
      <c r="A3394" s="2">
        <v>3392</v>
      </c>
      <c r="B3394" s="2" t="str">
        <f>"苏庆昌"</f>
        <v>苏庆昌</v>
      </c>
      <c r="C3394" s="2" t="s">
        <v>3070</v>
      </c>
      <c r="D3394" s="2" t="s">
        <v>3119</v>
      </c>
      <c r="E3394" s="3"/>
    </row>
    <row r="3395" spans="1:5" ht="24.75" customHeight="1">
      <c r="A3395" s="2">
        <v>3393</v>
      </c>
      <c r="B3395" s="2" t="str">
        <f>"王茹"</f>
        <v>王茹</v>
      </c>
      <c r="C3395" s="2" t="s">
        <v>3070</v>
      </c>
      <c r="D3395" s="2" t="s">
        <v>3120</v>
      </c>
      <c r="E3395" s="3"/>
    </row>
    <row r="3396" spans="1:5" ht="24.75" customHeight="1">
      <c r="A3396" s="2">
        <v>3394</v>
      </c>
      <c r="B3396" s="2" t="str">
        <f>"侬俊"</f>
        <v>侬俊</v>
      </c>
      <c r="C3396" s="2" t="s">
        <v>3070</v>
      </c>
      <c r="D3396" s="2" t="s">
        <v>3121</v>
      </c>
      <c r="E3396" s="3"/>
    </row>
    <row r="3397" spans="1:5" ht="24.75" customHeight="1">
      <c r="A3397" s="2">
        <v>3395</v>
      </c>
      <c r="B3397" s="2" t="str">
        <f>"王京"</f>
        <v>王京</v>
      </c>
      <c r="C3397" s="2" t="s">
        <v>3070</v>
      </c>
      <c r="D3397" s="2" t="s">
        <v>2884</v>
      </c>
      <c r="E3397" s="3"/>
    </row>
    <row r="3398" spans="1:5" ht="24.75" customHeight="1">
      <c r="A3398" s="2">
        <v>3396</v>
      </c>
      <c r="B3398" s="2" t="str">
        <f>"高国徽"</f>
        <v>高国徽</v>
      </c>
      <c r="C3398" s="2" t="s">
        <v>3070</v>
      </c>
      <c r="D3398" s="2" t="s">
        <v>3122</v>
      </c>
      <c r="E3398" s="3"/>
    </row>
    <row r="3399" spans="1:5" ht="24.75" customHeight="1">
      <c r="A3399" s="2">
        <v>3397</v>
      </c>
      <c r="B3399" s="2" t="str">
        <f>"郑琦贝"</f>
        <v>郑琦贝</v>
      </c>
      <c r="C3399" s="2" t="s">
        <v>3070</v>
      </c>
      <c r="D3399" s="2" t="s">
        <v>3123</v>
      </c>
      <c r="E3399" s="3"/>
    </row>
    <row r="3400" spans="1:5" ht="24.75" customHeight="1">
      <c r="A3400" s="2">
        <v>3398</v>
      </c>
      <c r="B3400" s="2" t="str">
        <f>"黄俞祯"</f>
        <v>黄俞祯</v>
      </c>
      <c r="C3400" s="2" t="s">
        <v>3070</v>
      </c>
      <c r="D3400" s="2" t="s">
        <v>3124</v>
      </c>
      <c r="E3400" s="3"/>
    </row>
    <row r="3401" spans="1:5" ht="24.75" customHeight="1">
      <c r="A3401" s="2">
        <v>3399</v>
      </c>
      <c r="B3401" s="2" t="str">
        <f>"符会朝"</f>
        <v>符会朝</v>
      </c>
      <c r="C3401" s="2" t="s">
        <v>3070</v>
      </c>
      <c r="D3401" s="2" t="s">
        <v>3125</v>
      </c>
      <c r="E3401" s="3"/>
    </row>
    <row r="3402" spans="1:5" ht="24.75" customHeight="1">
      <c r="A3402" s="2">
        <v>3400</v>
      </c>
      <c r="B3402" s="2" t="str">
        <f>"卓圆梦"</f>
        <v>卓圆梦</v>
      </c>
      <c r="C3402" s="2" t="s">
        <v>3126</v>
      </c>
      <c r="D3402" s="2" t="s">
        <v>3127</v>
      </c>
      <c r="E3402" s="3"/>
    </row>
    <row r="3403" spans="1:5" ht="24.75" customHeight="1">
      <c r="A3403" s="2">
        <v>3401</v>
      </c>
      <c r="B3403" s="2" t="str">
        <f>"钟海玲"</f>
        <v>钟海玲</v>
      </c>
      <c r="C3403" s="2" t="s">
        <v>3126</v>
      </c>
      <c r="D3403" s="2" t="s">
        <v>3128</v>
      </c>
      <c r="E3403" s="3"/>
    </row>
    <row r="3404" spans="1:5" ht="24.75" customHeight="1">
      <c r="A3404" s="2">
        <v>3402</v>
      </c>
      <c r="B3404" s="2" t="str">
        <f>"陈蔓"</f>
        <v>陈蔓</v>
      </c>
      <c r="C3404" s="2" t="s">
        <v>3126</v>
      </c>
      <c r="D3404" s="2" t="s">
        <v>3129</v>
      </c>
      <c r="E3404" s="3"/>
    </row>
    <row r="3405" spans="1:5" ht="24.75" customHeight="1">
      <c r="A3405" s="2">
        <v>3403</v>
      </c>
      <c r="B3405" s="2" t="str">
        <f>"吴丽娴"</f>
        <v>吴丽娴</v>
      </c>
      <c r="C3405" s="2" t="s">
        <v>3126</v>
      </c>
      <c r="D3405" s="2" t="s">
        <v>3130</v>
      </c>
      <c r="E3405" s="3"/>
    </row>
    <row r="3406" spans="1:5" ht="24.75" customHeight="1">
      <c r="A3406" s="2">
        <v>3404</v>
      </c>
      <c r="B3406" s="2" t="str">
        <f>"林爱菁"</f>
        <v>林爱菁</v>
      </c>
      <c r="C3406" s="2" t="s">
        <v>3126</v>
      </c>
      <c r="D3406" s="2" t="s">
        <v>3131</v>
      </c>
      <c r="E3406" s="3"/>
    </row>
    <row r="3407" spans="1:5" ht="24.75" customHeight="1">
      <c r="A3407" s="2">
        <v>3405</v>
      </c>
      <c r="B3407" s="2" t="str">
        <f>"邢丽雅"</f>
        <v>邢丽雅</v>
      </c>
      <c r="C3407" s="2" t="s">
        <v>3126</v>
      </c>
      <c r="D3407" s="2" t="s">
        <v>3132</v>
      </c>
      <c r="E3407" s="3"/>
    </row>
    <row r="3408" spans="1:5" ht="24.75" customHeight="1">
      <c r="A3408" s="2">
        <v>3406</v>
      </c>
      <c r="B3408" s="2" t="str">
        <f>"黎薇"</f>
        <v>黎薇</v>
      </c>
      <c r="C3408" s="2" t="s">
        <v>3126</v>
      </c>
      <c r="D3408" s="2" t="s">
        <v>3133</v>
      </c>
      <c r="E3408" s="3"/>
    </row>
    <row r="3409" spans="1:5" ht="24.75" customHeight="1">
      <c r="A3409" s="2">
        <v>3407</v>
      </c>
      <c r="B3409" s="2" t="str">
        <f>"吴伟源"</f>
        <v>吴伟源</v>
      </c>
      <c r="C3409" s="2" t="s">
        <v>3126</v>
      </c>
      <c r="D3409" s="2" t="s">
        <v>3134</v>
      </c>
      <c r="E3409" s="3"/>
    </row>
    <row r="3410" spans="1:5" ht="24.75" customHeight="1">
      <c r="A3410" s="2">
        <v>3408</v>
      </c>
      <c r="B3410" s="2" t="str">
        <f>"陈虹杉"</f>
        <v>陈虹杉</v>
      </c>
      <c r="C3410" s="2" t="s">
        <v>3126</v>
      </c>
      <c r="D3410" s="2" t="s">
        <v>3135</v>
      </c>
      <c r="E3410" s="3"/>
    </row>
    <row r="3411" spans="1:5" ht="24.75" customHeight="1">
      <c r="A3411" s="2">
        <v>3409</v>
      </c>
      <c r="B3411" s="2" t="str">
        <f>"樊林青"</f>
        <v>樊林青</v>
      </c>
      <c r="C3411" s="2" t="s">
        <v>3126</v>
      </c>
      <c r="D3411" s="2" t="s">
        <v>3136</v>
      </c>
      <c r="E3411" s="3"/>
    </row>
    <row r="3412" spans="1:5" ht="24.75" customHeight="1">
      <c r="A3412" s="2">
        <v>3410</v>
      </c>
      <c r="B3412" s="2" t="str">
        <f>"王晓晶"</f>
        <v>王晓晶</v>
      </c>
      <c r="C3412" s="2" t="s">
        <v>3126</v>
      </c>
      <c r="D3412" s="2" t="s">
        <v>3137</v>
      </c>
      <c r="E3412" s="3"/>
    </row>
    <row r="3413" spans="1:5" ht="24.75" customHeight="1">
      <c r="A3413" s="2">
        <v>3411</v>
      </c>
      <c r="B3413" s="2" t="str">
        <f>"王孟英"</f>
        <v>王孟英</v>
      </c>
      <c r="C3413" s="2" t="s">
        <v>3126</v>
      </c>
      <c r="D3413" s="2" t="s">
        <v>3138</v>
      </c>
      <c r="E3413" s="3"/>
    </row>
    <row r="3414" spans="1:5" ht="24.75" customHeight="1">
      <c r="A3414" s="2">
        <v>3412</v>
      </c>
      <c r="B3414" s="2" t="str">
        <f>"许人宇"</f>
        <v>许人宇</v>
      </c>
      <c r="C3414" s="2" t="s">
        <v>3126</v>
      </c>
      <c r="D3414" s="2" t="s">
        <v>2195</v>
      </c>
      <c r="E3414" s="3"/>
    </row>
    <row r="3415" spans="1:5" ht="24.75" customHeight="1">
      <c r="A3415" s="2">
        <v>3413</v>
      </c>
      <c r="B3415" s="2" t="str">
        <f>"罗绘楠"</f>
        <v>罗绘楠</v>
      </c>
      <c r="C3415" s="2" t="s">
        <v>3126</v>
      </c>
      <c r="D3415" s="2" t="s">
        <v>3139</v>
      </c>
      <c r="E3415" s="3"/>
    </row>
    <row r="3416" spans="1:5" ht="24.75" customHeight="1">
      <c r="A3416" s="2">
        <v>3414</v>
      </c>
      <c r="B3416" s="2" t="str">
        <f>"陈红妙"</f>
        <v>陈红妙</v>
      </c>
      <c r="C3416" s="2" t="s">
        <v>3126</v>
      </c>
      <c r="D3416" s="2" t="s">
        <v>3140</v>
      </c>
      <c r="E3416" s="3"/>
    </row>
    <row r="3417" spans="1:5" ht="24.75" customHeight="1">
      <c r="A3417" s="2">
        <v>3415</v>
      </c>
      <c r="B3417" s="2" t="str">
        <f>"王福生"</f>
        <v>王福生</v>
      </c>
      <c r="C3417" s="2" t="s">
        <v>3126</v>
      </c>
      <c r="D3417" s="2" t="s">
        <v>3141</v>
      </c>
      <c r="E3417" s="3"/>
    </row>
    <row r="3418" spans="1:5" ht="24.75" customHeight="1">
      <c r="A3418" s="2">
        <v>3416</v>
      </c>
      <c r="B3418" s="2" t="str">
        <f>"文晓"</f>
        <v>文晓</v>
      </c>
      <c r="C3418" s="2" t="s">
        <v>3126</v>
      </c>
      <c r="D3418" s="2" t="s">
        <v>3142</v>
      </c>
      <c r="E3418" s="3"/>
    </row>
    <row r="3419" spans="1:5" ht="24.75" customHeight="1">
      <c r="A3419" s="2">
        <v>3417</v>
      </c>
      <c r="B3419" s="2" t="str">
        <f>"张龙涛"</f>
        <v>张龙涛</v>
      </c>
      <c r="C3419" s="2" t="s">
        <v>3126</v>
      </c>
      <c r="D3419" s="2" t="s">
        <v>2802</v>
      </c>
      <c r="E3419" s="3"/>
    </row>
    <row r="3420" spans="1:5" ht="24.75" customHeight="1">
      <c r="A3420" s="2">
        <v>3418</v>
      </c>
      <c r="B3420" s="2" t="str">
        <f>"连晓雨"</f>
        <v>连晓雨</v>
      </c>
      <c r="C3420" s="2" t="s">
        <v>3126</v>
      </c>
      <c r="D3420" s="2" t="s">
        <v>3143</v>
      </c>
      <c r="E3420" s="3"/>
    </row>
    <row r="3421" spans="1:5" ht="24.75" customHeight="1">
      <c r="A3421" s="2">
        <v>3419</v>
      </c>
      <c r="B3421" s="2" t="str">
        <f>"陈训健"</f>
        <v>陈训健</v>
      </c>
      <c r="C3421" s="2" t="s">
        <v>3126</v>
      </c>
      <c r="D3421" s="2" t="s">
        <v>2675</v>
      </c>
      <c r="E3421" s="3"/>
    </row>
    <row r="3422" spans="1:5" ht="24.75" customHeight="1">
      <c r="A3422" s="2">
        <v>3420</v>
      </c>
      <c r="B3422" s="2" t="str">
        <f>"朱荣"</f>
        <v>朱荣</v>
      </c>
      <c r="C3422" s="2" t="s">
        <v>3126</v>
      </c>
      <c r="D3422" s="2" t="s">
        <v>3144</v>
      </c>
      <c r="E3422" s="3"/>
    </row>
    <row r="3423" spans="1:5" ht="24.75" customHeight="1">
      <c r="A3423" s="2">
        <v>3421</v>
      </c>
      <c r="B3423" s="2" t="str">
        <f>"黄锋"</f>
        <v>黄锋</v>
      </c>
      <c r="C3423" s="2" t="s">
        <v>3126</v>
      </c>
      <c r="D3423" s="2" t="s">
        <v>3145</v>
      </c>
      <c r="E3423" s="3"/>
    </row>
    <row r="3424" spans="1:5" ht="24.75" customHeight="1">
      <c r="A3424" s="2">
        <v>3422</v>
      </c>
      <c r="B3424" s="2" t="str">
        <f>"周小剑"</f>
        <v>周小剑</v>
      </c>
      <c r="C3424" s="2" t="s">
        <v>3126</v>
      </c>
      <c r="D3424" s="2" t="s">
        <v>3146</v>
      </c>
      <c r="E3424" s="3"/>
    </row>
    <row r="3425" spans="1:5" ht="24.75" customHeight="1">
      <c r="A3425" s="2">
        <v>3423</v>
      </c>
      <c r="B3425" s="2" t="str">
        <f>"王丹丹"</f>
        <v>王丹丹</v>
      </c>
      <c r="C3425" s="2" t="s">
        <v>3126</v>
      </c>
      <c r="D3425" s="2" t="s">
        <v>3147</v>
      </c>
      <c r="E3425" s="3"/>
    </row>
    <row r="3426" spans="1:5" ht="24.75" customHeight="1">
      <c r="A3426" s="2">
        <v>3424</v>
      </c>
      <c r="B3426" s="2" t="str">
        <f>"张恒铭"</f>
        <v>张恒铭</v>
      </c>
      <c r="C3426" s="2" t="s">
        <v>3126</v>
      </c>
      <c r="D3426" s="2" t="s">
        <v>3148</v>
      </c>
      <c r="E3426" s="3"/>
    </row>
    <row r="3427" spans="1:5" ht="24.75" customHeight="1">
      <c r="A3427" s="2">
        <v>3425</v>
      </c>
      <c r="B3427" s="2" t="str">
        <f>"彭翎"</f>
        <v>彭翎</v>
      </c>
      <c r="C3427" s="2" t="s">
        <v>3126</v>
      </c>
      <c r="D3427" s="2" t="s">
        <v>3149</v>
      </c>
      <c r="E3427" s="3"/>
    </row>
    <row r="3428" spans="1:5" ht="24.75" customHeight="1">
      <c r="A3428" s="2">
        <v>3426</v>
      </c>
      <c r="B3428" s="2" t="str">
        <f>"简吾正"</f>
        <v>简吾正</v>
      </c>
      <c r="C3428" s="2" t="s">
        <v>3126</v>
      </c>
      <c r="D3428" s="2" t="s">
        <v>1202</v>
      </c>
      <c r="E3428" s="3"/>
    </row>
    <row r="3429" spans="1:5" ht="24.75" customHeight="1">
      <c r="A3429" s="2">
        <v>3427</v>
      </c>
      <c r="B3429" s="2" t="str">
        <f>"王丽敏"</f>
        <v>王丽敏</v>
      </c>
      <c r="C3429" s="2" t="s">
        <v>3126</v>
      </c>
      <c r="D3429" s="2" t="s">
        <v>3150</v>
      </c>
      <c r="E3429" s="3"/>
    </row>
    <row r="3430" spans="1:5" ht="24.75" customHeight="1">
      <c r="A3430" s="2">
        <v>3428</v>
      </c>
      <c r="B3430" s="2" t="str">
        <f>"吴皎钰"</f>
        <v>吴皎钰</v>
      </c>
      <c r="C3430" s="2" t="s">
        <v>3126</v>
      </c>
      <c r="D3430" s="2" t="s">
        <v>3151</v>
      </c>
      <c r="E3430" s="3"/>
    </row>
    <row r="3431" spans="1:5" ht="24.75" customHeight="1">
      <c r="A3431" s="2">
        <v>3429</v>
      </c>
      <c r="B3431" s="2" t="str">
        <f>"李红剑"</f>
        <v>李红剑</v>
      </c>
      <c r="C3431" s="2" t="s">
        <v>3126</v>
      </c>
      <c r="D3431" s="2" t="s">
        <v>1689</v>
      </c>
      <c r="E3431" s="3"/>
    </row>
    <row r="3432" spans="1:5" ht="24.75" customHeight="1">
      <c r="A3432" s="2">
        <v>3430</v>
      </c>
      <c r="B3432" s="2" t="str">
        <f>"董壮"</f>
        <v>董壮</v>
      </c>
      <c r="C3432" s="2" t="s">
        <v>3126</v>
      </c>
      <c r="D3432" s="2" t="s">
        <v>3152</v>
      </c>
      <c r="E3432" s="3"/>
    </row>
    <row r="3433" spans="1:5" ht="24.75" customHeight="1">
      <c r="A3433" s="2">
        <v>3431</v>
      </c>
      <c r="B3433" s="2" t="str">
        <f>"蒲小萍"</f>
        <v>蒲小萍</v>
      </c>
      <c r="C3433" s="2" t="s">
        <v>3126</v>
      </c>
      <c r="D3433" s="2" t="s">
        <v>3153</v>
      </c>
      <c r="E3433" s="3"/>
    </row>
    <row r="3434" spans="1:5" ht="24.75" customHeight="1">
      <c r="A3434" s="2">
        <v>3432</v>
      </c>
      <c r="B3434" s="2" t="str">
        <f>"谢月芳"</f>
        <v>谢月芳</v>
      </c>
      <c r="C3434" s="2" t="s">
        <v>3126</v>
      </c>
      <c r="D3434" s="2" t="s">
        <v>3154</v>
      </c>
      <c r="E3434" s="3"/>
    </row>
    <row r="3435" spans="1:5" ht="24.75" customHeight="1">
      <c r="A3435" s="2">
        <v>3433</v>
      </c>
      <c r="B3435" s="2" t="str">
        <f>"邢扬蒙"</f>
        <v>邢扬蒙</v>
      </c>
      <c r="C3435" s="2" t="s">
        <v>3126</v>
      </c>
      <c r="D3435" s="2" t="s">
        <v>3155</v>
      </c>
      <c r="E3435" s="3"/>
    </row>
    <row r="3436" spans="1:5" ht="24.75" customHeight="1">
      <c r="A3436" s="2">
        <v>3434</v>
      </c>
      <c r="B3436" s="2" t="str">
        <f>"张玲"</f>
        <v>张玲</v>
      </c>
      <c r="C3436" s="2" t="s">
        <v>3126</v>
      </c>
      <c r="D3436" s="2" t="s">
        <v>3156</v>
      </c>
      <c r="E3436" s="3"/>
    </row>
    <row r="3437" spans="1:5" ht="24.75" customHeight="1">
      <c r="A3437" s="2">
        <v>3435</v>
      </c>
      <c r="B3437" s="2" t="str">
        <f>"黄珊珊"</f>
        <v>黄珊珊</v>
      </c>
      <c r="C3437" s="2" t="s">
        <v>3126</v>
      </c>
      <c r="D3437" s="2" t="s">
        <v>3157</v>
      </c>
      <c r="E3437" s="3"/>
    </row>
    <row r="3438" spans="1:5" ht="24.75" customHeight="1">
      <c r="A3438" s="2">
        <v>3436</v>
      </c>
      <c r="B3438" s="2" t="str">
        <f>"谢哲"</f>
        <v>谢哲</v>
      </c>
      <c r="C3438" s="2" t="s">
        <v>3126</v>
      </c>
      <c r="D3438" s="2" t="s">
        <v>3158</v>
      </c>
      <c r="E3438" s="3"/>
    </row>
    <row r="3439" spans="1:5" ht="24.75" customHeight="1">
      <c r="A3439" s="2">
        <v>3437</v>
      </c>
      <c r="B3439" s="2" t="str">
        <f>"周冬艳"</f>
        <v>周冬艳</v>
      </c>
      <c r="C3439" s="2" t="s">
        <v>3126</v>
      </c>
      <c r="D3439" s="2" t="s">
        <v>3159</v>
      </c>
      <c r="E3439" s="3"/>
    </row>
    <row r="3440" spans="1:5" ht="24.75" customHeight="1">
      <c r="A3440" s="2">
        <v>3438</v>
      </c>
      <c r="B3440" s="2" t="str">
        <f>"陈莹"</f>
        <v>陈莹</v>
      </c>
      <c r="C3440" s="2" t="s">
        <v>3126</v>
      </c>
      <c r="D3440" s="2" t="s">
        <v>3160</v>
      </c>
      <c r="E3440" s="3"/>
    </row>
    <row r="3441" spans="1:5" ht="24.75" customHeight="1">
      <c r="A3441" s="2">
        <v>3439</v>
      </c>
      <c r="B3441" s="2" t="str">
        <f>"王露娜"</f>
        <v>王露娜</v>
      </c>
      <c r="C3441" s="2" t="s">
        <v>3126</v>
      </c>
      <c r="D3441" s="2" t="s">
        <v>3161</v>
      </c>
      <c r="E3441" s="3"/>
    </row>
    <row r="3442" spans="1:5" ht="24.75" customHeight="1">
      <c r="A3442" s="2">
        <v>3440</v>
      </c>
      <c r="B3442" s="2" t="str">
        <f>"谢经纬"</f>
        <v>谢经纬</v>
      </c>
      <c r="C3442" s="2" t="s">
        <v>3126</v>
      </c>
      <c r="D3442" s="2" t="s">
        <v>3162</v>
      </c>
      <c r="E3442" s="3"/>
    </row>
    <row r="3443" spans="1:5" ht="24.75" customHeight="1">
      <c r="A3443" s="2">
        <v>3441</v>
      </c>
      <c r="B3443" s="2" t="str">
        <f>"许苗苗"</f>
        <v>许苗苗</v>
      </c>
      <c r="C3443" s="2" t="s">
        <v>3126</v>
      </c>
      <c r="D3443" s="2" t="s">
        <v>3163</v>
      </c>
      <c r="E3443" s="3"/>
    </row>
    <row r="3444" spans="1:5" ht="24.75" customHeight="1">
      <c r="A3444" s="2">
        <v>3442</v>
      </c>
      <c r="B3444" s="2" t="str">
        <f>"蔡露露"</f>
        <v>蔡露露</v>
      </c>
      <c r="C3444" s="2" t="s">
        <v>3126</v>
      </c>
      <c r="D3444" s="2" t="s">
        <v>1906</v>
      </c>
      <c r="E3444" s="3"/>
    </row>
    <row r="3445" spans="1:5" ht="24.75" customHeight="1">
      <c r="A3445" s="2">
        <v>3443</v>
      </c>
      <c r="B3445" s="2" t="str">
        <f>"郑家丽"</f>
        <v>郑家丽</v>
      </c>
      <c r="C3445" s="2" t="s">
        <v>3126</v>
      </c>
      <c r="D3445" s="2" t="s">
        <v>3164</v>
      </c>
      <c r="E3445" s="3"/>
    </row>
    <row r="3446" spans="1:5" ht="24.75" customHeight="1">
      <c r="A3446" s="2">
        <v>3444</v>
      </c>
      <c r="B3446" s="2" t="str">
        <f>"陈明权"</f>
        <v>陈明权</v>
      </c>
      <c r="C3446" s="2" t="s">
        <v>3126</v>
      </c>
      <c r="D3446" s="2" t="s">
        <v>3165</v>
      </c>
      <c r="E3446" s="3"/>
    </row>
    <row r="3447" spans="1:5" ht="24.75" customHeight="1">
      <c r="A3447" s="2">
        <v>3445</v>
      </c>
      <c r="B3447" s="2" t="str">
        <f>"朱颖"</f>
        <v>朱颖</v>
      </c>
      <c r="C3447" s="2" t="s">
        <v>3126</v>
      </c>
      <c r="D3447" s="2" t="s">
        <v>3166</v>
      </c>
      <c r="E3447" s="3"/>
    </row>
    <row r="3448" spans="1:5" ht="24.75" customHeight="1">
      <c r="A3448" s="2">
        <v>3446</v>
      </c>
      <c r="B3448" s="2" t="str">
        <f>"周瑶"</f>
        <v>周瑶</v>
      </c>
      <c r="C3448" s="2" t="s">
        <v>3126</v>
      </c>
      <c r="D3448" s="2" t="s">
        <v>1051</v>
      </c>
      <c r="E3448" s="3"/>
    </row>
    <row r="3449" spans="1:5" ht="24.75" customHeight="1">
      <c r="A3449" s="2">
        <v>3447</v>
      </c>
      <c r="B3449" s="2" t="str">
        <f>"符土园"</f>
        <v>符土园</v>
      </c>
      <c r="C3449" s="2" t="s">
        <v>3126</v>
      </c>
      <c r="D3449" s="2" t="s">
        <v>3167</v>
      </c>
      <c r="E3449" s="3"/>
    </row>
    <row r="3450" spans="1:5" ht="24.75" customHeight="1">
      <c r="A3450" s="2">
        <v>3448</v>
      </c>
      <c r="B3450" s="2" t="str">
        <f>"黄连城"</f>
        <v>黄连城</v>
      </c>
      <c r="C3450" s="2" t="s">
        <v>3126</v>
      </c>
      <c r="D3450" s="2" t="s">
        <v>3168</v>
      </c>
      <c r="E3450" s="3"/>
    </row>
    <row r="3451" spans="1:5" ht="24.75" customHeight="1">
      <c r="A3451" s="2">
        <v>3449</v>
      </c>
      <c r="B3451" s="2" t="str">
        <f>"吴小英"</f>
        <v>吴小英</v>
      </c>
      <c r="C3451" s="2" t="s">
        <v>3126</v>
      </c>
      <c r="D3451" s="2" t="s">
        <v>3169</v>
      </c>
      <c r="E3451" s="3"/>
    </row>
    <row r="3452" spans="1:5" ht="24.75" customHeight="1">
      <c r="A3452" s="2">
        <v>3450</v>
      </c>
      <c r="B3452" s="2" t="str">
        <f>"陈光志"</f>
        <v>陈光志</v>
      </c>
      <c r="C3452" s="2" t="s">
        <v>3126</v>
      </c>
      <c r="D3452" s="2" t="s">
        <v>447</v>
      </c>
      <c r="E3452" s="3"/>
    </row>
    <row r="3453" spans="1:5" ht="24.75" customHeight="1">
      <c r="A3453" s="2">
        <v>3451</v>
      </c>
      <c r="B3453" s="2" t="str">
        <f>"郑月新"</f>
        <v>郑月新</v>
      </c>
      <c r="C3453" s="2" t="s">
        <v>3126</v>
      </c>
      <c r="D3453" s="2" t="s">
        <v>3170</v>
      </c>
      <c r="E3453" s="3"/>
    </row>
    <row r="3454" spans="1:5" ht="24.75" customHeight="1">
      <c r="A3454" s="2">
        <v>3452</v>
      </c>
      <c r="B3454" s="2" t="str">
        <f>"孙杰"</f>
        <v>孙杰</v>
      </c>
      <c r="C3454" s="2" t="s">
        <v>3126</v>
      </c>
      <c r="D3454" s="2" t="s">
        <v>479</v>
      </c>
      <c r="E3454" s="3"/>
    </row>
    <row r="3455" spans="1:5" ht="24.75" customHeight="1">
      <c r="A3455" s="2">
        <v>3453</v>
      </c>
      <c r="B3455" s="2" t="str">
        <f>"戚阳"</f>
        <v>戚阳</v>
      </c>
      <c r="C3455" s="2" t="s">
        <v>3126</v>
      </c>
      <c r="D3455" s="2" t="s">
        <v>3104</v>
      </c>
      <c r="E3455" s="3"/>
    </row>
    <row r="3456" spans="1:5" ht="24.75" customHeight="1">
      <c r="A3456" s="2">
        <v>3454</v>
      </c>
      <c r="B3456" s="2" t="str">
        <f>"吴冬妹"</f>
        <v>吴冬妹</v>
      </c>
      <c r="C3456" s="2" t="s">
        <v>3126</v>
      </c>
      <c r="D3456" s="2" t="s">
        <v>3171</v>
      </c>
      <c r="E3456" s="3"/>
    </row>
    <row r="3457" spans="1:5" ht="24.75" customHeight="1">
      <c r="A3457" s="2">
        <v>3455</v>
      </c>
      <c r="B3457" s="2" t="str">
        <f>"陈海婷"</f>
        <v>陈海婷</v>
      </c>
      <c r="C3457" s="2" t="s">
        <v>3126</v>
      </c>
      <c r="D3457" s="2" t="s">
        <v>3172</v>
      </c>
      <c r="E3457" s="3"/>
    </row>
    <row r="3458" spans="1:5" ht="24.75" customHeight="1">
      <c r="A3458" s="2">
        <v>3456</v>
      </c>
      <c r="B3458" s="2" t="str">
        <f>"段金玲"</f>
        <v>段金玲</v>
      </c>
      <c r="C3458" s="2" t="s">
        <v>3126</v>
      </c>
      <c r="D3458" s="2" t="s">
        <v>3173</v>
      </c>
      <c r="E3458" s="3"/>
    </row>
    <row r="3459" spans="1:5" ht="24.75" customHeight="1">
      <c r="A3459" s="2">
        <v>3457</v>
      </c>
      <c r="B3459" s="2" t="str">
        <f>"李松蔚"</f>
        <v>李松蔚</v>
      </c>
      <c r="C3459" s="2" t="s">
        <v>3126</v>
      </c>
      <c r="D3459" s="2" t="s">
        <v>3174</v>
      </c>
      <c r="E3459" s="3"/>
    </row>
    <row r="3460" spans="1:5" ht="24.75" customHeight="1">
      <c r="A3460" s="2">
        <v>3458</v>
      </c>
      <c r="B3460" s="2" t="str">
        <f>"文波"</f>
        <v>文波</v>
      </c>
      <c r="C3460" s="2" t="s">
        <v>3126</v>
      </c>
      <c r="D3460" s="2" t="s">
        <v>3175</v>
      </c>
      <c r="E3460" s="3"/>
    </row>
    <row r="3461" spans="1:5" ht="24.75" customHeight="1">
      <c r="A3461" s="2">
        <v>3459</v>
      </c>
      <c r="B3461" s="2" t="str">
        <f>"赖明裕"</f>
        <v>赖明裕</v>
      </c>
      <c r="C3461" s="2" t="s">
        <v>3126</v>
      </c>
      <c r="D3461" s="2" t="s">
        <v>3176</v>
      </c>
      <c r="E3461" s="3"/>
    </row>
    <row r="3462" spans="1:5" ht="24.75" customHeight="1">
      <c r="A3462" s="2">
        <v>3460</v>
      </c>
      <c r="B3462" s="2" t="str">
        <f>"王晴"</f>
        <v>王晴</v>
      </c>
      <c r="C3462" s="2" t="s">
        <v>3126</v>
      </c>
      <c r="D3462" s="2" t="s">
        <v>3177</v>
      </c>
      <c r="E3462" s="3"/>
    </row>
    <row r="3463" spans="1:5" ht="24.75" customHeight="1">
      <c r="A3463" s="2">
        <v>3461</v>
      </c>
      <c r="B3463" s="2" t="str">
        <f>"张静"</f>
        <v>张静</v>
      </c>
      <c r="C3463" s="2" t="s">
        <v>3126</v>
      </c>
      <c r="D3463" s="2" t="s">
        <v>3178</v>
      </c>
      <c r="E3463" s="3"/>
    </row>
    <row r="3464" spans="1:5" ht="24.75" customHeight="1">
      <c r="A3464" s="2">
        <v>3462</v>
      </c>
      <c r="B3464" s="2" t="str">
        <f>"符朝浩"</f>
        <v>符朝浩</v>
      </c>
      <c r="C3464" s="2" t="s">
        <v>3126</v>
      </c>
      <c r="D3464" s="2" t="s">
        <v>3179</v>
      </c>
      <c r="E3464" s="3"/>
    </row>
    <row r="3465" spans="1:5" ht="24.75" customHeight="1">
      <c r="A3465" s="2">
        <v>3463</v>
      </c>
      <c r="B3465" s="2" t="str">
        <f>"王月琼"</f>
        <v>王月琼</v>
      </c>
      <c r="C3465" s="2" t="s">
        <v>3126</v>
      </c>
      <c r="D3465" s="2" t="s">
        <v>3180</v>
      </c>
      <c r="E3465" s="3"/>
    </row>
    <row r="3466" spans="1:5" ht="24.75" customHeight="1">
      <c r="A3466" s="2">
        <v>3464</v>
      </c>
      <c r="B3466" s="2" t="str">
        <f>"朱俊霞"</f>
        <v>朱俊霞</v>
      </c>
      <c r="C3466" s="2" t="s">
        <v>3181</v>
      </c>
      <c r="D3466" s="2" t="s">
        <v>3182</v>
      </c>
      <c r="E3466" s="3"/>
    </row>
    <row r="3467" spans="1:5" ht="24.75" customHeight="1">
      <c r="A3467" s="2">
        <v>3465</v>
      </c>
      <c r="B3467" s="2" t="str">
        <f>"符亮"</f>
        <v>符亮</v>
      </c>
      <c r="C3467" s="2" t="s">
        <v>3181</v>
      </c>
      <c r="D3467" s="2" t="s">
        <v>2611</v>
      </c>
      <c r="E3467" s="3"/>
    </row>
    <row r="3468" spans="1:5" ht="24.75" customHeight="1">
      <c r="A3468" s="2">
        <v>3466</v>
      </c>
      <c r="B3468" s="2" t="str">
        <f>"叶花婷"</f>
        <v>叶花婷</v>
      </c>
      <c r="C3468" s="2" t="s">
        <v>3181</v>
      </c>
      <c r="D3468" s="2" t="s">
        <v>3183</v>
      </c>
      <c r="E3468" s="3"/>
    </row>
    <row r="3469" spans="1:5" ht="24.75" customHeight="1">
      <c r="A3469" s="2">
        <v>3467</v>
      </c>
      <c r="B3469" s="2" t="str">
        <f>"颜晓丽"</f>
        <v>颜晓丽</v>
      </c>
      <c r="C3469" s="2" t="s">
        <v>3181</v>
      </c>
      <c r="D3469" s="2" t="s">
        <v>3184</v>
      </c>
      <c r="E3469" s="3"/>
    </row>
    <row r="3470" spans="1:5" ht="24.75" customHeight="1">
      <c r="A3470" s="2">
        <v>3468</v>
      </c>
      <c r="B3470" s="2" t="str">
        <f>"许炳佩"</f>
        <v>许炳佩</v>
      </c>
      <c r="C3470" s="2" t="s">
        <v>3181</v>
      </c>
      <c r="D3470" s="2" t="s">
        <v>2336</v>
      </c>
      <c r="E3470" s="3"/>
    </row>
    <row r="3471" spans="1:5" ht="24.75" customHeight="1">
      <c r="A3471" s="2">
        <v>3469</v>
      </c>
      <c r="B3471" s="2" t="str">
        <f>"王晓静"</f>
        <v>王晓静</v>
      </c>
      <c r="C3471" s="2" t="s">
        <v>3181</v>
      </c>
      <c r="D3471" s="2" t="s">
        <v>3185</v>
      </c>
      <c r="E3471" s="3"/>
    </row>
    <row r="3472" spans="1:5" ht="24.75" customHeight="1">
      <c r="A3472" s="2">
        <v>3470</v>
      </c>
      <c r="B3472" s="2" t="str">
        <f>"刘婉莹"</f>
        <v>刘婉莹</v>
      </c>
      <c r="C3472" s="2" t="s">
        <v>3181</v>
      </c>
      <c r="D3472" s="2" t="s">
        <v>3186</v>
      </c>
      <c r="E3472" s="3"/>
    </row>
    <row r="3473" spans="1:5" ht="24.75" customHeight="1">
      <c r="A3473" s="2">
        <v>3471</v>
      </c>
      <c r="B3473" s="2" t="str">
        <f>"黄永成"</f>
        <v>黄永成</v>
      </c>
      <c r="C3473" s="2" t="s">
        <v>3181</v>
      </c>
      <c r="D3473" s="2" t="s">
        <v>3187</v>
      </c>
      <c r="E3473" s="3"/>
    </row>
    <row r="3474" spans="1:5" ht="24.75" customHeight="1">
      <c r="A3474" s="2">
        <v>3472</v>
      </c>
      <c r="B3474" s="2" t="str">
        <f>"郑丽璇"</f>
        <v>郑丽璇</v>
      </c>
      <c r="C3474" s="2" t="s">
        <v>3181</v>
      </c>
      <c r="D3474" s="2" t="s">
        <v>3188</v>
      </c>
      <c r="E3474" s="3"/>
    </row>
    <row r="3475" spans="1:5" ht="24.75" customHeight="1">
      <c r="A3475" s="2">
        <v>3473</v>
      </c>
      <c r="B3475" s="2" t="str">
        <f>"代才钧"</f>
        <v>代才钧</v>
      </c>
      <c r="C3475" s="2" t="s">
        <v>3181</v>
      </c>
      <c r="D3475" s="2" t="s">
        <v>3189</v>
      </c>
      <c r="E3475" s="3"/>
    </row>
    <row r="3476" spans="1:5" ht="24.75" customHeight="1">
      <c r="A3476" s="2">
        <v>3474</v>
      </c>
      <c r="B3476" s="2" t="str">
        <f>"周威"</f>
        <v>周威</v>
      </c>
      <c r="C3476" s="2" t="s">
        <v>3181</v>
      </c>
      <c r="D3476" s="2" t="s">
        <v>3190</v>
      </c>
      <c r="E3476" s="3"/>
    </row>
    <row r="3477" spans="1:5" ht="24.75" customHeight="1">
      <c r="A3477" s="2">
        <v>3475</v>
      </c>
      <c r="B3477" s="2" t="str">
        <f>"张耀"</f>
        <v>张耀</v>
      </c>
      <c r="C3477" s="2" t="s">
        <v>3181</v>
      </c>
      <c r="D3477" s="2" t="s">
        <v>3191</v>
      </c>
      <c r="E3477" s="3"/>
    </row>
    <row r="3478" spans="1:5" ht="24.75" customHeight="1">
      <c r="A3478" s="2">
        <v>3476</v>
      </c>
      <c r="B3478" s="2" t="str">
        <f>"邓晶莹"</f>
        <v>邓晶莹</v>
      </c>
      <c r="C3478" s="2" t="s">
        <v>3181</v>
      </c>
      <c r="D3478" s="2" t="s">
        <v>2615</v>
      </c>
      <c r="E3478" s="3"/>
    </row>
    <row r="3479" spans="1:5" ht="24.75" customHeight="1">
      <c r="A3479" s="2">
        <v>3477</v>
      </c>
      <c r="B3479" s="2" t="str">
        <f>"陈婷婷"</f>
        <v>陈婷婷</v>
      </c>
      <c r="C3479" s="2" t="s">
        <v>3181</v>
      </c>
      <c r="D3479" s="2" t="s">
        <v>3192</v>
      </c>
      <c r="E3479" s="3"/>
    </row>
    <row r="3480" spans="1:5" ht="24.75" customHeight="1">
      <c r="A3480" s="2">
        <v>3478</v>
      </c>
      <c r="B3480" s="2" t="str">
        <f>"郑昌月"</f>
        <v>郑昌月</v>
      </c>
      <c r="C3480" s="2" t="s">
        <v>3181</v>
      </c>
      <c r="D3480" s="2" t="s">
        <v>3193</v>
      </c>
      <c r="E3480" s="3"/>
    </row>
    <row r="3481" spans="1:5" ht="24.75" customHeight="1">
      <c r="A3481" s="2">
        <v>3479</v>
      </c>
      <c r="B3481" s="2" t="str">
        <f>"程金金"</f>
        <v>程金金</v>
      </c>
      <c r="C3481" s="2" t="s">
        <v>3181</v>
      </c>
      <c r="D3481" s="2" t="s">
        <v>3194</v>
      </c>
      <c r="E3481" s="3"/>
    </row>
    <row r="3482" spans="1:5" ht="24.75" customHeight="1">
      <c r="A3482" s="2">
        <v>3480</v>
      </c>
      <c r="B3482" s="2" t="str">
        <f>"徐永康"</f>
        <v>徐永康</v>
      </c>
      <c r="C3482" s="2" t="s">
        <v>3181</v>
      </c>
      <c r="D3482" s="2" t="s">
        <v>3195</v>
      </c>
      <c r="E3482" s="3"/>
    </row>
    <row r="3483" spans="1:5" ht="24.75" customHeight="1">
      <c r="A3483" s="2">
        <v>3481</v>
      </c>
      <c r="B3483" s="2" t="str">
        <f>"邓帆"</f>
        <v>邓帆</v>
      </c>
      <c r="C3483" s="2" t="s">
        <v>3181</v>
      </c>
      <c r="D3483" s="2" t="s">
        <v>3196</v>
      </c>
      <c r="E3483" s="3"/>
    </row>
    <row r="3484" spans="1:5" ht="24.75" customHeight="1">
      <c r="A3484" s="2">
        <v>3482</v>
      </c>
      <c r="B3484" s="2" t="str">
        <f>"梁昌丽"</f>
        <v>梁昌丽</v>
      </c>
      <c r="C3484" s="2" t="s">
        <v>3181</v>
      </c>
      <c r="D3484" s="2" t="s">
        <v>3197</v>
      </c>
      <c r="E3484" s="3"/>
    </row>
    <row r="3485" spans="1:5" ht="24.75" customHeight="1">
      <c r="A3485" s="2">
        <v>3483</v>
      </c>
      <c r="B3485" s="2" t="str">
        <f>"杨植森"</f>
        <v>杨植森</v>
      </c>
      <c r="C3485" s="2" t="s">
        <v>3181</v>
      </c>
      <c r="D3485" s="2" t="s">
        <v>3198</v>
      </c>
      <c r="E3485" s="3"/>
    </row>
    <row r="3486" spans="1:5" ht="24.75" customHeight="1">
      <c r="A3486" s="2">
        <v>3484</v>
      </c>
      <c r="B3486" s="2" t="str">
        <f>"于聪"</f>
        <v>于聪</v>
      </c>
      <c r="C3486" s="2" t="s">
        <v>3181</v>
      </c>
      <c r="D3486" s="2" t="s">
        <v>3199</v>
      </c>
      <c r="E3486" s="3"/>
    </row>
    <row r="3487" spans="1:5" ht="24.75" customHeight="1">
      <c r="A3487" s="2">
        <v>3485</v>
      </c>
      <c r="B3487" s="2" t="str">
        <f>"黄添贻"</f>
        <v>黄添贻</v>
      </c>
      <c r="C3487" s="2" t="s">
        <v>3181</v>
      </c>
      <c r="D3487" s="2" t="s">
        <v>3200</v>
      </c>
      <c r="E3487" s="3"/>
    </row>
    <row r="3488" spans="1:5" ht="24.75" customHeight="1">
      <c r="A3488" s="2">
        <v>3486</v>
      </c>
      <c r="B3488" s="2" t="str">
        <f>"黄厚钧"</f>
        <v>黄厚钧</v>
      </c>
      <c r="C3488" s="2" t="s">
        <v>3181</v>
      </c>
      <c r="D3488" s="2" t="s">
        <v>89</v>
      </c>
      <c r="E3488" s="3"/>
    </row>
    <row r="3489" spans="1:5" ht="24.75" customHeight="1">
      <c r="A3489" s="2">
        <v>3487</v>
      </c>
      <c r="B3489" s="2" t="str">
        <f>"王锦"</f>
        <v>王锦</v>
      </c>
      <c r="C3489" s="2" t="s">
        <v>3181</v>
      </c>
      <c r="D3489" s="2" t="s">
        <v>3201</v>
      </c>
      <c r="E3489" s="3"/>
    </row>
    <row r="3490" spans="1:5" ht="24.75" customHeight="1">
      <c r="A3490" s="2">
        <v>3488</v>
      </c>
      <c r="B3490" s="2" t="str">
        <f>"张慧妹"</f>
        <v>张慧妹</v>
      </c>
      <c r="C3490" s="2" t="s">
        <v>3181</v>
      </c>
      <c r="D3490" s="2" t="s">
        <v>3202</v>
      </c>
      <c r="E3490" s="3"/>
    </row>
    <row r="3491" spans="1:5" ht="24.75" customHeight="1">
      <c r="A3491" s="2">
        <v>3489</v>
      </c>
      <c r="B3491" s="2" t="str">
        <f>"翁业东"</f>
        <v>翁业东</v>
      </c>
      <c r="C3491" s="2" t="s">
        <v>3181</v>
      </c>
      <c r="D3491" s="2" t="s">
        <v>3203</v>
      </c>
      <c r="E3491" s="3"/>
    </row>
    <row r="3492" spans="1:5" ht="24.75" customHeight="1">
      <c r="A3492" s="2">
        <v>3490</v>
      </c>
      <c r="B3492" s="2" t="str">
        <f>"陈青良"</f>
        <v>陈青良</v>
      </c>
      <c r="C3492" s="2" t="s">
        <v>3181</v>
      </c>
      <c r="D3492" s="2" t="s">
        <v>3204</v>
      </c>
      <c r="E3492" s="3"/>
    </row>
    <row r="3493" spans="1:5" ht="24.75" customHeight="1">
      <c r="A3493" s="2">
        <v>3491</v>
      </c>
      <c r="B3493" s="2" t="str">
        <f>"王诗圣"</f>
        <v>王诗圣</v>
      </c>
      <c r="C3493" s="2" t="s">
        <v>3181</v>
      </c>
      <c r="D3493" s="2" t="s">
        <v>3205</v>
      </c>
      <c r="E3493" s="3"/>
    </row>
    <row r="3494" spans="1:5" ht="24.75" customHeight="1">
      <c r="A3494" s="2">
        <v>3492</v>
      </c>
      <c r="B3494" s="2" t="str">
        <f>"李杨"</f>
        <v>李杨</v>
      </c>
      <c r="C3494" s="2" t="s">
        <v>3181</v>
      </c>
      <c r="D3494" s="2" t="s">
        <v>2515</v>
      </c>
      <c r="E3494" s="3"/>
    </row>
    <row r="3495" spans="1:5" ht="24.75" customHeight="1">
      <c r="A3495" s="2">
        <v>3493</v>
      </c>
      <c r="B3495" s="2" t="str">
        <f>"符红茹"</f>
        <v>符红茹</v>
      </c>
      <c r="C3495" s="2" t="s">
        <v>3181</v>
      </c>
      <c r="D3495" s="2" t="s">
        <v>3206</v>
      </c>
      <c r="E3495" s="3"/>
    </row>
    <row r="3496" spans="1:5" ht="24.75" customHeight="1">
      <c r="A3496" s="2">
        <v>3494</v>
      </c>
      <c r="B3496" s="2" t="str">
        <f>"徐欢"</f>
        <v>徐欢</v>
      </c>
      <c r="C3496" s="2" t="s">
        <v>3181</v>
      </c>
      <c r="D3496" s="2" t="s">
        <v>3207</v>
      </c>
      <c r="E3496" s="3"/>
    </row>
    <row r="3497" spans="1:5" ht="24.75" customHeight="1">
      <c r="A3497" s="2">
        <v>3495</v>
      </c>
      <c r="B3497" s="2" t="str">
        <f>"王妍"</f>
        <v>王妍</v>
      </c>
      <c r="C3497" s="2" t="s">
        <v>3181</v>
      </c>
      <c r="D3497" s="2" t="s">
        <v>3208</v>
      </c>
      <c r="E3497" s="3"/>
    </row>
    <row r="3498" spans="1:5" ht="24.75" customHeight="1">
      <c r="A3498" s="2">
        <v>3496</v>
      </c>
      <c r="B3498" s="2" t="str">
        <f>"钟琳"</f>
        <v>钟琳</v>
      </c>
      <c r="C3498" s="2" t="s">
        <v>3181</v>
      </c>
      <c r="D3498" s="2" t="s">
        <v>3209</v>
      </c>
      <c r="E3498" s="3"/>
    </row>
    <row r="3499" spans="1:5" ht="24.75" customHeight="1">
      <c r="A3499" s="2">
        <v>3497</v>
      </c>
      <c r="B3499" s="2" t="str">
        <f>"谭君时"</f>
        <v>谭君时</v>
      </c>
      <c r="C3499" s="2" t="s">
        <v>3181</v>
      </c>
      <c r="D3499" s="2" t="s">
        <v>3210</v>
      </c>
      <c r="E3499" s="3"/>
    </row>
    <row r="3500" spans="1:5" ht="24.75" customHeight="1">
      <c r="A3500" s="2">
        <v>3498</v>
      </c>
      <c r="B3500" s="2" t="str">
        <f>"李龙"</f>
        <v>李龙</v>
      </c>
      <c r="C3500" s="2" t="s">
        <v>3181</v>
      </c>
      <c r="D3500" s="2" t="s">
        <v>3211</v>
      </c>
      <c r="E3500" s="3"/>
    </row>
    <row r="3501" spans="1:5" ht="24.75" customHeight="1">
      <c r="A3501" s="2">
        <v>3499</v>
      </c>
      <c r="B3501" s="2" t="str">
        <f>"麦迪尔"</f>
        <v>麦迪尔</v>
      </c>
      <c r="C3501" s="2" t="s">
        <v>3181</v>
      </c>
      <c r="D3501" s="2" t="s">
        <v>2174</v>
      </c>
      <c r="E3501" s="3"/>
    </row>
    <row r="3502" spans="1:5" ht="24.75" customHeight="1">
      <c r="A3502" s="2">
        <v>3500</v>
      </c>
      <c r="B3502" s="2" t="str">
        <f>"陈淑桃"</f>
        <v>陈淑桃</v>
      </c>
      <c r="C3502" s="2" t="s">
        <v>3181</v>
      </c>
      <c r="D3502" s="2" t="s">
        <v>3212</v>
      </c>
      <c r="E3502" s="3"/>
    </row>
    <row r="3503" spans="1:5" ht="24.75" customHeight="1">
      <c r="A3503" s="2">
        <v>3501</v>
      </c>
      <c r="B3503" s="2" t="str">
        <f>"蓝英霞"</f>
        <v>蓝英霞</v>
      </c>
      <c r="C3503" s="2" t="s">
        <v>3181</v>
      </c>
      <c r="D3503" s="2" t="s">
        <v>3213</v>
      </c>
      <c r="E3503" s="3"/>
    </row>
    <row r="3504" spans="1:5" ht="24.75" customHeight="1">
      <c r="A3504" s="2">
        <v>3502</v>
      </c>
      <c r="B3504" s="2" t="str">
        <f>"王天宝"</f>
        <v>王天宝</v>
      </c>
      <c r="C3504" s="2" t="s">
        <v>3181</v>
      </c>
      <c r="D3504" s="2" t="s">
        <v>3214</v>
      </c>
      <c r="E3504" s="3"/>
    </row>
    <row r="3505" spans="1:5" ht="24.75" customHeight="1">
      <c r="A3505" s="2">
        <v>3503</v>
      </c>
      <c r="B3505" s="2" t="str">
        <f>"张龙"</f>
        <v>张龙</v>
      </c>
      <c r="C3505" s="2" t="s">
        <v>3181</v>
      </c>
      <c r="D3505" s="2" t="s">
        <v>3215</v>
      </c>
      <c r="E3505" s="3"/>
    </row>
    <row r="3506" spans="1:5" ht="24.75" customHeight="1">
      <c r="A3506" s="2">
        <v>3504</v>
      </c>
      <c r="B3506" s="2" t="str">
        <f>"洪敏"</f>
        <v>洪敏</v>
      </c>
      <c r="C3506" s="2" t="s">
        <v>3181</v>
      </c>
      <c r="D3506" s="2" t="s">
        <v>3139</v>
      </c>
      <c r="E3506" s="3"/>
    </row>
    <row r="3507" spans="1:5" ht="24.75" customHeight="1">
      <c r="A3507" s="2">
        <v>3505</v>
      </c>
      <c r="B3507" s="2" t="str">
        <f>"梁丁尹"</f>
        <v>梁丁尹</v>
      </c>
      <c r="C3507" s="2" t="s">
        <v>3181</v>
      </c>
      <c r="D3507" s="2" t="s">
        <v>2527</v>
      </c>
      <c r="E3507" s="3"/>
    </row>
    <row r="3508" spans="1:5" ht="24.75" customHeight="1">
      <c r="A3508" s="2">
        <v>3506</v>
      </c>
      <c r="B3508" s="2" t="str">
        <f>"朱剑瑞"</f>
        <v>朱剑瑞</v>
      </c>
      <c r="C3508" s="2" t="s">
        <v>3181</v>
      </c>
      <c r="D3508" s="2" t="s">
        <v>3216</v>
      </c>
      <c r="E3508" s="3"/>
    </row>
    <row r="3509" spans="1:5" ht="24.75" customHeight="1">
      <c r="A3509" s="2">
        <v>3507</v>
      </c>
      <c r="B3509" s="2" t="str">
        <f>"黎明昊"</f>
        <v>黎明昊</v>
      </c>
      <c r="C3509" s="2" t="s">
        <v>3181</v>
      </c>
      <c r="D3509" s="2" t="s">
        <v>889</v>
      </c>
      <c r="E3509" s="3"/>
    </row>
    <row r="3510" spans="1:5" ht="24.75" customHeight="1">
      <c r="A3510" s="2">
        <v>3508</v>
      </c>
      <c r="B3510" s="2" t="str">
        <f>"苏尾香"</f>
        <v>苏尾香</v>
      </c>
      <c r="C3510" s="2" t="s">
        <v>3181</v>
      </c>
      <c r="D3510" s="2" t="s">
        <v>3217</v>
      </c>
      <c r="E3510" s="3"/>
    </row>
    <row r="3511" spans="1:5" ht="24.75" customHeight="1">
      <c r="A3511" s="2">
        <v>3509</v>
      </c>
      <c r="B3511" s="2" t="str">
        <f>"黄学番"</f>
        <v>黄学番</v>
      </c>
      <c r="C3511" s="2" t="s">
        <v>3181</v>
      </c>
      <c r="D3511" s="2" t="s">
        <v>3218</v>
      </c>
      <c r="E3511" s="3"/>
    </row>
    <row r="3512" spans="1:5" ht="24.75" customHeight="1">
      <c r="A3512" s="2">
        <v>3510</v>
      </c>
      <c r="B3512" s="2" t="str">
        <f>"龙政武"</f>
        <v>龙政武</v>
      </c>
      <c r="C3512" s="2" t="s">
        <v>3181</v>
      </c>
      <c r="D3512" s="2" t="s">
        <v>3219</v>
      </c>
      <c r="E3512" s="3"/>
    </row>
    <row r="3513" spans="1:5" ht="24.75" customHeight="1">
      <c r="A3513" s="2">
        <v>3511</v>
      </c>
      <c r="B3513" s="2" t="str">
        <f>"王羚又"</f>
        <v>王羚又</v>
      </c>
      <c r="C3513" s="2" t="s">
        <v>3181</v>
      </c>
      <c r="D3513" s="2" t="s">
        <v>3220</v>
      </c>
      <c r="E3513" s="3"/>
    </row>
    <row r="3514" spans="1:5" ht="24.75" customHeight="1">
      <c r="A3514" s="2">
        <v>3512</v>
      </c>
      <c r="B3514" s="2" t="str">
        <f>"朱夏岑"</f>
        <v>朱夏岑</v>
      </c>
      <c r="C3514" s="2" t="s">
        <v>3181</v>
      </c>
      <c r="D3514" s="2" t="s">
        <v>3221</v>
      </c>
      <c r="E3514" s="3"/>
    </row>
    <row r="3515" spans="1:5" ht="24.75" customHeight="1">
      <c r="A3515" s="2">
        <v>3513</v>
      </c>
      <c r="B3515" s="2" t="str">
        <f>"林水淋"</f>
        <v>林水淋</v>
      </c>
      <c r="C3515" s="2" t="s">
        <v>3181</v>
      </c>
      <c r="D3515" s="2" t="s">
        <v>3222</v>
      </c>
      <c r="E3515" s="3"/>
    </row>
    <row r="3516" spans="1:5" ht="24.75" customHeight="1">
      <c r="A3516" s="2">
        <v>3514</v>
      </c>
      <c r="B3516" s="2" t="str">
        <f>"周文靖"</f>
        <v>周文靖</v>
      </c>
      <c r="C3516" s="2" t="s">
        <v>3181</v>
      </c>
      <c r="D3516" s="2" t="s">
        <v>3139</v>
      </c>
      <c r="E3516" s="3"/>
    </row>
    <row r="3517" spans="1:5" ht="24.75" customHeight="1">
      <c r="A3517" s="2">
        <v>3515</v>
      </c>
      <c r="B3517" s="2" t="str">
        <f>"刘迈"</f>
        <v>刘迈</v>
      </c>
      <c r="C3517" s="2" t="s">
        <v>3181</v>
      </c>
      <c r="D3517" s="2" t="s">
        <v>3223</v>
      </c>
      <c r="E3517" s="3"/>
    </row>
    <row r="3518" spans="1:5" ht="24.75" customHeight="1">
      <c r="A3518" s="2">
        <v>3516</v>
      </c>
      <c r="B3518" s="2" t="str">
        <f>"苟丽婷"</f>
        <v>苟丽婷</v>
      </c>
      <c r="C3518" s="2" t="s">
        <v>3181</v>
      </c>
      <c r="D3518" s="2" t="s">
        <v>3224</v>
      </c>
      <c r="E3518" s="3"/>
    </row>
    <row r="3519" spans="1:5" ht="24.75" customHeight="1">
      <c r="A3519" s="2">
        <v>3517</v>
      </c>
      <c r="B3519" s="2" t="str">
        <f>"冯雪景"</f>
        <v>冯雪景</v>
      </c>
      <c r="C3519" s="2" t="s">
        <v>3181</v>
      </c>
      <c r="D3519" s="2" t="s">
        <v>3225</v>
      </c>
      <c r="E3519" s="3"/>
    </row>
    <row r="3520" spans="1:5" ht="24.75" customHeight="1">
      <c r="A3520" s="2">
        <v>3518</v>
      </c>
      <c r="B3520" s="2" t="str">
        <f>"程腾坤"</f>
        <v>程腾坤</v>
      </c>
      <c r="C3520" s="2" t="s">
        <v>3181</v>
      </c>
      <c r="D3520" s="2" t="s">
        <v>3226</v>
      </c>
      <c r="E3520" s="3"/>
    </row>
    <row r="3521" spans="1:5" ht="24.75" customHeight="1">
      <c r="A3521" s="2">
        <v>3519</v>
      </c>
      <c r="B3521" s="2" t="str">
        <f>"陈婵婵"</f>
        <v>陈婵婵</v>
      </c>
      <c r="C3521" s="2" t="s">
        <v>3181</v>
      </c>
      <c r="D3521" s="2" t="s">
        <v>3227</v>
      </c>
      <c r="E3521" s="3"/>
    </row>
    <row r="3522" spans="1:5" ht="24.75" customHeight="1">
      <c r="A3522" s="2">
        <v>3520</v>
      </c>
      <c r="B3522" s="2" t="str">
        <f>"黄萱"</f>
        <v>黄萱</v>
      </c>
      <c r="C3522" s="2" t="s">
        <v>3181</v>
      </c>
      <c r="D3522" s="2" t="s">
        <v>264</v>
      </c>
      <c r="E3522" s="3"/>
    </row>
    <row r="3523" spans="1:5" ht="24.75" customHeight="1">
      <c r="A3523" s="2">
        <v>3521</v>
      </c>
      <c r="B3523" s="2" t="str">
        <f>"王晓霞"</f>
        <v>王晓霞</v>
      </c>
      <c r="C3523" s="2" t="s">
        <v>3181</v>
      </c>
      <c r="D3523" s="2" t="s">
        <v>3228</v>
      </c>
      <c r="E3523" s="3"/>
    </row>
    <row r="3524" spans="1:5" ht="24.75" customHeight="1">
      <c r="A3524" s="2">
        <v>3522</v>
      </c>
      <c r="B3524" s="2" t="str">
        <f>"张宏慧"</f>
        <v>张宏慧</v>
      </c>
      <c r="C3524" s="2" t="s">
        <v>3181</v>
      </c>
      <c r="D3524" s="2" t="s">
        <v>3229</v>
      </c>
      <c r="E3524" s="3"/>
    </row>
    <row r="3525" spans="1:5" ht="24.75" customHeight="1">
      <c r="A3525" s="2">
        <v>3523</v>
      </c>
      <c r="B3525" s="2" t="str">
        <f>"韩毅"</f>
        <v>韩毅</v>
      </c>
      <c r="C3525" s="2" t="s">
        <v>3181</v>
      </c>
      <c r="D3525" s="2" t="s">
        <v>3230</v>
      </c>
      <c r="E3525" s="3"/>
    </row>
    <row r="3526" spans="1:5" ht="24.75" customHeight="1">
      <c r="A3526" s="2">
        <v>3524</v>
      </c>
      <c r="B3526" s="2" t="str">
        <f>"陈雅莉"</f>
        <v>陈雅莉</v>
      </c>
      <c r="C3526" s="2" t="s">
        <v>3181</v>
      </c>
      <c r="D3526" s="2" t="s">
        <v>3231</v>
      </c>
      <c r="E3526" s="3"/>
    </row>
    <row r="3527" spans="1:5" ht="24.75" customHeight="1">
      <c r="A3527" s="2">
        <v>3525</v>
      </c>
      <c r="B3527" s="2" t="str">
        <f>"黄晟昊"</f>
        <v>黄晟昊</v>
      </c>
      <c r="C3527" s="2" t="s">
        <v>3181</v>
      </c>
      <c r="D3527" s="2" t="s">
        <v>3203</v>
      </c>
      <c r="E3527" s="3"/>
    </row>
    <row r="3528" spans="1:5" ht="24.75" customHeight="1">
      <c r="A3528" s="2">
        <v>3526</v>
      </c>
      <c r="B3528" s="2" t="str">
        <f>"李多芳"</f>
        <v>李多芳</v>
      </c>
      <c r="C3528" s="2" t="s">
        <v>3181</v>
      </c>
      <c r="D3528" s="2" t="s">
        <v>3232</v>
      </c>
      <c r="E3528" s="3"/>
    </row>
    <row r="3529" spans="1:5" ht="24.75" customHeight="1">
      <c r="A3529" s="2">
        <v>3527</v>
      </c>
      <c r="B3529" s="2" t="str">
        <f>"邢谷毅"</f>
        <v>邢谷毅</v>
      </c>
      <c r="C3529" s="2" t="s">
        <v>3233</v>
      </c>
      <c r="D3529" s="2" t="s">
        <v>1629</v>
      </c>
      <c r="E3529" s="3"/>
    </row>
    <row r="3530" spans="1:5" ht="24.75" customHeight="1">
      <c r="A3530" s="2">
        <v>3528</v>
      </c>
      <c r="B3530" s="2" t="str">
        <f>"麦海莹"</f>
        <v>麦海莹</v>
      </c>
      <c r="C3530" s="2" t="s">
        <v>3233</v>
      </c>
      <c r="D3530" s="2" t="s">
        <v>3234</v>
      </c>
      <c r="E3530" s="3"/>
    </row>
    <row r="3531" spans="1:5" ht="24.75" customHeight="1">
      <c r="A3531" s="2">
        <v>3529</v>
      </c>
      <c r="B3531" s="2" t="str">
        <f>"莫寒"</f>
        <v>莫寒</v>
      </c>
      <c r="C3531" s="2" t="s">
        <v>3233</v>
      </c>
      <c r="D3531" s="2" t="s">
        <v>3235</v>
      </c>
      <c r="E3531" s="3"/>
    </row>
    <row r="3532" spans="1:5" ht="24.75" customHeight="1">
      <c r="A3532" s="2">
        <v>3530</v>
      </c>
      <c r="B3532" s="2" t="str">
        <f>"吴钟宏"</f>
        <v>吴钟宏</v>
      </c>
      <c r="C3532" s="2" t="s">
        <v>3233</v>
      </c>
      <c r="D3532" s="2" t="s">
        <v>3236</v>
      </c>
      <c r="E3532" s="3"/>
    </row>
    <row r="3533" spans="1:5" ht="24.75" customHeight="1">
      <c r="A3533" s="2">
        <v>3531</v>
      </c>
      <c r="B3533" s="2" t="str">
        <f>"林满"</f>
        <v>林满</v>
      </c>
      <c r="C3533" s="2" t="s">
        <v>3233</v>
      </c>
      <c r="D3533" s="2" t="s">
        <v>3237</v>
      </c>
      <c r="E3533" s="3"/>
    </row>
    <row r="3534" spans="1:5" ht="24.75" customHeight="1">
      <c r="A3534" s="2">
        <v>3532</v>
      </c>
      <c r="B3534" s="2" t="str">
        <f>"张铖文"</f>
        <v>张铖文</v>
      </c>
      <c r="C3534" s="2" t="s">
        <v>3233</v>
      </c>
      <c r="D3534" s="2" t="s">
        <v>3238</v>
      </c>
      <c r="E3534" s="3"/>
    </row>
    <row r="3535" spans="1:5" ht="24.75" customHeight="1">
      <c r="A3535" s="2">
        <v>3533</v>
      </c>
      <c r="B3535" s="2" t="str">
        <f>"孔德杨"</f>
        <v>孔德杨</v>
      </c>
      <c r="C3535" s="2" t="s">
        <v>3233</v>
      </c>
      <c r="D3535" s="2" t="s">
        <v>3239</v>
      </c>
      <c r="E3535" s="3"/>
    </row>
    <row r="3536" spans="1:5" ht="24.75" customHeight="1">
      <c r="A3536" s="2">
        <v>3534</v>
      </c>
      <c r="B3536" s="2" t="str">
        <f>"王韬"</f>
        <v>王韬</v>
      </c>
      <c r="C3536" s="2" t="s">
        <v>3233</v>
      </c>
      <c r="D3536" s="2" t="s">
        <v>3240</v>
      </c>
      <c r="E3536" s="3"/>
    </row>
    <row r="3537" spans="1:5" ht="24.75" customHeight="1">
      <c r="A3537" s="2">
        <v>3535</v>
      </c>
      <c r="B3537" s="2" t="str">
        <f>"王明瑞"</f>
        <v>王明瑞</v>
      </c>
      <c r="C3537" s="2" t="s">
        <v>3233</v>
      </c>
      <c r="D3537" s="2" t="s">
        <v>3241</v>
      </c>
      <c r="E3537" s="3"/>
    </row>
    <row r="3538" spans="1:5" ht="24.75" customHeight="1">
      <c r="A3538" s="2">
        <v>3536</v>
      </c>
      <c r="B3538" s="2" t="str">
        <f>"王鹏"</f>
        <v>王鹏</v>
      </c>
      <c r="C3538" s="2" t="s">
        <v>3233</v>
      </c>
      <c r="D3538" s="2" t="s">
        <v>3242</v>
      </c>
      <c r="E3538" s="3"/>
    </row>
    <row r="3539" spans="1:5" ht="24.75" customHeight="1">
      <c r="A3539" s="2">
        <v>3537</v>
      </c>
      <c r="B3539" s="2" t="str">
        <f>"钟译慧"</f>
        <v>钟译慧</v>
      </c>
      <c r="C3539" s="2" t="s">
        <v>3233</v>
      </c>
      <c r="D3539" s="2" t="s">
        <v>3243</v>
      </c>
      <c r="E3539" s="3"/>
    </row>
    <row r="3540" spans="1:5" ht="24.75" customHeight="1">
      <c r="A3540" s="2">
        <v>3538</v>
      </c>
      <c r="B3540" s="2" t="str">
        <f>"杨铠菱"</f>
        <v>杨铠菱</v>
      </c>
      <c r="C3540" s="2" t="s">
        <v>3233</v>
      </c>
      <c r="D3540" s="2" t="s">
        <v>231</v>
      </c>
      <c r="E3540" s="3"/>
    </row>
    <row r="3541" spans="1:5" ht="24.75" customHeight="1">
      <c r="A3541" s="2">
        <v>3539</v>
      </c>
      <c r="B3541" s="2" t="str">
        <f>"廖晨月"</f>
        <v>廖晨月</v>
      </c>
      <c r="C3541" s="2" t="s">
        <v>3233</v>
      </c>
      <c r="D3541" s="2" t="s">
        <v>3244</v>
      </c>
      <c r="E3541" s="3"/>
    </row>
    <row r="3542" spans="1:5" ht="24.75" customHeight="1">
      <c r="A3542" s="2">
        <v>3540</v>
      </c>
      <c r="B3542" s="2" t="str">
        <f>"王群驹"</f>
        <v>王群驹</v>
      </c>
      <c r="C3542" s="2" t="s">
        <v>3233</v>
      </c>
      <c r="D3542" s="2" t="s">
        <v>3245</v>
      </c>
      <c r="E3542" s="3"/>
    </row>
    <row r="3543" spans="1:5" ht="24.75" customHeight="1">
      <c r="A3543" s="2">
        <v>3541</v>
      </c>
      <c r="B3543" s="2" t="str">
        <f>"李亚翔"</f>
        <v>李亚翔</v>
      </c>
      <c r="C3543" s="2" t="s">
        <v>3233</v>
      </c>
      <c r="D3543" s="2" t="s">
        <v>3246</v>
      </c>
      <c r="E3543" s="3"/>
    </row>
    <row r="3544" spans="1:5" ht="24.75" customHeight="1">
      <c r="A3544" s="2">
        <v>3542</v>
      </c>
      <c r="B3544" s="2" t="str">
        <f>"曾春媚"</f>
        <v>曾春媚</v>
      </c>
      <c r="C3544" s="2" t="s">
        <v>3233</v>
      </c>
      <c r="D3544" s="2" t="s">
        <v>3247</v>
      </c>
      <c r="E3544" s="3"/>
    </row>
    <row r="3545" spans="1:5" ht="24.75" customHeight="1">
      <c r="A3545" s="2">
        <v>3543</v>
      </c>
      <c r="B3545" s="2" t="str">
        <f>"陈珏瑛"</f>
        <v>陈珏瑛</v>
      </c>
      <c r="C3545" s="2" t="s">
        <v>3233</v>
      </c>
      <c r="D3545" s="2" t="s">
        <v>3248</v>
      </c>
      <c r="E3545" s="3"/>
    </row>
    <row r="3546" spans="1:5" ht="24.75" customHeight="1">
      <c r="A3546" s="2">
        <v>3544</v>
      </c>
      <c r="B3546" s="2" t="str">
        <f>"吉福桑"</f>
        <v>吉福桑</v>
      </c>
      <c r="C3546" s="2" t="s">
        <v>3233</v>
      </c>
      <c r="D3546" s="2" t="s">
        <v>3249</v>
      </c>
      <c r="E3546" s="3"/>
    </row>
    <row r="3547" spans="1:5" ht="24.75" customHeight="1">
      <c r="A3547" s="2">
        <v>3545</v>
      </c>
      <c r="B3547" s="2" t="str">
        <f>"廖晨阳"</f>
        <v>廖晨阳</v>
      </c>
      <c r="C3547" s="2" t="s">
        <v>3233</v>
      </c>
      <c r="D3547" s="2" t="s">
        <v>3250</v>
      </c>
      <c r="E3547" s="3"/>
    </row>
    <row r="3548" spans="1:5" ht="24.75" customHeight="1">
      <c r="A3548" s="2">
        <v>3546</v>
      </c>
      <c r="B3548" s="2" t="str">
        <f>"李婕"</f>
        <v>李婕</v>
      </c>
      <c r="C3548" s="2" t="s">
        <v>3233</v>
      </c>
      <c r="D3548" s="2" t="s">
        <v>3251</v>
      </c>
      <c r="E3548" s="3"/>
    </row>
    <row r="3549" spans="1:5" ht="24.75" customHeight="1">
      <c r="A3549" s="2">
        <v>3547</v>
      </c>
      <c r="B3549" s="2" t="str">
        <f>"吴进"</f>
        <v>吴进</v>
      </c>
      <c r="C3549" s="2" t="s">
        <v>3233</v>
      </c>
      <c r="D3549" s="2" t="s">
        <v>2826</v>
      </c>
      <c r="E3549" s="3"/>
    </row>
    <row r="3550" spans="1:5" ht="24.75" customHeight="1">
      <c r="A3550" s="2">
        <v>3548</v>
      </c>
      <c r="B3550" s="2" t="str">
        <f>"郑璇颖"</f>
        <v>郑璇颖</v>
      </c>
      <c r="C3550" s="2" t="s">
        <v>3233</v>
      </c>
      <c r="D3550" s="2" t="s">
        <v>3252</v>
      </c>
      <c r="E3550" s="3"/>
    </row>
    <row r="3551" spans="1:5" ht="24.75" customHeight="1">
      <c r="A3551" s="2">
        <v>3549</v>
      </c>
      <c r="B3551" s="2" t="str">
        <f>"苏安果"</f>
        <v>苏安果</v>
      </c>
      <c r="C3551" s="2" t="s">
        <v>3233</v>
      </c>
      <c r="D3551" s="2" t="s">
        <v>1682</v>
      </c>
      <c r="E3551" s="3"/>
    </row>
    <row r="3552" spans="1:5" ht="24.75" customHeight="1">
      <c r="A3552" s="2">
        <v>3550</v>
      </c>
      <c r="B3552" s="2" t="str">
        <f>"王川梅"</f>
        <v>王川梅</v>
      </c>
      <c r="C3552" s="2" t="s">
        <v>3233</v>
      </c>
      <c r="D3552" s="2" t="s">
        <v>3253</v>
      </c>
      <c r="E3552" s="3"/>
    </row>
    <row r="3553" spans="1:5" ht="24.75" customHeight="1">
      <c r="A3553" s="2">
        <v>3551</v>
      </c>
      <c r="B3553" s="2" t="str">
        <f>"黄英姿"</f>
        <v>黄英姿</v>
      </c>
      <c r="C3553" s="2" t="s">
        <v>3233</v>
      </c>
      <c r="D3553" s="2" t="s">
        <v>3254</v>
      </c>
      <c r="E3553" s="3"/>
    </row>
    <row r="3554" spans="1:5" ht="24.75" customHeight="1">
      <c r="A3554" s="2">
        <v>3552</v>
      </c>
      <c r="B3554" s="2" t="str">
        <f>"符巧巧"</f>
        <v>符巧巧</v>
      </c>
      <c r="C3554" s="2" t="s">
        <v>3233</v>
      </c>
      <c r="D3554" s="2" t="s">
        <v>293</v>
      </c>
      <c r="E3554" s="3"/>
    </row>
    <row r="3555" spans="1:5" ht="24.75" customHeight="1">
      <c r="A3555" s="2">
        <v>3553</v>
      </c>
      <c r="B3555" s="2" t="str">
        <f>"吴菊"</f>
        <v>吴菊</v>
      </c>
      <c r="C3555" s="2" t="s">
        <v>3233</v>
      </c>
      <c r="D3555" s="2" t="s">
        <v>369</v>
      </c>
      <c r="E3555" s="3"/>
    </row>
    <row r="3556" spans="1:5" ht="24.75" customHeight="1">
      <c r="A3556" s="2">
        <v>3554</v>
      </c>
      <c r="B3556" s="2" t="str">
        <f>"王积泰"</f>
        <v>王积泰</v>
      </c>
      <c r="C3556" s="2" t="s">
        <v>3233</v>
      </c>
      <c r="D3556" s="2" t="s">
        <v>3255</v>
      </c>
      <c r="E3556" s="3"/>
    </row>
    <row r="3557" spans="1:5" ht="24.75" customHeight="1">
      <c r="A3557" s="2">
        <v>3555</v>
      </c>
      <c r="B3557" s="2" t="str">
        <f>"徐谨双"</f>
        <v>徐谨双</v>
      </c>
      <c r="C3557" s="2" t="s">
        <v>3233</v>
      </c>
      <c r="D3557" s="2" t="s">
        <v>3256</v>
      </c>
      <c r="E3557" s="3"/>
    </row>
    <row r="3558" spans="1:5" ht="24.75" customHeight="1">
      <c r="A3558" s="2">
        <v>3556</v>
      </c>
      <c r="B3558" s="2" t="str">
        <f>"邓晶"</f>
        <v>邓晶</v>
      </c>
      <c r="C3558" s="2" t="s">
        <v>3233</v>
      </c>
      <c r="D3558" s="2" t="s">
        <v>3257</v>
      </c>
      <c r="E3558" s="3"/>
    </row>
    <row r="3559" spans="1:5" ht="24.75" customHeight="1">
      <c r="A3559" s="2">
        <v>3557</v>
      </c>
      <c r="B3559" s="2" t="str">
        <f>"许舒新"</f>
        <v>许舒新</v>
      </c>
      <c r="C3559" s="2" t="s">
        <v>3233</v>
      </c>
      <c r="D3559" s="2" t="s">
        <v>568</v>
      </c>
      <c r="E3559" s="3"/>
    </row>
    <row r="3560" spans="1:5" ht="24.75" customHeight="1">
      <c r="A3560" s="2">
        <v>3558</v>
      </c>
      <c r="B3560" s="2" t="str">
        <f>"黄帅军"</f>
        <v>黄帅军</v>
      </c>
      <c r="C3560" s="2" t="s">
        <v>3233</v>
      </c>
      <c r="D3560" s="2" t="s">
        <v>3258</v>
      </c>
      <c r="E3560" s="3"/>
    </row>
    <row r="3561" spans="1:5" ht="24.75" customHeight="1">
      <c r="A3561" s="2">
        <v>3559</v>
      </c>
      <c r="B3561" s="2" t="str">
        <f>"郑晓莹"</f>
        <v>郑晓莹</v>
      </c>
      <c r="C3561" s="2" t="s">
        <v>3233</v>
      </c>
      <c r="D3561" s="2" t="s">
        <v>3259</v>
      </c>
      <c r="E3561" s="3"/>
    </row>
    <row r="3562" spans="1:5" ht="24.75" customHeight="1">
      <c r="A3562" s="2">
        <v>3560</v>
      </c>
      <c r="B3562" s="2" t="str">
        <f>"巴勒古丽·艾力吉给提"</f>
        <v>巴勒古丽·艾力吉给提</v>
      </c>
      <c r="C3562" s="2" t="s">
        <v>3233</v>
      </c>
      <c r="D3562" s="2" t="s">
        <v>3260</v>
      </c>
      <c r="E3562" s="3"/>
    </row>
    <row r="3563" spans="1:5" ht="24.75" customHeight="1">
      <c r="A3563" s="2">
        <v>3561</v>
      </c>
      <c r="B3563" s="2" t="str">
        <f>"邢如愿"</f>
        <v>邢如愿</v>
      </c>
      <c r="C3563" s="2" t="s">
        <v>3233</v>
      </c>
      <c r="D3563" s="2" t="s">
        <v>3261</v>
      </c>
      <c r="E3563" s="3"/>
    </row>
    <row r="3564" spans="1:5" ht="24.75" customHeight="1">
      <c r="A3564" s="2">
        <v>3562</v>
      </c>
      <c r="B3564" s="2" t="str">
        <f>"黄柔洁"</f>
        <v>黄柔洁</v>
      </c>
      <c r="C3564" s="2" t="s">
        <v>3233</v>
      </c>
      <c r="D3564" s="2" t="s">
        <v>3262</v>
      </c>
      <c r="E3564" s="3"/>
    </row>
    <row r="3565" spans="1:5" ht="24.75" customHeight="1">
      <c r="A3565" s="2">
        <v>3563</v>
      </c>
      <c r="B3565" s="2" t="str">
        <f>"王连娇"</f>
        <v>王连娇</v>
      </c>
      <c r="C3565" s="2" t="s">
        <v>3233</v>
      </c>
      <c r="D3565" s="2" t="s">
        <v>3263</v>
      </c>
      <c r="E3565" s="3"/>
    </row>
    <row r="3566" spans="1:5" ht="24.75" customHeight="1">
      <c r="A3566" s="2">
        <v>3564</v>
      </c>
      <c r="B3566" s="2" t="str">
        <f>"林旭凤"</f>
        <v>林旭凤</v>
      </c>
      <c r="C3566" s="2" t="s">
        <v>3233</v>
      </c>
      <c r="D3566" s="2" t="s">
        <v>3264</v>
      </c>
      <c r="E3566" s="3"/>
    </row>
    <row r="3567" spans="1:5" ht="24.75" customHeight="1">
      <c r="A3567" s="2">
        <v>3565</v>
      </c>
      <c r="B3567" s="2" t="str">
        <f>"殷燕子"</f>
        <v>殷燕子</v>
      </c>
      <c r="C3567" s="2" t="s">
        <v>3233</v>
      </c>
      <c r="D3567" s="2" t="s">
        <v>3265</v>
      </c>
      <c r="E3567" s="3"/>
    </row>
    <row r="3568" spans="1:5" ht="24.75" customHeight="1">
      <c r="A3568" s="2">
        <v>3566</v>
      </c>
      <c r="B3568" s="2" t="str">
        <f>"李国攀"</f>
        <v>李国攀</v>
      </c>
      <c r="C3568" s="2" t="s">
        <v>3233</v>
      </c>
      <c r="D3568" s="2" t="s">
        <v>1796</v>
      </c>
      <c r="E3568" s="3"/>
    </row>
    <row r="3569" spans="1:5" ht="24.75" customHeight="1">
      <c r="A3569" s="2">
        <v>3567</v>
      </c>
      <c r="B3569" s="2" t="str">
        <f>"潘在梧"</f>
        <v>潘在梧</v>
      </c>
      <c r="C3569" s="2" t="s">
        <v>3233</v>
      </c>
      <c r="D3569" s="2" t="s">
        <v>3266</v>
      </c>
      <c r="E3569" s="3"/>
    </row>
    <row r="3570" spans="1:5" ht="24.75" customHeight="1">
      <c r="A3570" s="2">
        <v>3568</v>
      </c>
      <c r="B3570" s="2" t="str">
        <f>"黄文际"</f>
        <v>黄文际</v>
      </c>
      <c r="C3570" s="2" t="s">
        <v>3233</v>
      </c>
      <c r="D3570" s="2" t="s">
        <v>2517</v>
      </c>
      <c r="E3570" s="3"/>
    </row>
    <row r="3571" spans="1:5" ht="24.75" customHeight="1">
      <c r="A3571" s="2">
        <v>3569</v>
      </c>
      <c r="B3571" s="2" t="str">
        <f>"符丰昌"</f>
        <v>符丰昌</v>
      </c>
      <c r="C3571" s="2" t="s">
        <v>3233</v>
      </c>
      <c r="D3571" s="2" t="s">
        <v>3267</v>
      </c>
      <c r="E3571" s="3"/>
    </row>
    <row r="3572" spans="1:5" ht="24.75" customHeight="1">
      <c r="A3572" s="2">
        <v>3570</v>
      </c>
      <c r="B3572" s="2" t="str">
        <f>"黄焕兴"</f>
        <v>黄焕兴</v>
      </c>
      <c r="C3572" s="2" t="s">
        <v>3233</v>
      </c>
      <c r="D3572" s="2" t="s">
        <v>2865</v>
      </c>
      <c r="E3572" s="3"/>
    </row>
    <row r="3573" spans="1:5" ht="24.75" customHeight="1">
      <c r="A3573" s="2">
        <v>3571</v>
      </c>
      <c r="B3573" s="2" t="str">
        <f>"朱厚宣"</f>
        <v>朱厚宣</v>
      </c>
      <c r="C3573" s="2" t="s">
        <v>3233</v>
      </c>
      <c r="D3573" s="2" t="s">
        <v>3268</v>
      </c>
      <c r="E3573" s="3"/>
    </row>
    <row r="3574" spans="1:5" ht="24.75" customHeight="1">
      <c r="A3574" s="2">
        <v>3572</v>
      </c>
      <c r="B3574" s="2" t="str">
        <f>"黄潇苇"</f>
        <v>黄潇苇</v>
      </c>
      <c r="C3574" s="2" t="s">
        <v>3233</v>
      </c>
      <c r="D3574" s="2" t="s">
        <v>3269</v>
      </c>
      <c r="E3574" s="3"/>
    </row>
    <row r="3575" spans="1:5" ht="24.75" customHeight="1">
      <c r="A3575" s="2">
        <v>3573</v>
      </c>
      <c r="B3575" s="2" t="str">
        <f>"王双兴"</f>
        <v>王双兴</v>
      </c>
      <c r="C3575" s="2" t="s">
        <v>3233</v>
      </c>
      <c r="D3575" s="2" t="s">
        <v>3270</v>
      </c>
      <c r="E3575" s="3"/>
    </row>
    <row r="3576" spans="1:5" ht="24.75" customHeight="1">
      <c r="A3576" s="2">
        <v>3574</v>
      </c>
      <c r="B3576" s="2" t="str">
        <f>"林隆豪"</f>
        <v>林隆豪</v>
      </c>
      <c r="C3576" s="2" t="s">
        <v>3233</v>
      </c>
      <c r="D3576" s="2" t="s">
        <v>3271</v>
      </c>
      <c r="E3576" s="3"/>
    </row>
    <row r="3577" spans="1:5" ht="24.75" customHeight="1">
      <c r="A3577" s="2">
        <v>3575</v>
      </c>
      <c r="B3577" s="2" t="str">
        <f>"羊燕萍"</f>
        <v>羊燕萍</v>
      </c>
      <c r="C3577" s="2" t="s">
        <v>3233</v>
      </c>
      <c r="D3577" s="2" t="s">
        <v>3272</v>
      </c>
      <c r="E3577" s="3"/>
    </row>
    <row r="3578" spans="1:5" ht="24.75" customHeight="1">
      <c r="A3578" s="2">
        <v>3576</v>
      </c>
      <c r="B3578" s="2" t="str">
        <f>"韦慧清"</f>
        <v>韦慧清</v>
      </c>
      <c r="C3578" s="2" t="s">
        <v>3233</v>
      </c>
      <c r="D3578" s="2" t="s">
        <v>856</v>
      </c>
      <c r="E3578" s="3"/>
    </row>
    <row r="3579" spans="1:5" ht="24.75" customHeight="1">
      <c r="A3579" s="2">
        <v>3577</v>
      </c>
      <c r="B3579" s="2" t="str">
        <f>"曹凡飞"</f>
        <v>曹凡飞</v>
      </c>
      <c r="C3579" s="2" t="s">
        <v>3233</v>
      </c>
      <c r="D3579" s="2" t="s">
        <v>3273</v>
      </c>
      <c r="E3579" s="3"/>
    </row>
    <row r="3580" spans="1:5" ht="24.75" customHeight="1">
      <c r="A3580" s="2">
        <v>3578</v>
      </c>
      <c r="B3580" s="2" t="str">
        <f>"樊文婷"</f>
        <v>樊文婷</v>
      </c>
      <c r="C3580" s="2" t="s">
        <v>3233</v>
      </c>
      <c r="D3580" s="2" t="s">
        <v>3274</v>
      </c>
      <c r="E3580" s="3"/>
    </row>
    <row r="3581" spans="1:5" ht="24.75" customHeight="1">
      <c r="A3581" s="2">
        <v>3579</v>
      </c>
      <c r="B3581" s="2" t="str">
        <f>"陈赞洪"</f>
        <v>陈赞洪</v>
      </c>
      <c r="C3581" s="2" t="s">
        <v>3275</v>
      </c>
      <c r="D3581" s="2" t="s">
        <v>3276</v>
      </c>
      <c r="E3581" s="3"/>
    </row>
    <row r="3582" spans="1:5" ht="24.75" customHeight="1">
      <c r="A3582" s="2">
        <v>3580</v>
      </c>
      <c r="B3582" s="2" t="str">
        <f>"郑少叶"</f>
        <v>郑少叶</v>
      </c>
      <c r="C3582" s="2" t="s">
        <v>3275</v>
      </c>
      <c r="D3582" s="2" t="s">
        <v>3277</v>
      </c>
      <c r="E3582" s="3"/>
    </row>
    <row r="3583" spans="1:5" ht="24.75" customHeight="1">
      <c r="A3583" s="2">
        <v>3581</v>
      </c>
      <c r="B3583" s="2" t="str">
        <f>"王仪曼"</f>
        <v>王仪曼</v>
      </c>
      <c r="C3583" s="2" t="s">
        <v>3275</v>
      </c>
      <c r="D3583" s="2" t="s">
        <v>3278</v>
      </c>
      <c r="E3583" s="3"/>
    </row>
    <row r="3584" spans="1:5" ht="24.75" customHeight="1">
      <c r="A3584" s="2">
        <v>3582</v>
      </c>
      <c r="B3584" s="2" t="str">
        <f>"贾铮"</f>
        <v>贾铮</v>
      </c>
      <c r="C3584" s="2" t="s">
        <v>3275</v>
      </c>
      <c r="D3584" s="2" t="s">
        <v>3279</v>
      </c>
      <c r="E3584" s="3"/>
    </row>
    <row r="3585" spans="1:5" ht="24.75" customHeight="1">
      <c r="A3585" s="2">
        <v>3583</v>
      </c>
      <c r="B3585" s="2" t="str">
        <f>"林琛"</f>
        <v>林琛</v>
      </c>
      <c r="C3585" s="2" t="s">
        <v>3275</v>
      </c>
      <c r="D3585" s="2" t="s">
        <v>1051</v>
      </c>
      <c r="E3585" s="3"/>
    </row>
    <row r="3586" spans="1:5" ht="24.75" customHeight="1">
      <c r="A3586" s="2">
        <v>3584</v>
      </c>
      <c r="B3586" s="2" t="str">
        <f>"庄紫芸"</f>
        <v>庄紫芸</v>
      </c>
      <c r="C3586" s="2" t="s">
        <v>3275</v>
      </c>
      <c r="D3586" s="2" t="s">
        <v>3280</v>
      </c>
      <c r="E3586" s="3"/>
    </row>
    <row r="3587" spans="1:5" ht="24.75" customHeight="1">
      <c r="A3587" s="2">
        <v>3585</v>
      </c>
      <c r="B3587" s="2" t="str">
        <f>"孙佳华"</f>
        <v>孙佳华</v>
      </c>
      <c r="C3587" s="2" t="s">
        <v>3275</v>
      </c>
      <c r="D3587" s="2" t="s">
        <v>247</v>
      </c>
      <c r="E3587" s="3"/>
    </row>
    <row r="3588" spans="1:5" ht="24.75" customHeight="1">
      <c r="A3588" s="2">
        <v>3586</v>
      </c>
      <c r="B3588" s="2" t="str">
        <f>"王婕"</f>
        <v>王婕</v>
      </c>
      <c r="C3588" s="2" t="s">
        <v>3275</v>
      </c>
      <c r="D3588" s="2" t="s">
        <v>347</v>
      </c>
      <c r="E3588" s="3"/>
    </row>
    <row r="3589" spans="1:5" ht="24.75" customHeight="1">
      <c r="A3589" s="2">
        <v>3587</v>
      </c>
      <c r="B3589" s="2" t="str">
        <f>"李家"</f>
        <v>李家</v>
      </c>
      <c r="C3589" s="2" t="s">
        <v>3275</v>
      </c>
      <c r="D3589" s="2" t="s">
        <v>3281</v>
      </c>
      <c r="E3589" s="3"/>
    </row>
    <row r="3590" spans="1:5" ht="24.75" customHeight="1">
      <c r="A3590" s="2">
        <v>3588</v>
      </c>
      <c r="B3590" s="2" t="str">
        <f>"黄花"</f>
        <v>黄花</v>
      </c>
      <c r="C3590" s="2" t="s">
        <v>3275</v>
      </c>
      <c r="D3590" s="2" t="s">
        <v>3282</v>
      </c>
      <c r="E3590" s="3"/>
    </row>
    <row r="3591" spans="1:5" ht="24.75" customHeight="1">
      <c r="A3591" s="2">
        <v>3589</v>
      </c>
      <c r="B3591" s="2" t="str">
        <f>"吉雪花"</f>
        <v>吉雪花</v>
      </c>
      <c r="C3591" s="2" t="s">
        <v>3275</v>
      </c>
      <c r="D3591" s="2" t="s">
        <v>3283</v>
      </c>
      <c r="E3591" s="3"/>
    </row>
    <row r="3592" spans="1:5" ht="24.75" customHeight="1">
      <c r="A3592" s="2">
        <v>3590</v>
      </c>
      <c r="B3592" s="2" t="str">
        <f>"高玉玉"</f>
        <v>高玉玉</v>
      </c>
      <c r="C3592" s="2" t="s">
        <v>3275</v>
      </c>
      <c r="D3592" s="2" t="s">
        <v>3284</v>
      </c>
      <c r="E3592" s="3"/>
    </row>
    <row r="3593" spans="1:5" ht="24.75" customHeight="1">
      <c r="A3593" s="2">
        <v>3591</v>
      </c>
      <c r="B3593" s="2" t="str">
        <f>"陈百烨"</f>
        <v>陈百烨</v>
      </c>
      <c r="C3593" s="2" t="s">
        <v>3275</v>
      </c>
      <c r="D3593" s="2" t="s">
        <v>3285</v>
      </c>
      <c r="E3593" s="3"/>
    </row>
    <row r="3594" spans="1:5" ht="24.75" customHeight="1">
      <c r="A3594" s="2">
        <v>3592</v>
      </c>
      <c r="B3594" s="2" t="str">
        <f>"李贵珍"</f>
        <v>李贵珍</v>
      </c>
      <c r="C3594" s="2" t="s">
        <v>3275</v>
      </c>
      <c r="D3594" s="2" t="s">
        <v>3286</v>
      </c>
      <c r="E3594" s="3"/>
    </row>
    <row r="3595" spans="1:5" ht="24.75" customHeight="1">
      <c r="A3595" s="2">
        <v>3593</v>
      </c>
      <c r="B3595" s="2" t="str">
        <f>"陈福清"</f>
        <v>陈福清</v>
      </c>
      <c r="C3595" s="2" t="s">
        <v>3275</v>
      </c>
      <c r="D3595" s="2" t="s">
        <v>3287</v>
      </c>
      <c r="E3595" s="3"/>
    </row>
    <row r="3596" spans="1:5" ht="24.75" customHeight="1">
      <c r="A3596" s="2">
        <v>3594</v>
      </c>
      <c r="B3596" s="2" t="str">
        <f>"陈奉南"</f>
        <v>陈奉南</v>
      </c>
      <c r="C3596" s="2" t="s">
        <v>3275</v>
      </c>
      <c r="D3596" s="2" t="s">
        <v>3288</v>
      </c>
      <c r="E3596" s="3"/>
    </row>
    <row r="3597" spans="1:5" ht="24.75" customHeight="1">
      <c r="A3597" s="2">
        <v>3595</v>
      </c>
      <c r="B3597" s="2" t="str">
        <f>"黄碧盈"</f>
        <v>黄碧盈</v>
      </c>
      <c r="C3597" s="2" t="s">
        <v>3275</v>
      </c>
      <c r="D3597" s="2" t="s">
        <v>3289</v>
      </c>
      <c r="E3597" s="3"/>
    </row>
    <row r="3598" spans="1:5" ht="24.75" customHeight="1">
      <c r="A3598" s="2">
        <v>3596</v>
      </c>
      <c r="B3598" s="2" t="str">
        <f>"潘爱萍"</f>
        <v>潘爱萍</v>
      </c>
      <c r="C3598" s="2" t="s">
        <v>3275</v>
      </c>
      <c r="D3598" s="2" t="s">
        <v>3290</v>
      </c>
      <c r="E3598" s="3"/>
    </row>
    <row r="3599" spans="1:5" ht="24.75" customHeight="1">
      <c r="A3599" s="2">
        <v>3597</v>
      </c>
      <c r="B3599" s="2" t="str">
        <f>"王晶晶"</f>
        <v>王晶晶</v>
      </c>
      <c r="C3599" s="2" t="s">
        <v>3275</v>
      </c>
      <c r="D3599" s="2" t="s">
        <v>3291</v>
      </c>
      <c r="E3599" s="3"/>
    </row>
    <row r="3600" spans="1:5" ht="24.75" customHeight="1">
      <c r="A3600" s="2">
        <v>3598</v>
      </c>
      <c r="B3600" s="2" t="str">
        <f>"陈圣平"</f>
        <v>陈圣平</v>
      </c>
      <c r="C3600" s="2" t="s">
        <v>3275</v>
      </c>
      <c r="D3600" s="2" t="s">
        <v>1103</v>
      </c>
      <c r="E3600" s="3"/>
    </row>
    <row r="3601" spans="1:5" ht="24.75" customHeight="1">
      <c r="A3601" s="2">
        <v>3599</v>
      </c>
      <c r="B3601" s="2" t="str">
        <f>"单小芬"</f>
        <v>单小芬</v>
      </c>
      <c r="C3601" s="2" t="s">
        <v>3275</v>
      </c>
      <c r="D3601" s="2" t="s">
        <v>3292</v>
      </c>
      <c r="E3601" s="3"/>
    </row>
    <row r="3602" spans="1:5" ht="24.75" customHeight="1">
      <c r="A3602" s="2">
        <v>3600</v>
      </c>
      <c r="B3602" s="2" t="str">
        <f>"李枕威"</f>
        <v>李枕威</v>
      </c>
      <c r="C3602" s="2" t="s">
        <v>3275</v>
      </c>
      <c r="D3602" s="2" t="s">
        <v>3293</v>
      </c>
      <c r="E3602" s="3"/>
    </row>
    <row r="3603" spans="1:5" ht="24.75" customHeight="1">
      <c r="A3603" s="2">
        <v>3601</v>
      </c>
      <c r="B3603" s="2" t="str">
        <f>"王秀瑜"</f>
        <v>王秀瑜</v>
      </c>
      <c r="C3603" s="2" t="s">
        <v>3275</v>
      </c>
      <c r="D3603" s="2" t="s">
        <v>2662</v>
      </c>
      <c r="E3603" s="3"/>
    </row>
    <row r="3604" spans="1:5" ht="24.75" customHeight="1">
      <c r="A3604" s="2">
        <v>3602</v>
      </c>
      <c r="B3604" s="2" t="str">
        <f>"方淼"</f>
        <v>方淼</v>
      </c>
      <c r="C3604" s="2" t="s">
        <v>3275</v>
      </c>
      <c r="D3604" s="2" t="s">
        <v>3294</v>
      </c>
      <c r="E3604" s="3"/>
    </row>
    <row r="3605" spans="1:5" ht="24.75" customHeight="1">
      <c r="A3605" s="2">
        <v>3603</v>
      </c>
      <c r="B3605" s="2" t="str">
        <f>"陈丽娟"</f>
        <v>陈丽娟</v>
      </c>
      <c r="C3605" s="2" t="s">
        <v>3275</v>
      </c>
      <c r="D3605" s="2" t="s">
        <v>3295</v>
      </c>
      <c r="E3605" s="3"/>
    </row>
    <row r="3606" spans="1:5" ht="24.75" customHeight="1">
      <c r="A3606" s="2">
        <v>3604</v>
      </c>
      <c r="B3606" s="2" t="str">
        <f>"符阳基"</f>
        <v>符阳基</v>
      </c>
      <c r="C3606" s="2" t="s">
        <v>3275</v>
      </c>
      <c r="D3606" s="2" t="s">
        <v>3296</v>
      </c>
      <c r="E3606" s="3"/>
    </row>
    <row r="3607" spans="1:5" ht="24.75" customHeight="1">
      <c r="A3607" s="2">
        <v>3605</v>
      </c>
      <c r="B3607" s="2" t="str">
        <f>"王骏诚"</f>
        <v>王骏诚</v>
      </c>
      <c r="C3607" s="2" t="s">
        <v>3275</v>
      </c>
      <c r="D3607" s="2" t="s">
        <v>3297</v>
      </c>
      <c r="E3607" s="3"/>
    </row>
    <row r="3608" spans="1:5" ht="24.75" customHeight="1">
      <c r="A3608" s="2">
        <v>3606</v>
      </c>
      <c r="B3608" s="2" t="str">
        <f>"冯妹"</f>
        <v>冯妹</v>
      </c>
      <c r="C3608" s="2" t="s">
        <v>3275</v>
      </c>
      <c r="D3608" s="2" t="s">
        <v>3298</v>
      </c>
      <c r="E3608" s="3"/>
    </row>
    <row r="3609" spans="1:5" ht="24.75" customHeight="1">
      <c r="A3609" s="2">
        <v>3607</v>
      </c>
      <c r="B3609" s="2" t="str">
        <f>"陈大卫"</f>
        <v>陈大卫</v>
      </c>
      <c r="C3609" s="2" t="s">
        <v>3275</v>
      </c>
      <c r="D3609" s="2" t="s">
        <v>3299</v>
      </c>
      <c r="E3609" s="3"/>
    </row>
    <row r="3610" spans="1:5" ht="24.75" customHeight="1">
      <c r="A3610" s="2">
        <v>3608</v>
      </c>
      <c r="B3610" s="2" t="str">
        <f>"董禄平"</f>
        <v>董禄平</v>
      </c>
      <c r="C3610" s="2" t="s">
        <v>3275</v>
      </c>
      <c r="D3610" s="2" t="s">
        <v>3300</v>
      </c>
      <c r="E3610" s="3"/>
    </row>
    <row r="3611" spans="1:5" ht="24.75" customHeight="1">
      <c r="A3611" s="2">
        <v>3609</v>
      </c>
      <c r="B3611" s="2" t="str">
        <f>"林芳媛"</f>
        <v>林芳媛</v>
      </c>
      <c r="C3611" s="2" t="s">
        <v>3275</v>
      </c>
      <c r="D3611" s="2" t="s">
        <v>3301</v>
      </c>
      <c r="E3611" s="3"/>
    </row>
    <row r="3612" spans="1:5" ht="24.75" customHeight="1">
      <c r="A3612" s="2">
        <v>3610</v>
      </c>
      <c r="B3612" s="2" t="str">
        <f>"黄宗武"</f>
        <v>黄宗武</v>
      </c>
      <c r="C3612" s="2" t="s">
        <v>3275</v>
      </c>
      <c r="D3612" s="2" t="s">
        <v>3302</v>
      </c>
      <c r="E3612" s="3"/>
    </row>
    <row r="3613" spans="1:5" ht="24.75" customHeight="1">
      <c r="A3613" s="2">
        <v>3611</v>
      </c>
      <c r="B3613" s="2" t="str">
        <f>"车罗玲"</f>
        <v>车罗玲</v>
      </c>
      <c r="C3613" s="2" t="s">
        <v>3275</v>
      </c>
      <c r="D3613" s="2" t="s">
        <v>393</v>
      </c>
      <c r="E3613" s="3"/>
    </row>
    <row r="3614" spans="1:5" ht="24.75" customHeight="1">
      <c r="A3614" s="2">
        <v>3612</v>
      </c>
      <c r="B3614" s="2" t="str">
        <f>"张红梅"</f>
        <v>张红梅</v>
      </c>
      <c r="C3614" s="2" t="s">
        <v>3275</v>
      </c>
      <c r="D3614" s="2" t="s">
        <v>3303</v>
      </c>
      <c r="E3614" s="3"/>
    </row>
    <row r="3615" spans="1:5" ht="24.75" customHeight="1">
      <c r="A3615" s="2">
        <v>3613</v>
      </c>
      <c r="B3615" s="2" t="str">
        <f>"官海珊"</f>
        <v>官海珊</v>
      </c>
      <c r="C3615" s="2" t="s">
        <v>3275</v>
      </c>
      <c r="D3615" s="2" t="s">
        <v>3304</v>
      </c>
      <c r="E3615" s="3"/>
    </row>
    <row r="3616" spans="1:5" ht="24.75" customHeight="1">
      <c r="A3616" s="2">
        <v>3614</v>
      </c>
      <c r="B3616" s="2" t="str">
        <f>"许阳菲"</f>
        <v>许阳菲</v>
      </c>
      <c r="C3616" s="2" t="s">
        <v>3275</v>
      </c>
      <c r="D3616" s="2" t="s">
        <v>3305</v>
      </c>
      <c r="E3616" s="3"/>
    </row>
    <row r="3617" spans="1:5" ht="24.75" customHeight="1">
      <c r="A3617" s="2">
        <v>3615</v>
      </c>
      <c r="B3617" s="2" t="str">
        <f>"王家明"</f>
        <v>王家明</v>
      </c>
      <c r="C3617" s="2" t="s">
        <v>3275</v>
      </c>
      <c r="D3617" s="2" t="s">
        <v>2610</v>
      </c>
      <c r="E3617" s="3"/>
    </row>
    <row r="3618" spans="1:5" ht="24.75" customHeight="1">
      <c r="A3618" s="2">
        <v>3616</v>
      </c>
      <c r="B3618" s="2" t="str">
        <f>"王梅妹"</f>
        <v>王梅妹</v>
      </c>
      <c r="C3618" s="2" t="s">
        <v>3275</v>
      </c>
      <c r="D3618" s="2" t="s">
        <v>3306</v>
      </c>
      <c r="E3618" s="3"/>
    </row>
    <row r="3619" spans="1:5" ht="24.75" customHeight="1">
      <c r="A3619" s="2">
        <v>3617</v>
      </c>
      <c r="B3619" s="2" t="str">
        <f>"卢兴豪"</f>
        <v>卢兴豪</v>
      </c>
      <c r="C3619" s="2" t="s">
        <v>3275</v>
      </c>
      <c r="D3619" s="2" t="s">
        <v>3307</v>
      </c>
      <c r="E3619" s="3"/>
    </row>
    <row r="3620" spans="1:5" ht="24.75" customHeight="1">
      <c r="A3620" s="2">
        <v>3618</v>
      </c>
      <c r="B3620" s="2" t="str">
        <f>"曾伊"</f>
        <v>曾伊</v>
      </c>
      <c r="C3620" s="2" t="s">
        <v>3275</v>
      </c>
      <c r="D3620" s="2" t="s">
        <v>3308</v>
      </c>
      <c r="E3620" s="3"/>
    </row>
    <row r="3621" spans="1:5" ht="24.75" customHeight="1">
      <c r="A3621" s="2">
        <v>3619</v>
      </c>
      <c r="B3621" s="2" t="str">
        <f>"黄海莹"</f>
        <v>黄海莹</v>
      </c>
      <c r="C3621" s="2" t="s">
        <v>3275</v>
      </c>
      <c r="D3621" s="2" t="s">
        <v>951</v>
      </c>
      <c r="E3621" s="3"/>
    </row>
    <row r="3622" spans="1:5" ht="24.75" customHeight="1">
      <c r="A3622" s="2">
        <v>3620</v>
      </c>
      <c r="B3622" s="2" t="str">
        <f>"李瑞喜"</f>
        <v>李瑞喜</v>
      </c>
      <c r="C3622" s="2" t="s">
        <v>3275</v>
      </c>
      <c r="D3622" s="2" t="s">
        <v>3309</v>
      </c>
      <c r="E3622" s="3"/>
    </row>
    <row r="3623" spans="1:5" ht="24.75" customHeight="1">
      <c r="A3623" s="2">
        <v>3621</v>
      </c>
      <c r="B3623" s="2" t="str">
        <f>"张钦智"</f>
        <v>张钦智</v>
      </c>
      <c r="C3623" s="2" t="s">
        <v>3275</v>
      </c>
      <c r="D3623" s="2" t="s">
        <v>3310</v>
      </c>
      <c r="E3623" s="3"/>
    </row>
    <row r="3624" spans="1:5" ht="24.75" customHeight="1">
      <c r="A3624" s="2">
        <v>3622</v>
      </c>
      <c r="B3624" s="2" t="str">
        <f>"谢佳言"</f>
        <v>谢佳言</v>
      </c>
      <c r="C3624" s="2" t="s">
        <v>3275</v>
      </c>
      <c r="D3624" s="2" t="s">
        <v>3311</v>
      </c>
      <c r="E3624" s="3"/>
    </row>
    <row r="3625" spans="1:5" ht="24.75" customHeight="1">
      <c r="A3625" s="2">
        <v>3623</v>
      </c>
      <c r="B3625" s="2" t="str">
        <f>"钟语嫣"</f>
        <v>钟语嫣</v>
      </c>
      <c r="C3625" s="2" t="s">
        <v>3275</v>
      </c>
      <c r="D3625" s="2" t="s">
        <v>3208</v>
      </c>
      <c r="E3625" s="3"/>
    </row>
    <row r="3626" spans="1:5" ht="24.75" customHeight="1">
      <c r="A3626" s="2">
        <v>3624</v>
      </c>
      <c r="B3626" s="2" t="str">
        <f>"姚小青"</f>
        <v>姚小青</v>
      </c>
      <c r="C3626" s="2" t="s">
        <v>3275</v>
      </c>
      <c r="D3626" s="2" t="s">
        <v>3312</v>
      </c>
      <c r="E3626" s="3"/>
    </row>
    <row r="3627" spans="1:5" ht="24.75" customHeight="1">
      <c r="A3627" s="2">
        <v>3625</v>
      </c>
      <c r="B3627" s="2" t="str">
        <f>"邱晓玲"</f>
        <v>邱晓玲</v>
      </c>
      <c r="C3627" s="2" t="s">
        <v>3275</v>
      </c>
      <c r="D3627" s="2" t="s">
        <v>3313</v>
      </c>
      <c r="E3627" s="3"/>
    </row>
    <row r="3628" spans="1:5" ht="24.75" customHeight="1">
      <c r="A3628" s="2">
        <v>3626</v>
      </c>
      <c r="B3628" s="2" t="str">
        <f>"陈文娜"</f>
        <v>陈文娜</v>
      </c>
      <c r="C3628" s="2" t="s">
        <v>3275</v>
      </c>
      <c r="D3628" s="2" t="s">
        <v>3314</v>
      </c>
      <c r="E3628" s="3"/>
    </row>
    <row r="3629" spans="1:5" ht="24.75" customHeight="1">
      <c r="A3629" s="2">
        <v>3627</v>
      </c>
      <c r="B3629" s="2" t="str">
        <f>"林孟双"</f>
        <v>林孟双</v>
      </c>
      <c r="C3629" s="2" t="s">
        <v>3275</v>
      </c>
      <c r="D3629" s="2" t="s">
        <v>3133</v>
      </c>
      <c r="E3629" s="3"/>
    </row>
    <row r="3630" spans="1:5" ht="24.75" customHeight="1">
      <c r="A3630" s="2">
        <v>3628</v>
      </c>
      <c r="B3630" s="2" t="str">
        <f>"李必莎"</f>
        <v>李必莎</v>
      </c>
      <c r="C3630" s="2" t="s">
        <v>3275</v>
      </c>
      <c r="D3630" s="2" t="s">
        <v>3315</v>
      </c>
      <c r="E3630" s="3"/>
    </row>
    <row r="3631" spans="1:5" ht="24.75" customHeight="1">
      <c r="A3631" s="2">
        <v>3629</v>
      </c>
      <c r="B3631" s="2" t="str">
        <f>"龙籍媛"</f>
        <v>龙籍媛</v>
      </c>
      <c r="C3631" s="2" t="s">
        <v>3275</v>
      </c>
      <c r="D3631" s="2" t="s">
        <v>788</v>
      </c>
      <c r="E3631" s="3"/>
    </row>
    <row r="3632" spans="1:5" ht="24.75" customHeight="1">
      <c r="A3632" s="2">
        <v>3630</v>
      </c>
      <c r="B3632" s="2" t="str">
        <f>"陈妍妍"</f>
        <v>陈妍妍</v>
      </c>
      <c r="C3632" s="2" t="s">
        <v>3275</v>
      </c>
      <c r="D3632" s="2" t="s">
        <v>3247</v>
      </c>
      <c r="E3632" s="3"/>
    </row>
    <row r="3633" spans="1:5" ht="24.75" customHeight="1">
      <c r="A3633" s="2">
        <v>3631</v>
      </c>
      <c r="B3633" s="2" t="str">
        <f>"吴春杨"</f>
        <v>吴春杨</v>
      </c>
      <c r="C3633" s="2" t="s">
        <v>3275</v>
      </c>
      <c r="D3633" s="2" t="s">
        <v>3316</v>
      </c>
      <c r="E3633" s="3"/>
    </row>
    <row r="3634" spans="1:5" ht="24.75" customHeight="1">
      <c r="A3634" s="2">
        <v>3632</v>
      </c>
      <c r="B3634" s="2" t="str">
        <f>"崔庭彬"</f>
        <v>崔庭彬</v>
      </c>
      <c r="C3634" s="2" t="s">
        <v>3275</v>
      </c>
      <c r="D3634" s="2" t="s">
        <v>3317</v>
      </c>
      <c r="E3634" s="3"/>
    </row>
    <row r="3635" spans="1:5" ht="24.75" customHeight="1">
      <c r="A3635" s="2">
        <v>3633</v>
      </c>
      <c r="B3635" s="2" t="str">
        <f>"彭泽亮"</f>
        <v>彭泽亮</v>
      </c>
      <c r="C3635" s="2" t="s">
        <v>3275</v>
      </c>
      <c r="D3635" s="2" t="s">
        <v>3318</v>
      </c>
      <c r="E3635" s="3"/>
    </row>
    <row r="3636" spans="1:5" ht="24.75" customHeight="1">
      <c r="A3636" s="2">
        <v>3634</v>
      </c>
      <c r="B3636" s="2" t="str">
        <f>"刘道桔"</f>
        <v>刘道桔</v>
      </c>
      <c r="C3636" s="2" t="s">
        <v>3275</v>
      </c>
      <c r="D3636" s="2" t="s">
        <v>2882</v>
      </c>
      <c r="E3636" s="3"/>
    </row>
    <row r="3637" spans="1:5" ht="24.75" customHeight="1">
      <c r="A3637" s="2">
        <v>3635</v>
      </c>
      <c r="B3637" s="2" t="str">
        <f>"许亚能"</f>
        <v>许亚能</v>
      </c>
      <c r="C3637" s="2" t="s">
        <v>3275</v>
      </c>
      <c r="D3637" s="2" t="s">
        <v>3319</v>
      </c>
      <c r="E3637" s="3"/>
    </row>
    <row r="3638" spans="1:5" ht="24.75" customHeight="1">
      <c r="A3638" s="2">
        <v>3636</v>
      </c>
      <c r="B3638" s="2" t="str">
        <f>"陈雯"</f>
        <v>陈雯</v>
      </c>
      <c r="C3638" s="2" t="s">
        <v>3275</v>
      </c>
      <c r="D3638" s="2" t="s">
        <v>3320</v>
      </c>
      <c r="E3638" s="3"/>
    </row>
    <row r="3639" spans="1:5" ht="24.75" customHeight="1">
      <c r="A3639" s="2">
        <v>3637</v>
      </c>
      <c r="B3639" s="2" t="str">
        <f>"陈长俊"</f>
        <v>陈长俊</v>
      </c>
      <c r="C3639" s="2" t="s">
        <v>3275</v>
      </c>
      <c r="D3639" s="2" t="s">
        <v>3321</v>
      </c>
      <c r="E3639" s="3"/>
    </row>
    <row r="3640" spans="1:5" ht="24.75" customHeight="1">
      <c r="A3640" s="2">
        <v>3638</v>
      </c>
      <c r="B3640" s="2" t="str">
        <f>"云丽芸"</f>
        <v>云丽芸</v>
      </c>
      <c r="C3640" s="2" t="s">
        <v>3275</v>
      </c>
      <c r="D3640" s="2" t="s">
        <v>964</v>
      </c>
      <c r="E3640" s="3"/>
    </row>
    <row r="3641" spans="1:5" ht="24.75" customHeight="1">
      <c r="A3641" s="2">
        <v>3639</v>
      </c>
      <c r="B3641" s="2" t="str">
        <f>"李诗萱"</f>
        <v>李诗萱</v>
      </c>
      <c r="C3641" s="2" t="s">
        <v>3275</v>
      </c>
      <c r="D3641" s="2" t="s">
        <v>2615</v>
      </c>
      <c r="E3641" s="3"/>
    </row>
    <row r="3642" spans="1:5" ht="24.75" customHeight="1">
      <c r="A3642" s="2">
        <v>3640</v>
      </c>
      <c r="B3642" s="2" t="str">
        <f>"卫诗千"</f>
        <v>卫诗千</v>
      </c>
      <c r="C3642" s="2" t="s">
        <v>3275</v>
      </c>
      <c r="D3642" s="2" t="s">
        <v>3322</v>
      </c>
      <c r="E3642" s="3"/>
    </row>
    <row r="3643" spans="1:5" ht="24.75" customHeight="1">
      <c r="A3643" s="2">
        <v>3641</v>
      </c>
      <c r="B3643" s="2" t="str">
        <f>"宁秋"</f>
        <v>宁秋</v>
      </c>
      <c r="C3643" s="2" t="s">
        <v>3275</v>
      </c>
      <c r="D3643" s="2" t="s">
        <v>3323</v>
      </c>
      <c r="E3643" s="3"/>
    </row>
    <row r="3644" spans="1:5" ht="24.75" customHeight="1">
      <c r="A3644" s="2">
        <v>3642</v>
      </c>
      <c r="B3644" s="2" t="str">
        <f>"陈静"</f>
        <v>陈静</v>
      </c>
      <c r="C3644" s="2" t="s">
        <v>3275</v>
      </c>
      <c r="D3644" s="2" t="s">
        <v>3324</v>
      </c>
      <c r="E3644" s="3"/>
    </row>
    <row r="3645" spans="1:5" ht="24.75" customHeight="1">
      <c r="A3645" s="2">
        <v>3643</v>
      </c>
      <c r="B3645" s="2" t="str">
        <f>"梁莺献"</f>
        <v>梁莺献</v>
      </c>
      <c r="C3645" s="2" t="s">
        <v>3275</v>
      </c>
      <c r="D3645" s="2" t="s">
        <v>788</v>
      </c>
      <c r="E3645" s="3"/>
    </row>
    <row r="3646" spans="1:5" ht="24.75" customHeight="1">
      <c r="A3646" s="2">
        <v>3644</v>
      </c>
      <c r="B3646" s="2" t="str">
        <f>"万兴育"</f>
        <v>万兴育</v>
      </c>
      <c r="C3646" s="2" t="s">
        <v>3275</v>
      </c>
      <c r="D3646" s="2" t="s">
        <v>3325</v>
      </c>
      <c r="E3646" s="3"/>
    </row>
    <row r="3647" spans="1:5" ht="24.75" customHeight="1">
      <c r="A3647" s="2">
        <v>3645</v>
      </c>
      <c r="B3647" s="2" t="str">
        <f>"杨晶晶"</f>
        <v>杨晶晶</v>
      </c>
      <c r="C3647" s="2" t="s">
        <v>3275</v>
      </c>
      <c r="D3647" s="2" t="s">
        <v>1953</v>
      </c>
      <c r="E3647" s="3"/>
    </row>
    <row r="3648" spans="1:5" ht="24.75" customHeight="1">
      <c r="A3648" s="2">
        <v>3646</v>
      </c>
      <c r="B3648" s="2" t="str">
        <f>"林琳"</f>
        <v>林琳</v>
      </c>
      <c r="C3648" s="2" t="s">
        <v>3275</v>
      </c>
      <c r="D3648" s="2" t="s">
        <v>3326</v>
      </c>
      <c r="E3648" s="3"/>
    </row>
    <row r="3649" spans="1:5" ht="24.75" customHeight="1">
      <c r="A3649" s="2">
        <v>3647</v>
      </c>
      <c r="B3649" s="2" t="str">
        <f>"林海玲"</f>
        <v>林海玲</v>
      </c>
      <c r="C3649" s="2" t="s">
        <v>3275</v>
      </c>
      <c r="D3649" s="2" t="s">
        <v>3327</v>
      </c>
      <c r="E3649" s="3"/>
    </row>
    <row r="3650" spans="1:5" ht="24.75" customHeight="1">
      <c r="A3650" s="2">
        <v>3648</v>
      </c>
      <c r="B3650" s="2" t="str">
        <f>"付雪梅"</f>
        <v>付雪梅</v>
      </c>
      <c r="C3650" s="2" t="s">
        <v>3275</v>
      </c>
      <c r="D3650" s="2" t="s">
        <v>3328</v>
      </c>
      <c r="E3650" s="3"/>
    </row>
    <row r="3651" spans="1:5" ht="24.75" customHeight="1">
      <c r="A3651" s="2">
        <v>3649</v>
      </c>
      <c r="B3651" s="2" t="str">
        <f>"许杰皓"</f>
        <v>许杰皓</v>
      </c>
      <c r="C3651" s="2" t="s">
        <v>3275</v>
      </c>
      <c r="D3651" s="2" t="s">
        <v>3329</v>
      </c>
      <c r="E3651" s="3"/>
    </row>
    <row r="3652" spans="1:5" ht="24.75" customHeight="1">
      <c r="A3652" s="2">
        <v>3650</v>
      </c>
      <c r="B3652" s="2" t="str">
        <f>"钟林婷"</f>
        <v>钟林婷</v>
      </c>
      <c r="C3652" s="2" t="s">
        <v>3275</v>
      </c>
      <c r="D3652" s="2" t="s">
        <v>3330</v>
      </c>
      <c r="E3652" s="3"/>
    </row>
    <row r="3653" spans="1:5" ht="24.75" customHeight="1">
      <c r="A3653" s="2">
        <v>3651</v>
      </c>
      <c r="B3653" s="2" t="str">
        <f>"黄成"</f>
        <v>黄成</v>
      </c>
      <c r="C3653" s="2" t="s">
        <v>3275</v>
      </c>
      <c r="D3653" s="2" t="s">
        <v>2737</v>
      </c>
      <c r="E3653" s="3"/>
    </row>
    <row r="3654" spans="1:5" ht="24.75" customHeight="1">
      <c r="A3654" s="2">
        <v>3652</v>
      </c>
      <c r="B3654" s="2" t="str">
        <f>"林茜茜"</f>
        <v>林茜茜</v>
      </c>
      <c r="C3654" s="2" t="s">
        <v>3275</v>
      </c>
      <c r="D3654" s="2" t="s">
        <v>2955</v>
      </c>
      <c r="E3654" s="3"/>
    </row>
    <row r="3655" spans="1:5" ht="24.75" customHeight="1">
      <c r="A3655" s="2">
        <v>3653</v>
      </c>
      <c r="B3655" s="2" t="str">
        <f>"李丽莎"</f>
        <v>李丽莎</v>
      </c>
      <c r="C3655" s="2" t="s">
        <v>3275</v>
      </c>
      <c r="D3655" s="2" t="s">
        <v>3331</v>
      </c>
      <c r="E3655" s="3"/>
    </row>
    <row r="3656" spans="1:5" ht="24.75" customHeight="1">
      <c r="A3656" s="2">
        <v>3654</v>
      </c>
      <c r="B3656" s="2" t="str">
        <f>"莫友君"</f>
        <v>莫友君</v>
      </c>
      <c r="C3656" s="2" t="s">
        <v>3275</v>
      </c>
      <c r="D3656" s="2" t="s">
        <v>3332</v>
      </c>
      <c r="E3656" s="3"/>
    </row>
    <row r="3657" spans="1:5" ht="24.75" customHeight="1">
      <c r="A3657" s="2">
        <v>3655</v>
      </c>
      <c r="B3657" s="2" t="str">
        <f>"曾圣翰"</f>
        <v>曾圣翰</v>
      </c>
      <c r="C3657" s="2" t="s">
        <v>3275</v>
      </c>
      <c r="D3657" s="2" t="s">
        <v>3333</v>
      </c>
      <c r="E3657" s="3"/>
    </row>
    <row r="3658" spans="1:5" ht="24.75" customHeight="1">
      <c r="A3658" s="2">
        <v>3656</v>
      </c>
      <c r="B3658" s="2" t="str">
        <f>"翁雨燕"</f>
        <v>翁雨燕</v>
      </c>
      <c r="C3658" s="2" t="s">
        <v>3275</v>
      </c>
      <c r="D3658" s="2" t="s">
        <v>3334</v>
      </c>
      <c r="E3658" s="3"/>
    </row>
    <row r="3659" spans="1:5" ht="24.75" customHeight="1">
      <c r="A3659" s="2">
        <v>3657</v>
      </c>
      <c r="B3659" s="2" t="str">
        <f>"赵居文"</f>
        <v>赵居文</v>
      </c>
      <c r="C3659" s="2" t="s">
        <v>3275</v>
      </c>
      <c r="D3659" s="2" t="s">
        <v>3335</v>
      </c>
      <c r="E3659" s="3"/>
    </row>
    <row r="3660" spans="1:5" ht="24.75" customHeight="1">
      <c r="A3660" s="2">
        <v>3658</v>
      </c>
      <c r="B3660" s="2" t="str">
        <f>"苏精灵"</f>
        <v>苏精灵</v>
      </c>
      <c r="C3660" s="2" t="s">
        <v>3275</v>
      </c>
      <c r="D3660" s="2" t="s">
        <v>3336</v>
      </c>
      <c r="E3660" s="3"/>
    </row>
    <row r="3661" spans="1:5" ht="24.75" customHeight="1">
      <c r="A3661" s="2">
        <v>3659</v>
      </c>
      <c r="B3661" s="2" t="str">
        <f>"叶润泽"</f>
        <v>叶润泽</v>
      </c>
      <c r="C3661" s="2" t="s">
        <v>3275</v>
      </c>
      <c r="D3661" s="2" t="s">
        <v>1108</v>
      </c>
      <c r="E3661" s="3"/>
    </row>
    <row r="3662" spans="1:5" ht="24.75" customHeight="1">
      <c r="A3662" s="2">
        <v>3660</v>
      </c>
      <c r="B3662" s="2" t="str">
        <f>"李基娜"</f>
        <v>李基娜</v>
      </c>
      <c r="C3662" s="2" t="s">
        <v>3275</v>
      </c>
      <c r="D3662" s="2" t="s">
        <v>3337</v>
      </c>
      <c r="E3662" s="3"/>
    </row>
    <row r="3663" spans="1:5" ht="24.75" customHeight="1">
      <c r="A3663" s="2">
        <v>3661</v>
      </c>
      <c r="B3663" s="2" t="str">
        <f>"张林彬"</f>
        <v>张林彬</v>
      </c>
      <c r="C3663" s="2" t="s">
        <v>3275</v>
      </c>
      <c r="D3663" s="2" t="s">
        <v>2979</v>
      </c>
      <c r="E3663" s="3"/>
    </row>
    <row r="3664" spans="1:5" ht="24.75" customHeight="1">
      <c r="A3664" s="2">
        <v>3662</v>
      </c>
      <c r="B3664" s="2" t="str">
        <f>"邓献萍"</f>
        <v>邓献萍</v>
      </c>
      <c r="C3664" s="2" t="s">
        <v>3275</v>
      </c>
      <c r="D3664" s="2" t="s">
        <v>3338</v>
      </c>
      <c r="E3664" s="3"/>
    </row>
    <row r="3665" spans="1:5" ht="24.75" customHeight="1">
      <c r="A3665" s="2">
        <v>3663</v>
      </c>
      <c r="B3665" s="2" t="str">
        <f>"王晓岚"</f>
        <v>王晓岚</v>
      </c>
      <c r="C3665" s="2" t="s">
        <v>3275</v>
      </c>
      <c r="D3665" s="2" t="s">
        <v>3339</v>
      </c>
      <c r="E3665" s="3"/>
    </row>
    <row r="3666" spans="1:5" ht="24.75" customHeight="1">
      <c r="A3666" s="2">
        <v>3664</v>
      </c>
      <c r="B3666" s="2" t="str">
        <f>"郑天娇"</f>
        <v>郑天娇</v>
      </c>
      <c r="C3666" s="2" t="s">
        <v>3275</v>
      </c>
      <c r="D3666" s="2" t="s">
        <v>906</v>
      </c>
      <c r="E3666" s="3"/>
    </row>
    <row r="3667" spans="1:5" ht="24.75" customHeight="1">
      <c r="A3667" s="2">
        <v>3665</v>
      </c>
      <c r="B3667" s="2" t="str">
        <f>"陈经莉"</f>
        <v>陈经莉</v>
      </c>
      <c r="C3667" s="2" t="s">
        <v>3275</v>
      </c>
      <c r="D3667" s="2" t="s">
        <v>3340</v>
      </c>
      <c r="E3667" s="3"/>
    </row>
    <row r="3668" spans="1:5" ht="24.75" customHeight="1">
      <c r="A3668" s="2">
        <v>3666</v>
      </c>
      <c r="B3668" s="2" t="str">
        <f>"陈海山"</f>
        <v>陈海山</v>
      </c>
      <c r="C3668" s="2" t="s">
        <v>3275</v>
      </c>
      <c r="D3668" s="2" t="s">
        <v>3341</v>
      </c>
      <c r="E3668" s="3"/>
    </row>
    <row r="3669" spans="1:5" ht="24.75" customHeight="1">
      <c r="A3669" s="2">
        <v>3667</v>
      </c>
      <c r="B3669" s="2" t="str">
        <f>"高玲菊"</f>
        <v>高玲菊</v>
      </c>
      <c r="C3669" s="2" t="s">
        <v>3275</v>
      </c>
      <c r="D3669" s="2" t="s">
        <v>3342</v>
      </c>
      <c r="E3669" s="3"/>
    </row>
    <row r="3670" spans="1:5" ht="24.75" customHeight="1">
      <c r="A3670" s="2">
        <v>3668</v>
      </c>
      <c r="B3670" s="2" t="str">
        <f>"符妙菀"</f>
        <v>符妙菀</v>
      </c>
      <c r="C3670" s="2" t="s">
        <v>3275</v>
      </c>
      <c r="D3670" s="2" t="s">
        <v>3343</v>
      </c>
      <c r="E3670" s="3"/>
    </row>
    <row r="3671" spans="1:5" ht="24.75" customHeight="1">
      <c r="A3671" s="2">
        <v>3669</v>
      </c>
      <c r="B3671" s="2" t="str">
        <f>"杨珊珊"</f>
        <v>杨珊珊</v>
      </c>
      <c r="C3671" s="2" t="s">
        <v>3275</v>
      </c>
      <c r="D3671" s="2" t="s">
        <v>3344</v>
      </c>
      <c r="E3671" s="3"/>
    </row>
    <row r="3672" spans="1:5" ht="24.75" customHeight="1">
      <c r="A3672" s="2">
        <v>3670</v>
      </c>
      <c r="B3672" s="2" t="str">
        <f>"王婷"</f>
        <v>王婷</v>
      </c>
      <c r="C3672" s="2" t="s">
        <v>3275</v>
      </c>
      <c r="D3672" s="2" t="s">
        <v>3200</v>
      </c>
      <c r="E3672" s="3"/>
    </row>
    <row r="3673" spans="1:5" ht="24.75" customHeight="1">
      <c r="A3673" s="2">
        <v>3671</v>
      </c>
      <c r="B3673" s="2" t="str">
        <f>"张云雪"</f>
        <v>张云雪</v>
      </c>
      <c r="C3673" s="2" t="s">
        <v>3275</v>
      </c>
      <c r="D3673" s="2" t="s">
        <v>3345</v>
      </c>
      <c r="E3673" s="3"/>
    </row>
    <row r="3674" spans="1:5" ht="24.75" customHeight="1">
      <c r="A3674" s="2">
        <v>3672</v>
      </c>
      <c r="B3674" s="2" t="str">
        <f>"吕琼梅"</f>
        <v>吕琼梅</v>
      </c>
      <c r="C3674" s="2" t="s">
        <v>3275</v>
      </c>
      <c r="D3674" s="2" t="s">
        <v>3346</v>
      </c>
      <c r="E3674" s="3"/>
    </row>
    <row r="3675" spans="1:5" ht="24.75" customHeight="1">
      <c r="A3675" s="2">
        <v>3673</v>
      </c>
      <c r="B3675" s="2" t="str">
        <f>"唐昌达"</f>
        <v>唐昌达</v>
      </c>
      <c r="C3675" s="2" t="s">
        <v>3275</v>
      </c>
      <c r="D3675" s="2" t="s">
        <v>3347</v>
      </c>
      <c r="E3675" s="3"/>
    </row>
    <row r="3676" spans="1:5" ht="24.75" customHeight="1">
      <c r="A3676" s="2">
        <v>3674</v>
      </c>
      <c r="B3676" s="2" t="str">
        <f>"梁宇"</f>
        <v>梁宇</v>
      </c>
      <c r="C3676" s="2" t="s">
        <v>3275</v>
      </c>
      <c r="D3676" s="2" t="s">
        <v>519</v>
      </c>
      <c r="E3676" s="3"/>
    </row>
    <row r="3677" spans="1:5" ht="24.75" customHeight="1">
      <c r="A3677" s="2">
        <v>3675</v>
      </c>
      <c r="B3677" s="2" t="str">
        <f>"王燕"</f>
        <v>王燕</v>
      </c>
      <c r="C3677" s="2" t="s">
        <v>3275</v>
      </c>
      <c r="D3677" s="2" t="s">
        <v>3348</v>
      </c>
      <c r="E3677" s="3"/>
    </row>
    <row r="3678" spans="1:5" ht="24.75" customHeight="1">
      <c r="A3678" s="2">
        <v>3676</v>
      </c>
      <c r="B3678" s="2" t="str">
        <f>"熊婉"</f>
        <v>熊婉</v>
      </c>
      <c r="C3678" s="2" t="s">
        <v>3275</v>
      </c>
      <c r="D3678" s="2" t="s">
        <v>3349</v>
      </c>
      <c r="E3678" s="3"/>
    </row>
    <row r="3679" spans="1:5" ht="24.75" customHeight="1">
      <c r="A3679" s="2">
        <v>3677</v>
      </c>
      <c r="B3679" s="2" t="str">
        <f>"布阿依谢姆·霍加阿卜杜拉"</f>
        <v>布阿依谢姆·霍加阿卜杜拉</v>
      </c>
      <c r="C3679" s="2" t="s">
        <v>3275</v>
      </c>
      <c r="D3679" s="2" t="s">
        <v>3350</v>
      </c>
      <c r="E3679" s="3"/>
    </row>
    <row r="3680" spans="1:5" ht="24.75" customHeight="1">
      <c r="A3680" s="2">
        <v>3678</v>
      </c>
      <c r="B3680" s="2" t="str">
        <f>"容芬"</f>
        <v>容芬</v>
      </c>
      <c r="C3680" s="2" t="s">
        <v>3275</v>
      </c>
      <c r="D3680" s="2" t="s">
        <v>2426</v>
      </c>
      <c r="E3680" s="3"/>
    </row>
    <row r="3681" spans="1:5" ht="24.75" customHeight="1">
      <c r="A3681" s="2">
        <v>3679</v>
      </c>
      <c r="B3681" s="2" t="str">
        <f>"陈钰"</f>
        <v>陈钰</v>
      </c>
      <c r="C3681" s="2" t="s">
        <v>3275</v>
      </c>
      <c r="D3681" s="2" t="s">
        <v>3351</v>
      </c>
      <c r="E3681" s="3"/>
    </row>
    <row r="3682" spans="1:5" ht="24.75" customHeight="1">
      <c r="A3682" s="2">
        <v>3680</v>
      </c>
      <c r="B3682" s="2" t="str">
        <f>"王少欣"</f>
        <v>王少欣</v>
      </c>
      <c r="C3682" s="2" t="s">
        <v>3275</v>
      </c>
      <c r="D3682" s="2" t="s">
        <v>2627</v>
      </c>
      <c r="E3682" s="3"/>
    </row>
    <row r="3683" spans="1:5" ht="24.75" customHeight="1">
      <c r="A3683" s="2">
        <v>3681</v>
      </c>
      <c r="B3683" s="2" t="str">
        <f>"周岁亮"</f>
        <v>周岁亮</v>
      </c>
      <c r="C3683" s="2" t="s">
        <v>3275</v>
      </c>
      <c r="D3683" s="2" t="s">
        <v>3352</v>
      </c>
      <c r="E3683" s="3"/>
    </row>
    <row r="3684" spans="1:5" ht="24.75" customHeight="1">
      <c r="A3684" s="2">
        <v>3682</v>
      </c>
      <c r="B3684" s="2" t="str">
        <f>"邹尚武"</f>
        <v>邹尚武</v>
      </c>
      <c r="C3684" s="2" t="s">
        <v>3275</v>
      </c>
      <c r="D3684" s="2" t="s">
        <v>3353</v>
      </c>
      <c r="E3684" s="3"/>
    </row>
    <row r="3685" spans="1:5" ht="24.75" customHeight="1">
      <c r="A3685" s="2">
        <v>3683</v>
      </c>
      <c r="B3685" s="2" t="str">
        <f>"林妙佳"</f>
        <v>林妙佳</v>
      </c>
      <c r="C3685" s="2" t="s">
        <v>3275</v>
      </c>
      <c r="D3685" s="2" t="s">
        <v>3354</v>
      </c>
      <c r="E3685" s="3"/>
    </row>
    <row r="3686" spans="1:5" ht="24.75" customHeight="1">
      <c r="A3686" s="2">
        <v>3684</v>
      </c>
      <c r="B3686" s="2" t="str">
        <f>"黄杜娟"</f>
        <v>黄杜娟</v>
      </c>
      <c r="C3686" s="2" t="s">
        <v>3275</v>
      </c>
      <c r="D3686" s="2" t="s">
        <v>3355</v>
      </c>
      <c r="E3686" s="3"/>
    </row>
    <row r="3687" spans="1:5" ht="24.75" customHeight="1">
      <c r="A3687" s="2">
        <v>3685</v>
      </c>
      <c r="B3687" s="2" t="str">
        <f>"黄璐"</f>
        <v>黄璐</v>
      </c>
      <c r="C3687" s="2" t="s">
        <v>3275</v>
      </c>
      <c r="D3687" s="2" t="s">
        <v>3356</v>
      </c>
      <c r="E3687" s="3"/>
    </row>
    <row r="3688" spans="1:5" ht="24.75" customHeight="1">
      <c r="A3688" s="2">
        <v>3686</v>
      </c>
      <c r="B3688" s="2" t="str">
        <f>"吴莹"</f>
        <v>吴莹</v>
      </c>
      <c r="C3688" s="2" t="s">
        <v>3275</v>
      </c>
      <c r="D3688" s="2" t="s">
        <v>3357</v>
      </c>
      <c r="E3688" s="3"/>
    </row>
    <row r="3689" spans="1:5" ht="24.75" customHeight="1">
      <c r="A3689" s="2">
        <v>3687</v>
      </c>
      <c r="B3689" s="2" t="str">
        <f>"姚颖"</f>
        <v>姚颖</v>
      </c>
      <c r="C3689" s="2" t="s">
        <v>3275</v>
      </c>
      <c r="D3689" s="2" t="s">
        <v>213</v>
      </c>
      <c r="E3689" s="3"/>
    </row>
    <row r="3690" spans="1:5" ht="24.75" customHeight="1">
      <c r="A3690" s="2">
        <v>3688</v>
      </c>
      <c r="B3690" s="2" t="str">
        <f>"陈怡怡"</f>
        <v>陈怡怡</v>
      </c>
      <c r="C3690" s="2" t="s">
        <v>3275</v>
      </c>
      <c r="D3690" s="2" t="s">
        <v>3358</v>
      </c>
      <c r="E3690" s="3"/>
    </row>
    <row r="3691" spans="1:5" ht="24.75" customHeight="1">
      <c r="A3691" s="2">
        <v>3689</v>
      </c>
      <c r="B3691" s="2" t="str">
        <f>"杨霞"</f>
        <v>杨霞</v>
      </c>
      <c r="C3691" s="2" t="s">
        <v>3275</v>
      </c>
      <c r="D3691" s="2" t="s">
        <v>3359</v>
      </c>
      <c r="E3691" s="3"/>
    </row>
    <row r="3692" spans="1:5" ht="24.75" customHeight="1">
      <c r="A3692" s="2">
        <v>3690</v>
      </c>
      <c r="B3692" s="2" t="str">
        <f>"王美嘉"</f>
        <v>王美嘉</v>
      </c>
      <c r="C3692" s="2" t="s">
        <v>3275</v>
      </c>
      <c r="D3692" s="2" t="s">
        <v>3360</v>
      </c>
      <c r="E3692" s="3"/>
    </row>
    <row r="3693" spans="1:5" ht="24.75" customHeight="1">
      <c r="A3693" s="2">
        <v>3691</v>
      </c>
      <c r="B3693" s="2" t="str">
        <f>"卓扬静"</f>
        <v>卓扬静</v>
      </c>
      <c r="C3693" s="2" t="s">
        <v>3275</v>
      </c>
      <c r="D3693" s="2" t="s">
        <v>3361</v>
      </c>
      <c r="E3693" s="3"/>
    </row>
    <row r="3694" spans="1:5" ht="24.75" customHeight="1">
      <c r="A3694" s="2">
        <v>3692</v>
      </c>
      <c r="B3694" s="2" t="str">
        <f>"符天恋"</f>
        <v>符天恋</v>
      </c>
      <c r="C3694" s="2" t="s">
        <v>3275</v>
      </c>
      <c r="D3694" s="2" t="s">
        <v>3362</v>
      </c>
      <c r="E3694" s="3"/>
    </row>
    <row r="3695" spans="1:5" ht="24.75" customHeight="1">
      <c r="A3695" s="2">
        <v>3693</v>
      </c>
      <c r="B3695" s="2" t="str">
        <f>"吴建爱"</f>
        <v>吴建爱</v>
      </c>
      <c r="C3695" s="2" t="s">
        <v>3275</v>
      </c>
      <c r="D3695" s="2" t="s">
        <v>652</v>
      </c>
      <c r="E3695" s="3"/>
    </row>
    <row r="3696" spans="1:5" ht="24.75" customHeight="1">
      <c r="A3696" s="2">
        <v>3694</v>
      </c>
      <c r="B3696" s="2" t="str">
        <f>"李济材"</f>
        <v>李济材</v>
      </c>
      <c r="C3696" s="2" t="s">
        <v>3275</v>
      </c>
      <c r="D3696" s="2" t="s">
        <v>2462</v>
      </c>
      <c r="E3696" s="3"/>
    </row>
    <row r="3697" spans="1:5" ht="24.75" customHeight="1">
      <c r="A3697" s="2">
        <v>3695</v>
      </c>
      <c r="B3697" s="2" t="str">
        <f>"许苑星"</f>
        <v>许苑星</v>
      </c>
      <c r="C3697" s="2" t="s">
        <v>3275</v>
      </c>
      <c r="D3697" s="2" t="s">
        <v>3363</v>
      </c>
      <c r="E3697" s="3"/>
    </row>
    <row r="3698" spans="1:5" ht="24.75" customHeight="1">
      <c r="A3698" s="2">
        <v>3696</v>
      </c>
      <c r="B3698" s="2" t="str">
        <f>"陈晓丁"</f>
        <v>陈晓丁</v>
      </c>
      <c r="C3698" s="2" t="s">
        <v>3275</v>
      </c>
      <c r="D3698" s="2" t="s">
        <v>3364</v>
      </c>
      <c r="E3698" s="3"/>
    </row>
    <row r="3699" spans="1:5" ht="24.75" customHeight="1">
      <c r="A3699" s="2">
        <v>3697</v>
      </c>
      <c r="B3699" s="2" t="str">
        <f>"钟华"</f>
        <v>钟华</v>
      </c>
      <c r="C3699" s="2" t="s">
        <v>3275</v>
      </c>
      <c r="D3699" s="2" t="s">
        <v>3286</v>
      </c>
      <c r="E3699" s="3"/>
    </row>
    <row r="3700" spans="1:5" ht="24.75" customHeight="1">
      <c r="A3700" s="2">
        <v>3698</v>
      </c>
      <c r="B3700" s="2" t="str">
        <f>"吴康"</f>
        <v>吴康</v>
      </c>
      <c r="C3700" s="2" t="s">
        <v>3275</v>
      </c>
      <c r="D3700" s="2" t="s">
        <v>2104</v>
      </c>
      <c r="E3700" s="3"/>
    </row>
    <row r="3701" spans="1:5" ht="24.75" customHeight="1">
      <c r="A3701" s="2">
        <v>3699</v>
      </c>
      <c r="B3701" s="2" t="str">
        <f>"蔡兴珠"</f>
        <v>蔡兴珠</v>
      </c>
      <c r="C3701" s="2" t="s">
        <v>3275</v>
      </c>
      <c r="D3701" s="2" t="s">
        <v>3365</v>
      </c>
      <c r="E3701" s="3"/>
    </row>
    <row r="3702" spans="1:5" ht="24.75" customHeight="1">
      <c r="A3702" s="2">
        <v>3700</v>
      </c>
      <c r="B3702" s="2" t="str">
        <f>"李泉柏"</f>
        <v>李泉柏</v>
      </c>
      <c r="C3702" s="2" t="s">
        <v>3275</v>
      </c>
      <c r="D3702" s="2" t="s">
        <v>2766</v>
      </c>
      <c r="E3702" s="3"/>
    </row>
    <row r="3703" spans="1:5" ht="24.75" customHeight="1">
      <c r="A3703" s="2">
        <v>3701</v>
      </c>
      <c r="B3703" s="2" t="str">
        <f>"黄秀荣"</f>
        <v>黄秀荣</v>
      </c>
      <c r="C3703" s="2" t="s">
        <v>3275</v>
      </c>
      <c r="D3703" s="2" t="s">
        <v>3366</v>
      </c>
      <c r="E3703" s="3"/>
    </row>
    <row r="3704" spans="1:5" ht="24.75" customHeight="1">
      <c r="A3704" s="2">
        <v>3702</v>
      </c>
      <c r="B3704" s="2" t="str">
        <f>"方晓木"</f>
        <v>方晓木</v>
      </c>
      <c r="C3704" s="2" t="s">
        <v>3275</v>
      </c>
      <c r="D3704" s="2" t="s">
        <v>3367</v>
      </c>
      <c r="E3704" s="3"/>
    </row>
    <row r="3705" spans="1:5" ht="24.75" customHeight="1">
      <c r="A3705" s="2">
        <v>3703</v>
      </c>
      <c r="B3705" s="2" t="str">
        <f>"黄日辉"</f>
        <v>黄日辉</v>
      </c>
      <c r="C3705" s="2" t="s">
        <v>3275</v>
      </c>
      <c r="D3705" s="2" t="s">
        <v>3368</v>
      </c>
      <c r="E3705" s="3"/>
    </row>
    <row r="3706" spans="1:5" ht="24.75" customHeight="1">
      <c r="A3706" s="2">
        <v>3704</v>
      </c>
      <c r="B3706" s="2" t="str">
        <f>"吴仕勇"</f>
        <v>吴仕勇</v>
      </c>
      <c r="C3706" s="2" t="s">
        <v>3275</v>
      </c>
      <c r="D3706" s="2" t="s">
        <v>3369</v>
      </c>
      <c r="E3706" s="3"/>
    </row>
    <row r="3707" spans="1:5" ht="24.75" customHeight="1">
      <c r="A3707" s="2">
        <v>3705</v>
      </c>
      <c r="B3707" s="2" t="str">
        <f>"袁新萍"</f>
        <v>袁新萍</v>
      </c>
      <c r="C3707" s="2" t="s">
        <v>3275</v>
      </c>
      <c r="D3707" s="2" t="s">
        <v>3370</v>
      </c>
      <c r="E3707" s="3"/>
    </row>
    <row r="3708" spans="1:5" ht="24.75" customHeight="1">
      <c r="A3708" s="2">
        <v>3706</v>
      </c>
      <c r="B3708" s="2" t="str">
        <f>"黄贻炜"</f>
        <v>黄贻炜</v>
      </c>
      <c r="C3708" s="2" t="s">
        <v>3275</v>
      </c>
      <c r="D3708" s="2" t="s">
        <v>3371</v>
      </c>
      <c r="E3708" s="3"/>
    </row>
    <row r="3709" spans="1:5" ht="24.75" customHeight="1">
      <c r="A3709" s="2">
        <v>3707</v>
      </c>
      <c r="B3709" s="2" t="str">
        <f>"黄淑娴"</f>
        <v>黄淑娴</v>
      </c>
      <c r="C3709" s="2" t="s">
        <v>3275</v>
      </c>
      <c r="D3709" s="2" t="s">
        <v>107</v>
      </c>
      <c r="E3709" s="3"/>
    </row>
    <row r="3710" spans="1:5" ht="24.75" customHeight="1">
      <c r="A3710" s="2">
        <v>3708</v>
      </c>
      <c r="B3710" s="2" t="str">
        <f>"羊菊秀"</f>
        <v>羊菊秀</v>
      </c>
      <c r="C3710" s="2" t="s">
        <v>3275</v>
      </c>
      <c r="D3710" s="2" t="s">
        <v>3372</v>
      </c>
      <c r="E3710" s="3"/>
    </row>
    <row r="3711" spans="1:5" ht="24.75" customHeight="1">
      <c r="A3711" s="2">
        <v>3709</v>
      </c>
      <c r="B3711" s="2" t="str">
        <f>"卓泽海"</f>
        <v>卓泽海</v>
      </c>
      <c r="C3711" s="2" t="s">
        <v>3275</v>
      </c>
      <c r="D3711" s="2" t="s">
        <v>3373</v>
      </c>
      <c r="E3711" s="3"/>
    </row>
    <row r="3712" spans="1:5" ht="24.75" customHeight="1">
      <c r="A3712" s="2">
        <v>3710</v>
      </c>
      <c r="B3712" s="2" t="str">
        <f>"詹宪哲"</f>
        <v>詹宪哲</v>
      </c>
      <c r="C3712" s="2" t="s">
        <v>3275</v>
      </c>
      <c r="D3712" s="2" t="s">
        <v>3374</v>
      </c>
      <c r="E3712" s="3"/>
    </row>
    <row r="3713" spans="1:5" ht="24.75" customHeight="1">
      <c r="A3713" s="2">
        <v>3711</v>
      </c>
      <c r="B3713" s="2" t="str">
        <f>"吉愉"</f>
        <v>吉愉</v>
      </c>
      <c r="C3713" s="2" t="s">
        <v>3275</v>
      </c>
      <c r="D3713" s="2" t="s">
        <v>3375</v>
      </c>
      <c r="E3713" s="3"/>
    </row>
    <row r="3714" spans="1:5" ht="24.75" customHeight="1">
      <c r="A3714" s="2">
        <v>3712</v>
      </c>
      <c r="B3714" s="2" t="str">
        <f>"林玲"</f>
        <v>林玲</v>
      </c>
      <c r="C3714" s="2" t="s">
        <v>3275</v>
      </c>
      <c r="D3714" s="2" t="s">
        <v>3376</v>
      </c>
      <c r="E3714" s="3"/>
    </row>
    <row r="3715" spans="1:5" ht="24.75" customHeight="1">
      <c r="A3715" s="2">
        <v>3713</v>
      </c>
      <c r="B3715" s="2" t="str">
        <f>"张祯烽"</f>
        <v>张祯烽</v>
      </c>
      <c r="C3715" s="2" t="s">
        <v>3275</v>
      </c>
      <c r="D3715" s="2" t="s">
        <v>3377</v>
      </c>
      <c r="E3715" s="3"/>
    </row>
    <row r="3716" spans="1:5" ht="24.75" customHeight="1">
      <c r="A3716" s="2">
        <v>3714</v>
      </c>
      <c r="B3716" s="2" t="str">
        <f>"王莹"</f>
        <v>王莹</v>
      </c>
      <c r="C3716" s="2" t="s">
        <v>3275</v>
      </c>
      <c r="D3716" s="2" t="s">
        <v>3200</v>
      </c>
      <c r="E3716" s="3"/>
    </row>
    <row r="3717" spans="1:5" ht="24.75" customHeight="1">
      <c r="A3717" s="2">
        <v>3715</v>
      </c>
      <c r="B3717" s="2" t="str">
        <f>"符珺"</f>
        <v>符珺</v>
      </c>
      <c r="C3717" s="2" t="s">
        <v>3275</v>
      </c>
      <c r="D3717" s="2" t="s">
        <v>3378</v>
      </c>
      <c r="E3717" s="3"/>
    </row>
    <row r="3718" spans="1:5" ht="24.75" customHeight="1">
      <c r="A3718" s="2">
        <v>3716</v>
      </c>
      <c r="B3718" s="2" t="str">
        <f>"杨志灵"</f>
        <v>杨志灵</v>
      </c>
      <c r="C3718" s="2" t="s">
        <v>3275</v>
      </c>
      <c r="D3718" s="2" t="s">
        <v>3379</v>
      </c>
      <c r="E3718" s="3"/>
    </row>
    <row r="3719" spans="1:5" ht="24.75" customHeight="1">
      <c r="A3719" s="2">
        <v>3717</v>
      </c>
      <c r="B3719" s="2" t="str">
        <f>"李涛群"</f>
        <v>李涛群</v>
      </c>
      <c r="C3719" s="2" t="s">
        <v>3275</v>
      </c>
      <c r="D3719" s="2" t="s">
        <v>3380</v>
      </c>
      <c r="E3719" s="3"/>
    </row>
    <row r="3720" spans="1:5" ht="24.75" customHeight="1">
      <c r="A3720" s="2">
        <v>3718</v>
      </c>
      <c r="B3720" s="2" t="str">
        <f>"王杨玉"</f>
        <v>王杨玉</v>
      </c>
      <c r="C3720" s="2" t="s">
        <v>3275</v>
      </c>
      <c r="D3720" s="2" t="s">
        <v>3381</v>
      </c>
      <c r="E3720" s="3"/>
    </row>
    <row r="3721" spans="1:5" ht="24.75" customHeight="1">
      <c r="A3721" s="2">
        <v>3719</v>
      </c>
      <c r="B3721" s="2" t="str">
        <f>"林升宇"</f>
        <v>林升宇</v>
      </c>
      <c r="C3721" s="2" t="s">
        <v>3382</v>
      </c>
      <c r="D3721" s="2" t="s">
        <v>3383</v>
      </c>
      <c r="E3721" s="3"/>
    </row>
    <row r="3722" spans="1:5" ht="24.75" customHeight="1">
      <c r="A3722" s="2">
        <v>3720</v>
      </c>
      <c r="B3722" s="2" t="str">
        <f>"许彩丽"</f>
        <v>许彩丽</v>
      </c>
      <c r="C3722" s="2" t="s">
        <v>3382</v>
      </c>
      <c r="D3722" s="2" t="s">
        <v>3384</v>
      </c>
      <c r="E3722" s="3"/>
    </row>
    <row r="3723" spans="1:5" ht="24.75" customHeight="1">
      <c r="A3723" s="2">
        <v>3721</v>
      </c>
      <c r="B3723" s="2" t="str">
        <f>"王爱龙"</f>
        <v>王爱龙</v>
      </c>
      <c r="C3723" s="2" t="s">
        <v>3382</v>
      </c>
      <c r="D3723" s="2" t="s">
        <v>3385</v>
      </c>
      <c r="E3723" s="3"/>
    </row>
    <row r="3724" spans="1:5" ht="24.75" customHeight="1">
      <c r="A3724" s="2">
        <v>3722</v>
      </c>
      <c r="B3724" s="2" t="str">
        <f>"叶冬晴"</f>
        <v>叶冬晴</v>
      </c>
      <c r="C3724" s="2" t="s">
        <v>3382</v>
      </c>
      <c r="D3724" s="2" t="s">
        <v>869</v>
      </c>
      <c r="E3724" s="3"/>
    </row>
    <row r="3725" spans="1:5" ht="24.75" customHeight="1">
      <c r="A3725" s="2">
        <v>3723</v>
      </c>
      <c r="B3725" s="2" t="str">
        <f>"李成科"</f>
        <v>李成科</v>
      </c>
      <c r="C3725" s="2" t="s">
        <v>3382</v>
      </c>
      <c r="D3725" s="2" t="s">
        <v>3386</v>
      </c>
      <c r="E3725" s="3"/>
    </row>
    <row r="3726" spans="1:5" ht="24.75" customHeight="1">
      <c r="A3726" s="2">
        <v>3724</v>
      </c>
      <c r="B3726" s="2" t="str">
        <f>"王辉武"</f>
        <v>王辉武</v>
      </c>
      <c r="C3726" s="2" t="s">
        <v>3382</v>
      </c>
      <c r="D3726" s="2" t="s">
        <v>1179</v>
      </c>
      <c r="E3726" s="3"/>
    </row>
    <row r="3727" spans="1:5" ht="24.75" customHeight="1">
      <c r="A3727" s="2">
        <v>3725</v>
      </c>
      <c r="B3727" s="2" t="str">
        <f>"周富"</f>
        <v>周富</v>
      </c>
      <c r="C3727" s="2" t="s">
        <v>3382</v>
      </c>
      <c r="D3727" s="2" t="s">
        <v>3387</v>
      </c>
      <c r="E3727" s="3"/>
    </row>
    <row r="3728" spans="1:5" ht="24.75" customHeight="1">
      <c r="A3728" s="2">
        <v>3726</v>
      </c>
      <c r="B3728" s="2" t="str">
        <f>"尤卓萌"</f>
        <v>尤卓萌</v>
      </c>
      <c r="C3728" s="2" t="s">
        <v>3382</v>
      </c>
      <c r="D3728" s="2" t="s">
        <v>3388</v>
      </c>
      <c r="E3728" s="3"/>
    </row>
    <row r="3729" spans="1:5" ht="24.75" customHeight="1">
      <c r="A3729" s="2">
        <v>3727</v>
      </c>
      <c r="B3729" s="2" t="str">
        <f>"林天善"</f>
        <v>林天善</v>
      </c>
      <c r="C3729" s="2" t="s">
        <v>3382</v>
      </c>
      <c r="D3729" s="2" t="s">
        <v>3389</v>
      </c>
      <c r="E3729" s="3"/>
    </row>
    <row r="3730" spans="1:5" ht="24.75" customHeight="1">
      <c r="A3730" s="2">
        <v>3728</v>
      </c>
      <c r="B3730" s="2" t="str">
        <f>"石翠隆"</f>
        <v>石翠隆</v>
      </c>
      <c r="C3730" s="2" t="s">
        <v>3382</v>
      </c>
      <c r="D3730" s="2" t="s">
        <v>1517</v>
      </c>
      <c r="E3730" s="3"/>
    </row>
    <row r="3731" spans="1:5" ht="24.75" customHeight="1">
      <c r="A3731" s="2">
        <v>3729</v>
      </c>
      <c r="B3731" s="2" t="str">
        <f>"吕诗言"</f>
        <v>吕诗言</v>
      </c>
      <c r="C3731" s="2" t="s">
        <v>3382</v>
      </c>
      <c r="D3731" s="2" t="s">
        <v>1911</v>
      </c>
      <c r="E3731" s="3"/>
    </row>
    <row r="3732" spans="1:5" ht="24.75" customHeight="1">
      <c r="A3732" s="2">
        <v>3730</v>
      </c>
      <c r="B3732" s="2" t="str">
        <f>"王安康"</f>
        <v>王安康</v>
      </c>
      <c r="C3732" s="2" t="s">
        <v>3382</v>
      </c>
      <c r="D3732" s="2" t="s">
        <v>3390</v>
      </c>
      <c r="E3732" s="3"/>
    </row>
    <row r="3733" spans="1:5" ht="24.75" customHeight="1">
      <c r="A3733" s="2">
        <v>3731</v>
      </c>
      <c r="B3733" s="2" t="str">
        <f>"加铮"</f>
        <v>加铮</v>
      </c>
      <c r="C3733" s="2" t="s">
        <v>3382</v>
      </c>
      <c r="D3733" s="2" t="s">
        <v>3391</v>
      </c>
      <c r="E3733" s="3"/>
    </row>
    <row r="3734" spans="1:5" ht="24.75" customHeight="1">
      <c r="A3734" s="2">
        <v>3732</v>
      </c>
      <c r="B3734" s="2" t="str">
        <f>"陈开成"</f>
        <v>陈开成</v>
      </c>
      <c r="C3734" s="2" t="s">
        <v>3382</v>
      </c>
      <c r="D3734" s="2" t="s">
        <v>3392</v>
      </c>
      <c r="E3734" s="3"/>
    </row>
    <row r="3735" spans="1:5" ht="24.75" customHeight="1">
      <c r="A3735" s="2">
        <v>3733</v>
      </c>
      <c r="B3735" s="2" t="str">
        <f>"陈丽婷"</f>
        <v>陈丽婷</v>
      </c>
      <c r="C3735" s="2" t="s">
        <v>3382</v>
      </c>
      <c r="D3735" s="2" t="s">
        <v>3393</v>
      </c>
      <c r="E3735" s="3"/>
    </row>
    <row r="3736" spans="1:5" ht="24.75" customHeight="1">
      <c r="A3736" s="2">
        <v>3734</v>
      </c>
      <c r="B3736" s="2" t="str">
        <f>"黄捷"</f>
        <v>黄捷</v>
      </c>
      <c r="C3736" s="2" t="s">
        <v>3382</v>
      </c>
      <c r="D3736" s="2" t="s">
        <v>3394</v>
      </c>
      <c r="E3736" s="3"/>
    </row>
    <row r="3737" spans="1:5" ht="24.75" customHeight="1">
      <c r="A3737" s="2">
        <v>3735</v>
      </c>
      <c r="B3737" s="2" t="str">
        <f>"王祉平"</f>
        <v>王祉平</v>
      </c>
      <c r="C3737" s="2" t="s">
        <v>3382</v>
      </c>
      <c r="D3737" s="2" t="s">
        <v>3395</v>
      </c>
      <c r="E3737" s="3"/>
    </row>
    <row r="3738" spans="1:5" ht="24.75" customHeight="1">
      <c r="A3738" s="2">
        <v>3736</v>
      </c>
      <c r="B3738" s="2" t="str">
        <f>"赵忠喜"</f>
        <v>赵忠喜</v>
      </c>
      <c r="C3738" s="2" t="s">
        <v>3382</v>
      </c>
      <c r="D3738" s="2" t="s">
        <v>3396</v>
      </c>
      <c r="E3738" s="3"/>
    </row>
    <row r="3739" spans="1:5" ht="24.75" customHeight="1">
      <c r="A3739" s="2">
        <v>3737</v>
      </c>
      <c r="B3739" s="2" t="str">
        <f>"唐浩安"</f>
        <v>唐浩安</v>
      </c>
      <c r="C3739" s="2" t="s">
        <v>3382</v>
      </c>
      <c r="D3739" s="2" t="s">
        <v>3397</v>
      </c>
      <c r="E3739" s="3"/>
    </row>
    <row r="3740" spans="1:5" ht="24.75" customHeight="1">
      <c r="A3740" s="2">
        <v>3738</v>
      </c>
      <c r="B3740" s="2" t="str">
        <f>"曾祥程"</f>
        <v>曾祥程</v>
      </c>
      <c r="C3740" s="2" t="s">
        <v>3382</v>
      </c>
      <c r="D3740" s="2" t="s">
        <v>2037</v>
      </c>
      <c r="E3740" s="3"/>
    </row>
    <row r="3741" spans="1:5" ht="24.75" customHeight="1">
      <c r="A3741" s="2">
        <v>3739</v>
      </c>
      <c r="B3741" s="2" t="str">
        <f>"郑会塬"</f>
        <v>郑会塬</v>
      </c>
      <c r="C3741" s="2" t="s">
        <v>3382</v>
      </c>
      <c r="D3741" s="2" t="s">
        <v>2715</v>
      </c>
      <c r="E3741" s="3"/>
    </row>
    <row r="3742" spans="1:5" ht="24.75" customHeight="1">
      <c r="A3742" s="2">
        <v>3740</v>
      </c>
      <c r="B3742" s="2" t="str">
        <f>"黎倩雅"</f>
        <v>黎倩雅</v>
      </c>
      <c r="C3742" s="2" t="s">
        <v>3382</v>
      </c>
      <c r="D3742" s="2" t="s">
        <v>2972</v>
      </c>
      <c r="E3742" s="3"/>
    </row>
    <row r="3743" spans="1:5" ht="24.75" customHeight="1">
      <c r="A3743" s="2">
        <v>3741</v>
      </c>
      <c r="B3743" s="2" t="str">
        <f>"梁其才"</f>
        <v>梁其才</v>
      </c>
      <c r="C3743" s="2" t="s">
        <v>3382</v>
      </c>
      <c r="D3743" s="2" t="s">
        <v>699</v>
      </c>
      <c r="E3743" s="3"/>
    </row>
    <row r="3744" spans="1:5" ht="24.75" customHeight="1">
      <c r="A3744" s="2">
        <v>3742</v>
      </c>
      <c r="B3744" s="2" t="str">
        <f>"张泽辉"</f>
        <v>张泽辉</v>
      </c>
      <c r="C3744" s="2" t="s">
        <v>3382</v>
      </c>
      <c r="D3744" s="2" t="s">
        <v>3398</v>
      </c>
      <c r="E3744" s="3"/>
    </row>
    <row r="3745" spans="1:5" ht="24.75" customHeight="1">
      <c r="A3745" s="2">
        <v>3743</v>
      </c>
      <c r="B3745" s="2" t="str">
        <f>"杨泽豪"</f>
        <v>杨泽豪</v>
      </c>
      <c r="C3745" s="2" t="s">
        <v>3382</v>
      </c>
      <c r="D3745" s="2" t="s">
        <v>3399</v>
      </c>
      <c r="E3745" s="3"/>
    </row>
    <row r="3746" spans="1:5" ht="24.75" customHeight="1">
      <c r="A3746" s="2">
        <v>3744</v>
      </c>
      <c r="B3746" s="2" t="str">
        <f>"文珺琦"</f>
        <v>文珺琦</v>
      </c>
      <c r="C3746" s="2" t="s">
        <v>3382</v>
      </c>
      <c r="D3746" s="2" t="s">
        <v>3400</v>
      </c>
      <c r="E3746" s="3"/>
    </row>
    <row r="3747" spans="1:5" ht="24.75" customHeight="1">
      <c r="A3747" s="2">
        <v>3745</v>
      </c>
      <c r="B3747" s="2" t="str">
        <f>"何桂丽"</f>
        <v>何桂丽</v>
      </c>
      <c r="C3747" s="2" t="s">
        <v>3382</v>
      </c>
      <c r="D3747" s="2" t="s">
        <v>3401</v>
      </c>
      <c r="E3747" s="3"/>
    </row>
    <row r="3748" spans="1:5" ht="24.75" customHeight="1">
      <c r="A3748" s="2">
        <v>3746</v>
      </c>
      <c r="B3748" s="2" t="str">
        <f>"黄美珍"</f>
        <v>黄美珍</v>
      </c>
      <c r="C3748" s="2" t="s">
        <v>3382</v>
      </c>
      <c r="D3748" s="2" t="s">
        <v>3402</v>
      </c>
      <c r="E3748" s="3"/>
    </row>
    <row r="3749" spans="1:5" ht="24.75" customHeight="1">
      <c r="A3749" s="2">
        <v>3747</v>
      </c>
      <c r="B3749" s="2" t="str">
        <f>"王咸裕"</f>
        <v>王咸裕</v>
      </c>
      <c r="C3749" s="2" t="s">
        <v>3382</v>
      </c>
      <c r="D3749" s="2" t="s">
        <v>3403</v>
      </c>
      <c r="E3749" s="3"/>
    </row>
    <row r="3750" spans="1:5" ht="24.75" customHeight="1">
      <c r="A3750" s="2">
        <v>3748</v>
      </c>
      <c r="B3750" s="2" t="str">
        <f>"王羿凯"</f>
        <v>王羿凯</v>
      </c>
      <c r="C3750" s="2" t="s">
        <v>3382</v>
      </c>
      <c r="D3750" s="2" t="s">
        <v>3404</v>
      </c>
      <c r="E3750" s="3"/>
    </row>
    <row r="3751" spans="1:5" ht="24.75" customHeight="1">
      <c r="A3751" s="2">
        <v>3749</v>
      </c>
      <c r="B3751" s="2" t="str">
        <f>"林非"</f>
        <v>林非</v>
      </c>
      <c r="C3751" s="2" t="s">
        <v>3382</v>
      </c>
      <c r="D3751" s="2" t="s">
        <v>593</v>
      </c>
      <c r="E3751" s="3"/>
    </row>
    <row r="3752" spans="1:5" ht="24.75" customHeight="1">
      <c r="A3752" s="2">
        <v>3750</v>
      </c>
      <c r="B3752" s="2" t="str">
        <f>"丁伟俊"</f>
        <v>丁伟俊</v>
      </c>
      <c r="C3752" s="2" t="s">
        <v>3382</v>
      </c>
      <c r="D3752" s="2" t="s">
        <v>3405</v>
      </c>
      <c r="E3752" s="3"/>
    </row>
    <row r="3753" spans="1:5" ht="24.75" customHeight="1">
      <c r="A3753" s="2">
        <v>3751</v>
      </c>
      <c r="B3753" s="2" t="str">
        <f>"杜敏"</f>
        <v>杜敏</v>
      </c>
      <c r="C3753" s="2" t="s">
        <v>3382</v>
      </c>
      <c r="D3753" s="2" t="s">
        <v>3406</v>
      </c>
      <c r="E3753" s="3"/>
    </row>
    <row r="3754" spans="1:5" ht="24.75" customHeight="1">
      <c r="A3754" s="2">
        <v>3752</v>
      </c>
      <c r="B3754" s="2" t="str">
        <f>"吴松"</f>
        <v>吴松</v>
      </c>
      <c r="C3754" s="2" t="s">
        <v>3382</v>
      </c>
      <c r="D3754" s="2" t="s">
        <v>3039</v>
      </c>
      <c r="E3754" s="3"/>
    </row>
    <row r="3755" spans="1:5" ht="24.75" customHeight="1">
      <c r="A3755" s="2">
        <v>3753</v>
      </c>
      <c r="B3755" s="2" t="str">
        <f>"王上攀"</f>
        <v>王上攀</v>
      </c>
      <c r="C3755" s="2" t="s">
        <v>3382</v>
      </c>
      <c r="D3755" s="2" t="s">
        <v>3095</v>
      </c>
      <c r="E3755" s="3"/>
    </row>
    <row r="3756" spans="1:5" ht="24.75" customHeight="1">
      <c r="A3756" s="2">
        <v>3754</v>
      </c>
      <c r="B3756" s="2" t="str">
        <f>"黎子桦"</f>
        <v>黎子桦</v>
      </c>
      <c r="C3756" s="2" t="s">
        <v>3382</v>
      </c>
      <c r="D3756" s="2" t="s">
        <v>95</v>
      </c>
      <c r="E3756" s="3"/>
    </row>
    <row r="3757" spans="1:5" ht="24.75" customHeight="1">
      <c r="A3757" s="2">
        <v>3755</v>
      </c>
      <c r="B3757" s="2" t="str">
        <f>"周杰"</f>
        <v>周杰</v>
      </c>
      <c r="C3757" s="2" t="s">
        <v>3382</v>
      </c>
      <c r="D3757" s="2" t="s">
        <v>3407</v>
      </c>
      <c r="E3757" s="3"/>
    </row>
    <row r="3758" spans="1:5" ht="24.75" customHeight="1">
      <c r="A3758" s="2">
        <v>3756</v>
      </c>
      <c r="B3758" s="2" t="str">
        <f>"王英琼"</f>
        <v>王英琼</v>
      </c>
      <c r="C3758" s="2" t="s">
        <v>3382</v>
      </c>
      <c r="D3758" s="2" t="s">
        <v>3408</v>
      </c>
      <c r="E3758" s="3"/>
    </row>
    <row r="3759" spans="1:5" ht="24.75" customHeight="1">
      <c r="A3759" s="2">
        <v>3757</v>
      </c>
      <c r="B3759" s="2" t="str">
        <f>"吴慧妍"</f>
        <v>吴慧妍</v>
      </c>
      <c r="C3759" s="2" t="s">
        <v>3382</v>
      </c>
      <c r="D3759" s="2" t="s">
        <v>3409</v>
      </c>
      <c r="E3759" s="3"/>
    </row>
    <row r="3760" spans="1:5" ht="24.75" customHeight="1">
      <c r="A3760" s="2">
        <v>3758</v>
      </c>
      <c r="B3760" s="2" t="str">
        <f>"张裕和"</f>
        <v>张裕和</v>
      </c>
      <c r="C3760" s="2" t="s">
        <v>3382</v>
      </c>
      <c r="D3760" s="2" t="s">
        <v>3410</v>
      </c>
      <c r="E3760" s="3"/>
    </row>
    <row r="3761" spans="1:5" ht="24.75" customHeight="1">
      <c r="A3761" s="2">
        <v>3759</v>
      </c>
      <c r="B3761" s="2" t="str">
        <f>"刘霏霏"</f>
        <v>刘霏霏</v>
      </c>
      <c r="C3761" s="2" t="s">
        <v>3382</v>
      </c>
      <c r="D3761" s="2" t="s">
        <v>27</v>
      </c>
      <c r="E3761" s="3"/>
    </row>
    <row r="3762" spans="1:5" ht="24.75" customHeight="1">
      <c r="A3762" s="2">
        <v>3760</v>
      </c>
      <c r="B3762" s="2" t="str">
        <f>"符亚斌"</f>
        <v>符亚斌</v>
      </c>
      <c r="C3762" s="2" t="s">
        <v>3382</v>
      </c>
      <c r="D3762" s="2" t="s">
        <v>3411</v>
      </c>
      <c r="E3762" s="3"/>
    </row>
    <row r="3763" spans="1:5" ht="24.75" customHeight="1">
      <c r="A3763" s="2">
        <v>3761</v>
      </c>
      <c r="B3763" s="2" t="str">
        <f>"吴夏珊"</f>
        <v>吴夏珊</v>
      </c>
      <c r="C3763" s="2" t="s">
        <v>3382</v>
      </c>
      <c r="D3763" s="2" t="s">
        <v>3412</v>
      </c>
      <c r="E3763" s="3"/>
    </row>
    <row r="3764" spans="1:5" ht="24.75" customHeight="1">
      <c r="A3764" s="2">
        <v>3762</v>
      </c>
      <c r="B3764" s="2" t="str">
        <f>"符字雄"</f>
        <v>符字雄</v>
      </c>
      <c r="C3764" s="2" t="s">
        <v>3382</v>
      </c>
      <c r="D3764" s="2" t="s">
        <v>1111</v>
      </c>
      <c r="E3764" s="3"/>
    </row>
    <row r="3765" spans="1:5" ht="24.75" customHeight="1">
      <c r="A3765" s="2">
        <v>3763</v>
      </c>
      <c r="B3765" s="2" t="str">
        <f>"容健霖"</f>
        <v>容健霖</v>
      </c>
      <c r="C3765" s="2" t="s">
        <v>3382</v>
      </c>
      <c r="D3765" s="2" t="s">
        <v>3413</v>
      </c>
      <c r="E3765" s="3"/>
    </row>
    <row r="3766" spans="1:5" ht="24.75" customHeight="1">
      <c r="A3766" s="2">
        <v>3764</v>
      </c>
      <c r="B3766" s="2" t="str">
        <f>"赵皓文"</f>
        <v>赵皓文</v>
      </c>
      <c r="C3766" s="2" t="s">
        <v>3382</v>
      </c>
      <c r="D3766" s="2" t="s">
        <v>1931</v>
      </c>
      <c r="E3766" s="3"/>
    </row>
    <row r="3767" spans="1:5" ht="24.75" customHeight="1">
      <c r="A3767" s="2">
        <v>3765</v>
      </c>
      <c r="B3767" s="2" t="str">
        <f>"黎石成"</f>
        <v>黎石成</v>
      </c>
      <c r="C3767" s="2" t="s">
        <v>3382</v>
      </c>
      <c r="D3767" s="2" t="s">
        <v>3414</v>
      </c>
      <c r="E3767" s="3"/>
    </row>
    <row r="3768" spans="1:5" ht="24.75" customHeight="1">
      <c r="A3768" s="2">
        <v>3766</v>
      </c>
      <c r="B3768" s="2" t="str">
        <f>"韦兴虎"</f>
        <v>韦兴虎</v>
      </c>
      <c r="C3768" s="2" t="s">
        <v>3382</v>
      </c>
      <c r="D3768" s="2" t="s">
        <v>3415</v>
      </c>
      <c r="E3768" s="3"/>
    </row>
    <row r="3769" spans="1:5" ht="24.75" customHeight="1">
      <c r="A3769" s="2">
        <v>3767</v>
      </c>
      <c r="B3769" s="2" t="str">
        <f>"梁崇善"</f>
        <v>梁崇善</v>
      </c>
      <c r="C3769" s="2" t="s">
        <v>3382</v>
      </c>
      <c r="D3769" s="2" t="s">
        <v>3416</v>
      </c>
      <c r="E3769" s="3"/>
    </row>
    <row r="3770" spans="1:5" ht="24.75" customHeight="1">
      <c r="A3770" s="2">
        <v>3768</v>
      </c>
      <c r="B3770" s="2" t="str">
        <f>"陈奕宇"</f>
        <v>陈奕宇</v>
      </c>
      <c r="C3770" s="2" t="s">
        <v>3382</v>
      </c>
      <c r="D3770" s="2" t="s">
        <v>3417</v>
      </c>
      <c r="E3770" s="3"/>
    </row>
    <row r="3771" spans="1:5" ht="24.75" customHeight="1">
      <c r="A3771" s="2">
        <v>3769</v>
      </c>
      <c r="B3771" s="2" t="str">
        <f>"符田秋"</f>
        <v>符田秋</v>
      </c>
      <c r="C3771" s="2" t="s">
        <v>3382</v>
      </c>
      <c r="D3771" s="2" t="s">
        <v>519</v>
      </c>
      <c r="E3771" s="3"/>
    </row>
    <row r="3772" spans="1:5" ht="24.75" customHeight="1">
      <c r="A3772" s="2">
        <v>3770</v>
      </c>
      <c r="B3772" s="2" t="str">
        <f>"文现发"</f>
        <v>文现发</v>
      </c>
      <c r="C3772" s="2" t="s">
        <v>3382</v>
      </c>
      <c r="D3772" s="2" t="s">
        <v>2906</v>
      </c>
      <c r="E3772" s="3"/>
    </row>
    <row r="3773" spans="1:5" ht="24.75" customHeight="1">
      <c r="A3773" s="2">
        <v>3771</v>
      </c>
      <c r="B3773" s="2" t="str">
        <f>"王业江"</f>
        <v>王业江</v>
      </c>
      <c r="C3773" s="2" t="s">
        <v>3382</v>
      </c>
      <c r="D3773" s="2" t="s">
        <v>1310</v>
      </c>
      <c r="E3773" s="3"/>
    </row>
    <row r="3774" spans="1:5" ht="24.75" customHeight="1">
      <c r="A3774" s="2">
        <v>3772</v>
      </c>
      <c r="B3774" s="2" t="str">
        <f>"黄芳"</f>
        <v>黄芳</v>
      </c>
      <c r="C3774" s="2" t="s">
        <v>3382</v>
      </c>
      <c r="D3774" s="2" t="s">
        <v>3418</v>
      </c>
      <c r="E3774" s="3"/>
    </row>
    <row r="3775" spans="1:5" ht="24.75" customHeight="1">
      <c r="A3775" s="2">
        <v>3773</v>
      </c>
      <c r="B3775" s="2" t="str">
        <f>"王国才"</f>
        <v>王国才</v>
      </c>
      <c r="C3775" s="2" t="s">
        <v>3382</v>
      </c>
      <c r="D3775" s="2" t="s">
        <v>2768</v>
      </c>
      <c r="E3775" s="3"/>
    </row>
    <row r="3776" spans="1:5" ht="24.75" customHeight="1">
      <c r="A3776" s="2">
        <v>3774</v>
      </c>
      <c r="B3776" s="2" t="str">
        <f>"郭景光"</f>
        <v>郭景光</v>
      </c>
      <c r="C3776" s="2" t="s">
        <v>3382</v>
      </c>
      <c r="D3776" s="2" t="s">
        <v>3419</v>
      </c>
      <c r="E3776" s="3"/>
    </row>
    <row r="3777" spans="1:5" ht="24.75" customHeight="1">
      <c r="A3777" s="2">
        <v>3775</v>
      </c>
      <c r="B3777" s="2" t="str">
        <f>"陈泽鹏"</f>
        <v>陈泽鹏</v>
      </c>
      <c r="C3777" s="2" t="s">
        <v>3382</v>
      </c>
      <c r="D3777" s="2" t="s">
        <v>1368</v>
      </c>
      <c r="E3777" s="3"/>
    </row>
    <row r="3778" spans="1:5" ht="24.75" customHeight="1">
      <c r="A3778" s="2">
        <v>3776</v>
      </c>
      <c r="B3778" s="2" t="str">
        <f>"杨翠银"</f>
        <v>杨翠银</v>
      </c>
      <c r="C3778" s="2" t="s">
        <v>3382</v>
      </c>
      <c r="D3778" s="2" t="s">
        <v>3420</v>
      </c>
      <c r="E3778" s="3"/>
    </row>
    <row r="3779" spans="1:5" ht="24.75" customHeight="1">
      <c r="A3779" s="2">
        <v>3777</v>
      </c>
      <c r="B3779" s="2" t="str">
        <f>"邓书慧"</f>
        <v>邓书慧</v>
      </c>
      <c r="C3779" s="2" t="s">
        <v>3382</v>
      </c>
      <c r="D3779" s="2" t="s">
        <v>3421</v>
      </c>
      <c r="E3779" s="3"/>
    </row>
    <row r="3780" spans="1:5" ht="24.75" customHeight="1">
      <c r="A3780" s="2">
        <v>3778</v>
      </c>
      <c r="B3780" s="2" t="str">
        <f>"王小妹"</f>
        <v>王小妹</v>
      </c>
      <c r="C3780" s="2" t="s">
        <v>3382</v>
      </c>
      <c r="D3780" s="2" t="s">
        <v>1779</v>
      </c>
      <c r="E3780" s="3"/>
    </row>
    <row r="3781" spans="1:5" ht="24.75" customHeight="1">
      <c r="A3781" s="2">
        <v>3779</v>
      </c>
      <c r="B3781" s="2" t="str">
        <f>"杨体芬"</f>
        <v>杨体芬</v>
      </c>
      <c r="C3781" s="2" t="s">
        <v>3422</v>
      </c>
      <c r="D3781" s="2" t="s">
        <v>1116</v>
      </c>
      <c r="E3781" s="3"/>
    </row>
    <row r="3782" spans="1:5" ht="24.75" customHeight="1">
      <c r="A3782" s="2">
        <v>3780</v>
      </c>
      <c r="B3782" s="2" t="str">
        <f>"杨泽洲"</f>
        <v>杨泽洲</v>
      </c>
      <c r="C3782" s="2" t="s">
        <v>3422</v>
      </c>
      <c r="D3782" s="2" t="s">
        <v>3423</v>
      </c>
      <c r="E3782" s="3"/>
    </row>
    <row r="3783" spans="1:5" ht="24.75" customHeight="1">
      <c r="A3783" s="2">
        <v>3781</v>
      </c>
      <c r="B3783" s="2" t="str">
        <f>"李贵峰"</f>
        <v>李贵峰</v>
      </c>
      <c r="C3783" s="2" t="s">
        <v>3422</v>
      </c>
      <c r="D3783" s="2" t="s">
        <v>3424</v>
      </c>
      <c r="E3783" s="3"/>
    </row>
    <row r="3784" spans="1:5" ht="24.75" customHeight="1">
      <c r="A3784" s="2">
        <v>3782</v>
      </c>
      <c r="B3784" s="2" t="str">
        <f>"曾绍禹"</f>
        <v>曾绍禹</v>
      </c>
      <c r="C3784" s="2" t="s">
        <v>3422</v>
      </c>
      <c r="D3784" s="2" t="s">
        <v>1226</v>
      </c>
      <c r="E3784" s="3"/>
    </row>
    <row r="3785" spans="1:5" ht="24.75" customHeight="1">
      <c r="A3785" s="2">
        <v>3783</v>
      </c>
      <c r="B3785" s="2" t="str">
        <f>"吴清峻"</f>
        <v>吴清峻</v>
      </c>
      <c r="C3785" s="2" t="s">
        <v>3422</v>
      </c>
      <c r="D3785" s="2" t="s">
        <v>3425</v>
      </c>
      <c r="E3785" s="3"/>
    </row>
    <row r="3786" spans="1:5" ht="24.75" customHeight="1">
      <c r="A3786" s="2">
        <v>3784</v>
      </c>
      <c r="B3786" s="2" t="str">
        <f>"陈国"</f>
        <v>陈国</v>
      </c>
      <c r="C3786" s="2" t="s">
        <v>3422</v>
      </c>
      <c r="D3786" s="2" t="s">
        <v>3426</v>
      </c>
      <c r="E3786" s="3"/>
    </row>
    <row r="3787" spans="1:5" ht="24.75" customHeight="1">
      <c r="A3787" s="2">
        <v>3785</v>
      </c>
      <c r="B3787" s="2" t="str">
        <f>"柳春贞"</f>
        <v>柳春贞</v>
      </c>
      <c r="C3787" s="2" t="s">
        <v>3422</v>
      </c>
      <c r="D3787" s="2" t="s">
        <v>1228</v>
      </c>
      <c r="E3787" s="3"/>
    </row>
    <row r="3788" spans="1:5" ht="24.75" customHeight="1">
      <c r="A3788" s="2">
        <v>3786</v>
      </c>
      <c r="B3788" s="2" t="str">
        <f>"黄茹"</f>
        <v>黄茹</v>
      </c>
      <c r="C3788" s="2" t="s">
        <v>3422</v>
      </c>
      <c r="D3788" s="2" t="s">
        <v>3313</v>
      </c>
      <c r="E3788" s="3"/>
    </row>
    <row r="3789" spans="1:5" ht="24.75" customHeight="1">
      <c r="A3789" s="2">
        <v>3787</v>
      </c>
      <c r="B3789" s="2" t="str">
        <f>"肖清"</f>
        <v>肖清</v>
      </c>
      <c r="C3789" s="2" t="s">
        <v>3422</v>
      </c>
      <c r="D3789" s="2" t="s">
        <v>3427</v>
      </c>
      <c r="E3789" s="3"/>
    </row>
    <row r="3790" spans="1:5" ht="24.75" customHeight="1">
      <c r="A3790" s="2">
        <v>3788</v>
      </c>
      <c r="B3790" s="2" t="str">
        <f>"齐力萱"</f>
        <v>齐力萱</v>
      </c>
      <c r="C3790" s="2" t="s">
        <v>3422</v>
      </c>
      <c r="D3790" s="2" t="s">
        <v>3428</v>
      </c>
      <c r="E3790" s="3"/>
    </row>
    <row r="3791" spans="1:5" ht="24.75" customHeight="1">
      <c r="A3791" s="2">
        <v>3789</v>
      </c>
      <c r="B3791" s="2" t="str">
        <f>"吴俊霖"</f>
        <v>吴俊霖</v>
      </c>
      <c r="C3791" s="2" t="s">
        <v>3422</v>
      </c>
      <c r="D3791" s="2" t="s">
        <v>1335</v>
      </c>
      <c r="E3791" s="3"/>
    </row>
    <row r="3792" spans="1:5" ht="24.75" customHeight="1">
      <c r="A3792" s="2">
        <v>3790</v>
      </c>
      <c r="B3792" s="2" t="str">
        <f>"刘宏磊"</f>
        <v>刘宏磊</v>
      </c>
      <c r="C3792" s="2" t="s">
        <v>3422</v>
      </c>
      <c r="D3792" s="2" t="s">
        <v>3429</v>
      </c>
      <c r="E3792" s="3"/>
    </row>
    <row r="3793" spans="1:5" ht="24.75" customHeight="1">
      <c r="A3793" s="2">
        <v>3791</v>
      </c>
      <c r="B3793" s="2" t="str">
        <f>"陈泽民"</f>
        <v>陈泽民</v>
      </c>
      <c r="C3793" s="2" t="s">
        <v>3422</v>
      </c>
      <c r="D3793" s="2" t="s">
        <v>740</v>
      </c>
      <c r="E3793" s="3"/>
    </row>
    <row r="3794" spans="1:5" ht="24.75" customHeight="1">
      <c r="A3794" s="2">
        <v>3792</v>
      </c>
      <c r="B3794" s="2" t="str">
        <f>"孙尔昌"</f>
        <v>孙尔昌</v>
      </c>
      <c r="C3794" s="2" t="s">
        <v>3422</v>
      </c>
      <c r="D3794" s="2" t="s">
        <v>3430</v>
      </c>
      <c r="E3794" s="3"/>
    </row>
    <row r="3795" spans="1:5" ht="24.75" customHeight="1">
      <c r="A3795" s="2">
        <v>3793</v>
      </c>
      <c r="B3795" s="2" t="str">
        <f>"赵明源"</f>
        <v>赵明源</v>
      </c>
      <c r="C3795" s="2" t="s">
        <v>3422</v>
      </c>
      <c r="D3795" s="2" t="s">
        <v>1673</v>
      </c>
      <c r="E3795" s="3"/>
    </row>
    <row r="3796" spans="1:5" ht="24.75" customHeight="1">
      <c r="A3796" s="2">
        <v>3794</v>
      </c>
      <c r="B3796" s="2" t="str">
        <f>"林克帆"</f>
        <v>林克帆</v>
      </c>
      <c r="C3796" s="2" t="s">
        <v>3422</v>
      </c>
      <c r="D3796" s="2" t="s">
        <v>3431</v>
      </c>
      <c r="E3796" s="3"/>
    </row>
    <row r="3797" spans="1:5" ht="24.75" customHeight="1">
      <c r="A3797" s="2">
        <v>3795</v>
      </c>
      <c r="B3797" s="2" t="str">
        <f>"李卫涛"</f>
        <v>李卫涛</v>
      </c>
      <c r="C3797" s="2" t="s">
        <v>3422</v>
      </c>
      <c r="D3797" s="2" t="s">
        <v>3432</v>
      </c>
      <c r="E3797" s="3"/>
    </row>
    <row r="3798" spans="1:5" ht="24.75" customHeight="1">
      <c r="A3798" s="2">
        <v>3796</v>
      </c>
      <c r="B3798" s="2" t="str">
        <f>"韦力"</f>
        <v>韦力</v>
      </c>
      <c r="C3798" s="2" t="s">
        <v>3422</v>
      </c>
      <c r="D3798" s="2" t="s">
        <v>3433</v>
      </c>
      <c r="E3798" s="3"/>
    </row>
    <row r="3799" spans="1:5" ht="24.75" customHeight="1">
      <c r="A3799" s="2">
        <v>3797</v>
      </c>
      <c r="B3799" s="2" t="str">
        <f>"黄钰铜"</f>
        <v>黄钰铜</v>
      </c>
      <c r="C3799" s="2" t="s">
        <v>3422</v>
      </c>
      <c r="D3799" s="2" t="s">
        <v>3434</v>
      </c>
      <c r="E3799" s="3"/>
    </row>
    <row r="3800" spans="1:5" ht="24.75" customHeight="1">
      <c r="A3800" s="2">
        <v>3798</v>
      </c>
      <c r="B3800" s="2" t="str">
        <f>"王浩屹"</f>
        <v>王浩屹</v>
      </c>
      <c r="C3800" s="2" t="s">
        <v>3422</v>
      </c>
      <c r="D3800" s="2" t="s">
        <v>3435</v>
      </c>
      <c r="E3800" s="3"/>
    </row>
    <row r="3801" spans="1:5" ht="24.75" customHeight="1">
      <c r="A3801" s="2">
        <v>3799</v>
      </c>
      <c r="B3801" s="2" t="str">
        <f>"李方凯"</f>
        <v>李方凯</v>
      </c>
      <c r="C3801" s="2" t="s">
        <v>3422</v>
      </c>
      <c r="D3801" s="2" t="s">
        <v>3436</v>
      </c>
      <c r="E3801" s="3"/>
    </row>
    <row r="3802" spans="1:5" ht="24.75" customHeight="1">
      <c r="A3802" s="2">
        <v>3800</v>
      </c>
      <c r="B3802" s="2" t="str">
        <f>"王源"</f>
        <v>王源</v>
      </c>
      <c r="C3802" s="2" t="s">
        <v>3422</v>
      </c>
      <c r="D3802" s="2" t="s">
        <v>3437</v>
      </c>
      <c r="E3802" s="3"/>
    </row>
    <row r="3803" spans="1:5" ht="24.75" customHeight="1">
      <c r="A3803" s="2">
        <v>3801</v>
      </c>
      <c r="B3803" s="2" t="str">
        <f>"胡朝妹"</f>
        <v>胡朝妹</v>
      </c>
      <c r="C3803" s="2" t="s">
        <v>3422</v>
      </c>
      <c r="D3803" s="2" t="s">
        <v>3295</v>
      </c>
      <c r="E3803" s="3"/>
    </row>
    <row r="3804" spans="1:5" ht="24.75" customHeight="1">
      <c r="A3804" s="2">
        <v>3802</v>
      </c>
      <c r="B3804" s="2" t="str">
        <f>"李家樑"</f>
        <v>李家樑</v>
      </c>
      <c r="C3804" s="2" t="s">
        <v>3422</v>
      </c>
      <c r="D3804" s="2" t="s">
        <v>3438</v>
      </c>
      <c r="E3804" s="3"/>
    </row>
    <row r="3805" spans="1:5" ht="24.75" customHeight="1">
      <c r="A3805" s="2">
        <v>3803</v>
      </c>
      <c r="B3805" s="2" t="str">
        <f>"张丁"</f>
        <v>张丁</v>
      </c>
      <c r="C3805" s="2" t="s">
        <v>3439</v>
      </c>
      <c r="D3805" s="2" t="s">
        <v>3440</v>
      </c>
      <c r="E3805" s="3"/>
    </row>
    <row r="3806" spans="1:5" ht="24.75" customHeight="1">
      <c r="A3806" s="2">
        <v>3804</v>
      </c>
      <c r="B3806" s="2" t="str">
        <f>"杨刚"</f>
        <v>杨刚</v>
      </c>
      <c r="C3806" s="2" t="s">
        <v>3439</v>
      </c>
      <c r="D3806" s="2" t="s">
        <v>3441</v>
      </c>
      <c r="E3806" s="3"/>
    </row>
    <row r="3807" spans="1:5" ht="24.75" customHeight="1">
      <c r="A3807" s="2">
        <v>3805</v>
      </c>
      <c r="B3807" s="2" t="str">
        <f>"邱名文"</f>
        <v>邱名文</v>
      </c>
      <c r="C3807" s="2" t="s">
        <v>3439</v>
      </c>
      <c r="D3807" s="2" t="s">
        <v>3442</v>
      </c>
      <c r="E3807" s="3"/>
    </row>
    <row r="3808" spans="1:5" ht="24.75" customHeight="1">
      <c r="A3808" s="2">
        <v>3806</v>
      </c>
      <c r="B3808" s="2" t="str">
        <f>"林拥书"</f>
        <v>林拥书</v>
      </c>
      <c r="C3808" s="2" t="s">
        <v>3439</v>
      </c>
      <c r="D3808" s="2" t="s">
        <v>3443</v>
      </c>
      <c r="E3808" s="3"/>
    </row>
    <row r="3809" spans="1:5" ht="24.75" customHeight="1">
      <c r="A3809" s="2">
        <v>3807</v>
      </c>
      <c r="B3809" s="2" t="str">
        <f>"洪小慧"</f>
        <v>洪小慧</v>
      </c>
      <c r="C3809" s="2" t="s">
        <v>3439</v>
      </c>
      <c r="D3809" s="2" t="s">
        <v>3444</v>
      </c>
      <c r="E3809" s="3"/>
    </row>
    <row r="3810" spans="1:5" ht="24.75" customHeight="1">
      <c r="A3810" s="2">
        <v>3808</v>
      </c>
      <c r="B3810" s="2" t="str">
        <f>"黄华通"</f>
        <v>黄华通</v>
      </c>
      <c r="C3810" s="2" t="s">
        <v>3439</v>
      </c>
      <c r="D3810" s="2" t="s">
        <v>3445</v>
      </c>
      <c r="E3810" s="3"/>
    </row>
    <row r="3811" spans="1:5" ht="24.75" customHeight="1">
      <c r="A3811" s="2">
        <v>3809</v>
      </c>
      <c r="B3811" s="2" t="str">
        <f>"赵瑞丰"</f>
        <v>赵瑞丰</v>
      </c>
      <c r="C3811" s="2" t="s">
        <v>3439</v>
      </c>
      <c r="D3811" s="2" t="s">
        <v>3446</v>
      </c>
      <c r="E3811" s="3"/>
    </row>
    <row r="3812" spans="1:5" ht="24.75" customHeight="1">
      <c r="A3812" s="2">
        <v>3810</v>
      </c>
      <c r="B3812" s="2" t="str">
        <f>"岑运仕"</f>
        <v>岑运仕</v>
      </c>
      <c r="C3812" s="2" t="s">
        <v>3439</v>
      </c>
      <c r="D3812" s="2" t="s">
        <v>3447</v>
      </c>
      <c r="E3812" s="3"/>
    </row>
    <row r="3813" spans="1:5" ht="24.75" customHeight="1">
      <c r="A3813" s="2">
        <v>3811</v>
      </c>
      <c r="B3813" s="2" t="str">
        <f>"王俊军"</f>
        <v>王俊军</v>
      </c>
      <c r="C3813" s="2" t="s">
        <v>3439</v>
      </c>
      <c r="D3813" s="2" t="s">
        <v>3448</v>
      </c>
      <c r="E3813" s="3"/>
    </row>
    <row r="3814" spans="1:5" ht="24.75" customHeight="1">
      <c r="A3814" s="2">
        <v>3812</v>
      </c>
      <c r="B3814" s="2" t="str">
        <f>"胡学敏"</f>
        <v>胡学敏</v>
      </c>
      <c r="C3814" s="2" t="s">
        <v>3439</v>
      </c>
      <c r="D3814" s="2" t="s">
        <v>3449</v>
      </c>
      <c r="E3814" s="3"/>
    </row>
    <row r="3815" spans="1:5" ht="24.75" customHeight="1">
      <c r="A3815" s="2">
        <v>3813</v>
      </c>
      <c r="B3815" s="2" t="str">
        <f>"李俊宏"</f>
        <v>李俊宏</v>
      </c>
      <c r="C3815" s="2" t="s">
        <v>3439</v>
      </c>
      <c r="D3815" s="2" t="s">
        <v>3450</v>
      </c>
      <c r="E3815" s="3"/>
    </row>
    <row r="3816" spans="1:5" ht="24.75" customHeight="1">
      <c r="A3816" s="2">
        <v>3814</v>
      </c>
      <c r="B3816" s="2" t="str">
        <f>"刘杰鑫"</f>
        <v>刘杰鑫</v>
      </c>
      <c r="C3816" s="2" t="s">
        <v>3439</v>
      </c>
      <c r="D3816" s="2" t="s">
        <v>3451</v>
      </c>
      <c r="E3816" s="3"/>
    </row>
    <row r="3817" spans="1:5" ht="24.75" customHeight="1">
      <c r="A3817" s="2">
        <v>3815</v>
      </c>
      <c r="B3817" s="2" t="str">
        <f>"苏致刚"</f>
        <v>苏致刚</v>
      </c>
      <c r="C3817" s="2" t="s">
        <v>3439</v>
      </c>
      <c r="D3817" s="2" t="s">
        <v>3452</v>
      </c>
      <c r="E3817" s="3"/>
    </row>
    <row r="3818" spans="1:5" ht="24.75" customHeight="1">
      <c r="A3818" s="2">
        <v>3816</v>
      </c>
      <c r="B3818" s="2" t="str">
        <f>"周秀鸿"</f>
        <v>周秀鸿</v>
      </c>
      <c r="C3818" s="2" t="s">
        <v>3439</v>
      </c>
      <c r="D3818" s="2" t="s">
        <v>3453</v>
      </c>
      <c r="E3818" s="3"/>
    </row>
    <row r="3819" spans="1:5" ht="24.75" customHeight="1">
      <c r="A3819" s="2">
        <v>3817</v>
      </c>
      <c r="B3819" s="2" t="str">
        <f>"林艳"</f>
        <v>林艳</v>
      </c>
      <c r="C3819" s="2" t="s">
        <v>3439</v>
      </c>
      <c r="D3819" s="2" t="s">
        <v>3454</v>
      </c>
      <c r="E3819" s="3"/>
    </row>
    <row r="3820" spans="1:5" ht="24.75" customHeight="1">
      <c r="A3820" s="2">
        <v>3818</v>
      </c>
      <c r="B3820" s="2" t="str">
        <f>"黄英帅"</f>
        <v>黄英帅</v>
      </c>
      <c r="C3820" s="2" t="s">
        <v>3439</v>
      </c>
      <c r="D3820" s="2" t="s">
        <v>1572</v>
      </c>
      <c r="E3820" s="3"/>
    </row>
    <row r="3821" spans="1:5" ht="24.75" customHeight="1">
      <c r="A3821" s="2">
        <v>3819</v>
      </c>
      <c r="B3821" s="2" t="str">
        <f>"冯伟波"</f>
        <v>冯伟波</v>
      </c>
      <c r="C3821" s="2" t="s">
        <v>3439</v>
      </c>
      <c r="D3821" s="2" t="s">
        <v>3455</v>
      </c>
      <c r="E3821" s="3"/>
    </row>
    <row r="3822" spans="1:5" ht="24.75" customHeight="1">
      <c r="A3822" s="2">
        <v>3820</v>
      </c>
      <c r="B3822" s="2" t="str">
        <f>"李衍涛"</f>
        <v>李衍涛</v>
      </c>
      <c r="C3822" s="2" t="s">
        <v>3456</v>
      </c>
      <c r="D3822" s="2" t="s">
        <v>3457</v>
      </c>
      <c r="E3822" s="3"/>
    </row>
    <row r="3823" spans="1:5" ht="24.75" customHeight="1">
      <c r="A3823" s="2">
        <v>3821</v>
      </c>
      <c r="B3823" s="2" t="str">
        <f>"王茜"</f>
        <v>王茜</v>
      </c>
      <c r="C3823" s="2" t="s">
        <v>3456</v>
      </c>
      <c r="D3823" s="2" t="s">
        <v>3458</v>
      </c>
      <c r="E3823" s="3"/>
    </row>
    <row r="3824" spans="1:5" ht="24.75" customHeight="1">
      <c r="A3824" s="2">
        <v>3822</v>
      </c>
      <c r="B3824" s="2" t="str">
        <f>"王彩虹"</f>
        <v>王彩虹</v>
      </c>
      <c r="C3824" s="2" t="s">
        <v>3456</v>
      </c>
      <c r="D3824" s="2" t="s">
        <v>3459</v>
      </c>
      <c r="E3824" s="3"/>
    </row>
    <row r="3825" spans="1:5" ht="24.75" customHeight="1">
      <c r="A3825" s="2">
        <v>3823</v>
      </c>
      <c r="B3825" s="2" t="str">
        <f>"吴泽广"</f>
        <v>吴泽广</v>
      </c>
      <c r="C3825" s="2" t="s">
        <v>3456</v>
      </c>
      <c r="D3825" s="2" t="s">
        <v>1150</v>
      </c>
      <c r="E3825" s="3"/>
    </row>
    <row r="3826" spans="1:5" ht="24.75" customHeight="1">
      <c r="A3826" s="2">
        <v>3824</v>
      </c>
      <c r="B3826" s="2" t="str">
        <f>"莫慧陈"</f>
        <v>莫慧陈</v>
      </c>
      <c r="C3826" s="2" t="s">
        <v>3456</v>
      </c>
      <c r="D3826" s="2" t="s">
        <v>309</v>
      </c>
      <c r="E3826" s="3"/>
    </row>
    <row r="3827" spans="1:5" ht="24.75" customHeight="1">
      <c r="A3827" s="2">
        <v>3825</v>
      </c>
      <c r="B3827" s="2" t="str">
        <f>"洪媛"</f>
        <v>洪媛</v>
      </c>
      <c r="C3827" s="2" t="s">
        <v>3456</v>
      </c>
      <c r="D3827" s="2" t="s">
        <v>3460</v>
      </c>
      <c r="E3827" s="3"/>
    </row>
    <row r="3828" spans="1:5" ht="24.75" customHeight="1">
      <c r="A3828" s="2">
        <v>3826</v>
      </c>
      <c r="B3828" s="2" t="str">
        <f>"何冰月"</f>
        <v>何冰月</v>
      </c>
      <c r="C3828" s="2" t="s">
        <v>3456</v>
      </c>
      <c r="D3828" s="2" t="s">
        <v>3461</v>
      </c>
      <c r="E3828" s="3"/>
    </row>
    <row r="3829" spans="1:5" ht="24.75" customHeight="1">
      <c r="A3829" s="2">
        <v>3827</v>
      </c>
      <c r="B3829" s="2" t="str">
        <f>"邱垂慧"</f>
        <v>邱垂慧</v>
      </c>
      <c r="C3829" s="2" t="s">
        <v>3456</v>
      </c>
      <c r="D3829" s="2" t="s">
        <v>3462</v>
      </c>
      <c r="E3829" s="3"/>
    </row>
    <row r="3830" spans="1:5" ht="24.75" customHeight="1">
      <c r="A3830" s="2">
        <v>3828</v>
      </c>
      <c r="B3830" s="2" t="str">
        <f>"吴玉娇"</f>
        <v>吴玉娇</v>
      </c>
      <c r="C3830" s="2" t="s">
        <v>3456</v>
      </c>
      <c r="D3830" s="2" t="s">
        <v>1749</v>
      </c>
      <c r="E3830" s="3"/>
    </row>
    <row r="3831" spans="1:5" ht="24.75" customHeight="1">
      <c r="A3831" s="2">
        <v>3829</v>
      </c>
      <c r="B3831" s="2" t="str">
        <f>"丁金芳"</f>
        <v>丁金芳</v>
      </c>
      <c r="C3831" s="2" t="s">
        <v>3456</v>
      </c>
      <c r="D3831" s="2" t="s">
        <v>45</v>
      </c>
      <c r="E3831" s="3"/>
    </row>
    <row r="3832" spans="1:5" ht="24.75" customHeight="1">
      <c r="A3832" s="2">
        <v>3830</v>
      </c>
      <c r="B3832" s="2" t="str">
        <f>"吴巧妙"</f>
        <v>吴巧妙</v>
      </c>
      <c r="C3832" s="2" t="s">
        <v>3456</v>
      </c>
      <c r="D3832" s="2" t="s">
        <v>662</v>
      </c>
      <c r="E3832" s="3"/>
    </row>
    <row r="3833" spans="1:5" ht="24.75" customHeight="1">
      <c r="A3833" s="2">
        <v>3831</v>
      </c>
      <c r="B3833" s="2" t="str">
        <f>"陈云皓"</f>
        <v>陈云皓</v>
      </c>
      <c r="C3833" s="2" t="s">
        <v>3456</v>
      </c>
      <c r="D3833" s="2" t="s">
        <v>3463</v>
      </c>
      <c r="E3833" s="3"/>
    </row>
    <row r="3834" spans="1:5" ht="24.75" customHeight="1">
      <c r="A3834" s="2">
        <v>3832</v>
      </c>
      <c r="B3834" s="2" t="str">
        <f>"杜蕾"</f>
        <v>杜蕾</v>
      </c>
      <c r="C3834" s="2" t="s">
        <v>3456</v>
      </c>
      <c r="D3834" s="2" t="s">
        <v>3464</v>
      </c>
      <c r="E3834" s="3"/>
    </row>
    <row r="3835" spans="1:5" ht="24.75" customHeight="1">
      <c r="A3835" s="2">
        <v>3833</v>
      </c>
      <c r="B3835" s="2" t="str">
        <f>"陈秋亦"</f>
        <v>陈秋亦</v>
      </c>
      <c r="C3835" s="2" t="s">
        <v>3456</v>
      </c>
      <c r="D3835" s="2" t="s">
        <v>3465</v>
      </c>
      <c r="E3835" s="3"/>
    </row>
    <row r="3836" spans="1:5" ht="24.75" customHeight="1">
      <c r="A3836" s="2">
        <v>3834</v>
      </c>
      <c r="B3836" s="2" t="str">
        <f>"王名圣"</f>
        <v>王名圣</v>
      </c>
      <c r="C3836" s="2" t="s">
        <v>3466</v>
      </c>
      <c r="D3836" s="2" t="s">
        <v>3467</v>
      </c>
      <c r="E3836" s="3"/>
    </row>
    <row r="3837" spans="1:5" ht="24.75" customHeight="1">
      <c r="A3837" s="2">
        <v>3835</v>
      </c>
      <c r="B3837" s="2" t="str">
        <f>"符永松"</f>
        <v>符永松</v>
      </c>
      <c r="C3837" s="2" t="s">
        <v>3466</v>
      </c>
      <c r="D3837" s="2" t="s">
        <v>3468</v>
      </c>
      <c r="E3837" s="3"/>
    </row>
    <row r="3838" spans="1:5" ht="24.75" customHeight="1">
      <c r="A3838" s="2">
        <v>3836</v>
      </c>
      <c r="B3838" s="2" t="str">
        <f>"许家顺"</f>
        <v>许家顺</v>
      </c>
      <c r="C3838" s="2" t="s">
        <v>3466</v>
      </c>
      <c r="D3838" s="2" t="s">
        <v>3469</v>
      </c>
      <c r="E3838" s="3"/>
    </row>
    <row r="3839" spans="1:5" ht="24.75" customHeight="1">
      <c r="A3839" s="2">
        <v>3837</v>
      </c>
      <c r="B3839" s="2" t="str">
        <f>"符传彦"</f>
        <v>符传彦</v>
      </c>
      <c r="C3839" s="2" t="s">
        <v>3466</v>
      </c>
      <c r="D3839" s="2" t="s">
        <v>3470</v>
      </c>
      <c r="E3839" s="3"/>
    </row>
    <row r="3840" spans="1:5" ht="24.75" customHeight="1">
      <c r="A3840" s="2">
        <v>3838</v>
      </c>
      <c r="B3840" s="2" t="str">
        <f>"王学林"</f>
        <v>王学林</v>
      </c>
      <c r="C3840" s="2" t="s">
        <v>3466</v>
      </c>
      <c r="D3840" s="2" t="s">
        <v>3471</v>
      </c>
      <c r="E3840" s="3"/>
    </row>
    <row r="3841" spans="1:5" ht="24.75" customHeight="1">
      <c r="A3841" s="2">
        <v>3839</v>
      </c>
      <c r="B3841" s="2" t="str">
        <f>"王海浪"</f>
        <v>王海浪</v>
      </c>
      <c r="C3841" s="2" t="s">
        <v>3466</v>
      </c>
      <c r="D3841" s="2" t="s">
        <v>2844</v>
      </c>
      <c r="E3841" s="3"/>
    </row>
    <row r="3842" spans="1:5" ht="24.75" customHeight="1">
      <c r="A3842" s="2">
        <v>3840</v>
      </c>
      <c r="B3842" s="2" t="str">
        <f>"严居青"</f>
        <v>严居青</v>
      </c>
      <c r="C3842" s="2" t="s">
        <v>3466</v>
      </c>
      <c r="D3842" s="2" t="s">
        <v>3472</v>
      </c>
      <c r="E3842" s="3"/>
    </row>
    <row r="3843" spans="1:5" ht="24.75" customHeight="1">
      <c r="A3843" s="2">
        <v>3841</v>
      </c>
      <c r="B3843" s="2" t="str">
        <f>"吴挺举"</f>
        <v>吴挺举</v>
      </c>
      <c r="C3843" s="2" t="s">
        <v>3466</v>
      </c>
      <c r="D3843" s="2" t="s">
        <v>3473</v>
      </c>
      <c r="E3843" s="3"/>
    </row>
    <row r="3844" spans="1:5" ht="24.75" customHeight="1">
      <c r="A3844" s="2">
        <v>3842</v>
      </c>
      <c r="B3844" s="2" t="str">
        <f>"吴钟荣"</f>
        <v>吴钟荣</v>
      </c>
      <c r="C3844" s="2" t="s">
        <v>3466</v>
      </c>
      <c r="D3844" s="2" t="s">
        <v>3474</v>
      </c>
      <c r="E3844" s="3"/>
    </row>
    <row r="3845" spans="1:5" ht="24.75" customHeight="1">
      <c r="A3845" s="2">
        <v>3843</v>
      </c>
      <c r="B3845" s="2" t="str">
        <f>"何家任"</f>
        <v>何家任</v>
      </c>
      <c r="C3845" s="2" t="s">
        <v>3466</v>
      </c>
      <c r="D3845" s="2" t="s">
        <v>2205</v>
      </c>
      <c r="E3845" s="3"/>
    </row>
    <row r="3846" spans="1:5" ht="24.75" customHeight="1">
      <c r="A3846" s="2">
        <v>3844</v>
      </c>
      <c r="B3846" s="2" t="str">
        <f>"李文宇"</f>
        <v>李文宇</v>
      </c>
      <c r="C3846" s="2" t="s">
        <v>3466</v>
      </c>
      <c r="D3846" s="2" t="s">
        <v>3475</v>
      </c>
      <c r="E3846" s="3"/>
    </row>
    <row r="3847" spans="1:5" ht="24.75" customHeight="1">
      <c r="A3847" s="2">
        <v>3845</v>
      </c>
      <c r="B3847" s="2" t="str">
        <f>"李政"</f>
        <v>李政</v>
      </c>
      <c r="C3847" s="2" t="s">
        <v>3466</v>
      </c>
      <c r="D3847" s="2" t="s">
        <v>3476</v>
      </c>
      <c r="E3847" s="3"/>
    </row>
    <row r="3848" spans="1:5" ht="24.75" customHeight="1">
      <c r="A3848" s="2">
        <v>3846</v>
      </c>
      <c r="B3848" s="2" t="str">
        <f>"陈其峰"</f>
        <v>陈其峰</v>
      </c>
      <c r="C3848" s="2" t="s">
        <v>3466</v>
      </c>
      <c r="D3848" s="2" t="s">
        <v>3477</v>
      </c>
      <c r="E3848" s="3"/>
    </row>
    <row r="3849" spans="1:5" ht="24.75" customHeight="1">
      <c r="A3849" s="2">
        <v>3847</v>
      </c>
      <c r="B3849" s="2" t="str">
        <f>"吴挺伟"</f>
        <v>吴挺伟</v>
      </c>
      <c r="C3849" s="2" t="s">
        <v>3466</v>
      </c>
      <c r="D3849" s="2" t="s">
        <v>3478</v>
      </c>
      <c r="E3849" s="3"/>
    </row>
    <row r="3850" spans="1:5" ht="24.75" customHeight="1">
      <c r="A3850" s="2">
        <v>3848</v>
      </c>
      <c r="B3850" s="2" t="str">
        <f>"张天勇"</f>
        <v>张天勇</v>
      </c>
      <c r="C3850" s="2" t="s">
        <v>3466</v>
      </c>
      <c r="D3850" s="2" t="s">
        <v>3479</v>
      </c>
      <c r="E3850" s="3"/>
    </row>
    <row r="3851" spans="1:5" ht="24.75" customHeight="1">
      <c r="A3851" s="2">
        <v>3849</v>
      </c>
      <c r="B3851" s="2" t="str">
        <f>"黄武智"</f>
        <v>黄武智</v>
      </c>
      <c r="C3851" s="2" t="s">
        <v>3466</v>
      </c>
      <c r="D3851" s="2" t="s">
        <v>3480</v>
      </c>
      <c r="E3851" s="3"/>
    </row>
    <row r="3852" spans="1:5" ht="24.75" customHeight="1">
      <c r="A3852" s="2">
        <v>3850</v>
      </c>
      <c r="B3852" s="2" t="str">
        <f>"秦万禄"</f>
        <v>秦万禄</v>
      </c>
      <c r="C3852" s="2" t="s">
        <v>3466</v>
      </c>
      <c r="D3852" s="2" t="s">
        <v>3481</v>
      </c>
      <c r="E3852" s="3"/>
    </row>
    <row r="3853" spans="1:5" ht="24.75" customHeight="1">
      <c r="A3853" s="2">
        <v>3851</v>
      </c>
      <c r="B3853" s="2" t="str">
        <f>"林绍龙"</f>
        <v>林绍龙</v>
      </c>
      <c r="C3853" s="2" t="s">
        <v>3466</v>
      </c>
      <c r="D3853" s="2" t="s">
        <v>1572</v>
      </c>
      <c r="E3853" s="3"/>
    </row>
    <row r="3854" spans="1:5" ht="24.75" customHeight="1">
      <c r="A3854" s="2">
        <v>3852</v>
      </c>
      <c r="B3854" s="2" t="str">
        <f>"林家锐"</f>
        <v>林家锐</v>
      </c>
      <c r="C3854" s="2" t="s">
        <v>3466</v>
      </c>
      <c r="D3854" s="2" t="s">
        <v>1120</v>
      </c>
      <c r="E3854" s="3"/>
    </row>
    <row r="3855" spans="1:5" ht="24.75" customHeight="1">
      <c r="A3855" s="2">
        <v>3853</v>
      </c>
      <c r="B3855" s="2" t="str">
        <f>"陈传沈"</f>
        <v>陈传沈</v>
      </c>
      <c r="C3855" s="2" t="s">
        <v>3466</v>
      </c>
      <c r="D3855" s="2" t="s">
        <v>3482</v>
      </c>
      <c r="E3855" s="3"/>
    </row>
    <row r="3856" spans="1:5" ht="24.75" customHeight="1">
      <c r="A3856" s="2">
        <v>3854</v>
      </c>
      <c r="B3856" s="2" t="str">
        <f>"蒙绪腾"</f>
        <v>蒙绪腾</v>
      </c>
      <c r="C3856" s="2" t="s">
        <v>3466</v>
      </c>
      <c r="D3856" s="2" t="s">
        <v>3483</v>
      </c>
      <c r="E3856" s="3"/>
    </row>
    <row r="3857" spans="1:5" ht="24.75" customHeight="1">
      <c r="A3857" s="2">
        <v>3855</v>
      </c>
      <c r="B3857" s="2" t="str">
        <f>"陈俞蓉"</f>
        <v>陈俞蓉</v>
      </c>
      <c r="C3857" s="2" t="s">
        <v>3466</v>
      </c>
      <c r="D3857" s="2" t="s">
        <v>1882</v>
      </c>
      <c r="E3857" s="3"/>
    </row>
    <row r="3858" spans="1:5" ht="24.75" customHeight="1">
      <c r="A3858" s="2">
        <v>3856</v>
      </c>
      <c r="B3858" s="2" t="str">
        <f>"陈邦浪"</f>
        <v>陈邦浪</v>
      </c>
      <c r="C3858" s="2" t="s">
        <v>3466</v>
      </c>
      <c r="D3858" s="2" t="s">
        <v>3484</v>
      </c>
      <c r="E3858" s="3"/>
    </row>
    <row r="3859" spans="1:5" ht="24.75" customHeight="1">
      <c r="A3859" s="2">
        <v>3857</v>
      </c>
      <c r="B3859" s="2" t="str">
        <f>"陈柯安"</f>
        <v>陈柯安</v>
      </c>
      <c r="C3859" s="2" t="s">
        <v>3466</v>
      </c>
      <c r="D3859" s="2" t="s">
        <v>3485</v>
      </c>
      <c r="E3859" s="3"/>
    </row>
    <row r="3860" spans="1:5" ht="24.75" customHeight="1">
      <c r="A3860" s="2">
        <v>3858</v>
      </c>
      <c r="B3860" s="2" t="str">
        <f>"符春秀"</f>
        <v>符春秀</v>
      </c>
      <c r="C3860" s="2" t="s">
        <v>3466</v>
      </c>
      <c r="D3860" s="2" t="s">
        <v>3486</v>
      </c>
      <c r="E3860" s="3"/>
    </row>
    <row r="3861" spans="1:5" ht="24.75" customHeight="1">
      <c r="A3861" s="2">
        <v>3859</v>
      </c>
      <c r="B3861" s="2" t="str">
        <f>"高唯峣"</f>
        <v>高唯峣</v>
      </c>
      <c r="C3861" s="2" t="s">
        <v>3466</v>
      </c>
      <c r="D3861" s="2" t="s">
        <v>3487</v>
      </c>
      <c r="E3861" s="3"/>
    </row>
    <row r="3862" spans="1:5" ht="24.75" customHeight="1">
      <c r="A3862" s="2">
        <v>3860</v>
      </c>
      <c r="B3862" s="2" t="str">
        <f>"苏助"</f>
        <v>苏助</v>
      </c>
      <c r="C3862" s="2" t="s">
        <v>3466</v>
      </c>
      <c r="D3862" s="2" t="s">
        <v>3488</v>
      </c>
      <c r="E3862" s="3"/>
    </row>
    <row r="3863" spans="1:5" ht="24.75" customHeight="1">
      <c r="A3863" s="2">
        <v>3861</v>
      </c>
      <c r="B3863" s="2" t="str">
        <f>"王显斌"</f>
        <v>王显斌</v>
      </c>
      <c r="C3863" s="2" t="s">
        <v>3466</v>
      </c>
      <c r="D3863" s="2" t="s">
        <v>3489</v>
      </c>
      <c r="E3863" s="3"/>
    </row>
    <row r="3864" spans="1:5" ht="24.75" customHeight="1">
      <c r="A3864" s="2">
        <v>3862</v>
      </c>
      <c r="B3864" s="2" t="str">
        <f>"符进飞"</f>
        <v>符进飞</v>
      </c>
      <c r="C3864" s="2" t="s">
        <v>3466</v>
      </c>
      <c r="D3864" s="2" t="s">
        <v>3490</v>
      </c>
      <c r="E3864" s="3"/>
    </row>
    <row r="3865" spans="1:5" ht="24.75" customHeight="1">
      <c r="A3865" s="2">
        <v>3863</v>
      </c>
      <c r="B3865" s="2" t="str">
        <f>"黄肖文"</f>
        <v>黄肖文</v>
      </c>
      <c r="C3865" s="2" t="s">
        <v>3466</v>
      </c>
      <c r="D3865" s="2" t="s">
        <v>3491</v>
      </c>
      <c r="E3865" s="3"/>
    </row>
    <row r="3866" spans="1:5" ht="24.75" customHeight="1">
      <c r="A3866" s="2">
        <v>3864</v>
      </c>
      <c r="B3866" s="2" t="str">
        <f>"洪少东"</f>
        <v>洪少东</v>
      </c>
      <c r="C3866" s="2" t="s">
        <v>3466</v>
      </c>
      <c r="D3866" s="2" t="s">
        <v>3492</v>
      </c>
      <c r="E3866" s="3"/>
    </row>
    <row r="3867" spans="1:5" ht="24.75" customHeight="1">
      <c r="A3867" s="2">
        <v>3865</v>
      </c>
      <c r="B3867" s="2" t="str">
        <f>"邓威"</f>
        <v>邓威</v>
      </c>
      <c r="C3867" s="2" t="s">
        <v>3466</v>
      </c>
      <c r="D3867" s="2" t="s">
        <v>3493</v>
      </c>
      <c r="E3867" s="3"/>
    </row>
    <row r="3868" spans="1:5" ht="24.75" customHeight="1">
      <c r="A3868" s="2">
        <v>3866</v>
      </c>
      <c r="B3868" s="2" t="str">
        <f>"林海"</f>
        <v>林海</v>
      </c>
      <c r="C3868" s="2" t="s">
        <v>3466</v>
      </c>
      <c r="D3868" s="2" t="s">
        <v>3494</v>
      </c>
      <c r="E3868" s="3"/>
    </row>
    <row r="3869" spans="1:5" ht="24.75" customHeight="1">
      <c r="A3869" s="2">
        <v>3867</v>
      </c>
      <c r="B3869" s="2" t="str">
        <f>"胡骏阳"</f>
        <v>胡骏阳</v>
      </c>
      <c r="C3869" s="2" t="s">
        <v>3466</v>
      </c>
      <c r="D3869" s="2" t="s">
        <v>3495</v>
      </c>
      <c r="E3869" s="3"/>
    </row>
    <row r="3870" spans="1:5" ht="24.75" customHeight="1">
      <c r="A3870" s="2">
        <v>3868</v>
      </c>
      <c r="B3870" s="2" t="str">
        <f>"赵仲多"</f>
        <v>赵仲多</v>
      </c>
      <c r="C3870" s="2" t="s">
        <v>3466</v>
      </c>
      <c r="D3870" s="2" t="s">
        <v>3496</v>
      </c>
      <c r="E3870" s="3"/>
    </row>
    <row r="3871" spans="1:5" ht="24.75" customHeight="1">
      <c r="A3871" s="2">
        <v>3869</v>
      </c>
      <c r="B3871" s="2" t="str">
        <f>"符海斌"</f>
        <v>符海斌</v>
      </c>
      <c r="C3871" s="2" t="s">
        <v>3466</v>
      </c>
      <c r="D3871" s="2" t="s">
        <v>3497</v>
      </c>
      <c r="E3871" s="3"/>
    </row>
    <row r="3872" spans="1:5" ht="24.75" customHeight="1">
      <c r="A3872" s="2">
        <v>3870</v>
      </c>
      <c r="B3872" s="2" t="str">
        <f>"冯大捷"</f>
        <v>冯大捷</v>
      </c>
      <c r="C3872" s="2" t="s">
        <v>3466</v>
      </c>
      <c r="D3872" s="2" t="s">
        <v>3498</v>
      </c>
      <c r="E3872" s="3"/>
    </row>
    <row r="3873" spans="1:5" ht="24.75" customHeight="1">
      <c r="A3873" s="2">
        <v>3871</v>
      </c>
      <c r="B3873" s="2" t="str">
        <f>"许宇亮"</f>
        <v>许宇亮</v>
      </c>
      <c r="C3873" s="2" t="s">
        <v>3466</v>
      </c>
      <c r="D3873" s="2" t="s">
        <v>3499</v>
      </c>
      <c r="E3873" s="3"/>
    </row>
    <row r="3874" spans="1:5" ht="24.75" customHeight="1">
      <c r="A3874" s="2">
        <v>3872</v>
      </c>
      <c r="B3874" s="2" t="str">
        <f>"谢文"</f>
        <v>谢文</v>
      </c>
      <c r="C3874" s="2" t="s">
        <v>3466</v>
      </c>
      <c r="D3874" s="2" t="s">
        <v>3500</v>
      </c>
      <c r="E3874" s="3"/>
    </row>
    <row r="3875" spans="1:5" ht="24.75" customHeight="1">
      <c r="A3875" s="2">
        <v>3873</v>
      </c>
      <c r="B3875" s="2" t="str">
        <f>"林明威"</f>
        <v>林明威</v>
      </c>
      <c r="C3875" s="2" t="s">
        <v>3466</v>
      </c>
      <c r="D3875" s="2" t="s">
        <v>3501</v>
      </c>
      <c r="E3875" s="3"/>
    </row>
    <row r="3876" spans="1:5" ht="24.75" customHeight="1">
      <c r="A3876" s="2">
        <v>3874</v>
      </c>
      <c r="B3876" s="2" t="str">
        <f>"李恩"</f>
        <v>李恩</v>
      </c>
      <c r="C3876" s="2" t="s">
        <v>3466</v>
      </c>
      <c r="D3876" s="2" t="s">
        <v>3502</v>
      </c>
      <c r="E3876" s="3"/>
    </row>
    <row r="3877" spans="1:5" ht="24.75" customHeight="1">
      <c r="A3877" s="2">
        <v>3875</v>
      </c>
      <c r="B3877" s="2" t="str">
        <f>"陈尚邦"</f>
        <v>陈尚邦</v>
      </c>
      <c r="C3877" s="2" t="s">
        <v>3466</v>
      </c>
      <c r="D3877" s="2" t="s">
        <v>3503</v>
      </c>
      <c r="E3877" s="3"/>
    </row>
    <row r="3878" spans="1:5" ht="24.75" customHeight="1">
      <c r="A3878" s="2">
        <v>3876</v>
      </c>
      <c r="B3878" s="2" t="str">
        <f>"颜辉德"</f>
        <v>颜辉德</v>
      </c>
      <c r="C3878" s="2" t="s">
        <v>3466</v>
      </c>
      <c r="D3878" s="2" t="s">
        <v>2787</v>
      </c>
      <c r="E3878" s="3"/>
    </row>
    <row r="3879" spans="1:5" ht="24.75" customHeight="1">
      <c r="A3879" s="2">
        <v>3877</v>
      </c>
      <c r="B3879" s="2" t="str">
        <f>"王贻益"</f>
        <v>王贻益</v>
      </c>
      <c r="C3879" s="2" t="s">
        <v>3466</v>
      </c>
      <c r="D3879" s="2" t="s">
        <v>3504</v>
      </c>
      <c r="E3879" s="3"/>
    </row>
    <row r="3880" spans="1:5" ht="24.75" customHeight="1">
      <c r="A3880" s="2">
        <v>3878</v>
      </c>
      <c r="B3880" s="2" t="str">
        <f>"张雪"</f>
        <v>张雪</v>
      </c>
      <c r="C3880" s="2" t="s">
        <v>3466</v>
      </c>
      <c r="D3880" s="2" t="s">
        <v>3505</v>
      </c>
      <c r="E3880" s="3"/>
    </row>
    <row r="3881" spans="1:5" ht="24.75" customHeight="1">
      <c r="A3881" s="2">
        <v>3879</v>
      </c>
      <c r="B3881" s="2" t="str">
        <f>"陈钟位"</f>
        <v>陈钟位</v>
      </c>
      <c r="C3881" s="2" t="s">
        <v>3466</v>
      </c>
      <c r="D3881" s="2" t="s">
        <v>3506</v>
      </c>
      <c r="E3881" s="3"/>
    </row>
    <row r="3882" spans="1:5" ht="24.75" customHeight="1">
      <c r="A3882" s="2">
        <v>3880</v>
      </c>
      <c r="B3882" s="2" t="str">
        <f>"刘渊中"</f>
        <v>刘渊中</v>
      </c>
      <c r="C3882" s="2" t="s">
        <v>3466</v>
      </c>
      <c r="D3882" s="2" t="s">
        <v>3507</v>
      </c>
      <c r="E3882" s="3"/>
    </row>
    <row r="3883" spans="1:5" ht="24.75" customHeight="1">
      <c r="A3883" s="2">
        <v>3881</v>
      </c>
      <c r="B3883" s="2" t="str">
        <f>"梁振伟"</f>
        <v>梁振伟</v>
      </c>
      <c r="C3883" s="2" t="s">
        <v>3466</v>
      </c>
      <c r="D3883" s="2" t="s">
        <v>3038</v>
      </c>
      <c r="E3883" s="3"/>
    </row>
    <row r="3884" spans="1:5" ht="24.75" customHeight="1">
      <c r="A3884" s="2">
        <v>3882</v>
      </c>
      <c r="B3884" s="2" t="str">
        <f>"徐月宙"</f>
        <v>徐月宙</v>
      </c>
      <c r="C3884" s="2" t="s">
        <v>3466</v>
      </c>
      <c r="D3884" s="2" t="s">
        <v>3508</v>
      </c>
      <c r="E3884" s="3"/>
    </row>
    <row r="3885" spans="1:5" ht="24.75" customHeight="1">
      <c r="A3885" s="2">
        <v>3883</v>
      </c>
      <c r="B3885" s="2" t="str">
        <f>"张敏"</f>
        <v>张敏</v>
      </c>
      <c r="C3885" s="2" t="s">
        <v>3466</v>
      </c>
      <c r="D3885" s="2" t="s">
        <v>3509</v>
      </c>
      <c r="E3885" s="3"/>
    </row>
    <row r="3886" spans="1:5" ht="24.75" customHeight="1">
      <c r="A3886" s="2">
        <v>3884</v>
      </c>
      <c r="B3886" s="2" t="str">
        <f>"符祥武"</f>
        <v>符祥武</v>
      </c>
      <c r="C3886" s="2" t="s">
        <v>3466</v>
      </c>
      <c r="D3886" s="2" t="s">
        <v>3510</v>
      </c>
      <c r="E3886" s="3"/>
    </row>
    <row r="3887" spans="1:5" ht="24.75" customHeight="1">
      <c r="A3887" s="2">
        <v>3885</v>
      </c>
      <c r="B3887" s="2" t="str">
        <f>"温斯任"</f>
        <v>温斯任</v>
      </c>
      <c r="C3887" s="2" t="s">
        <v>3466</v>
      </c>
      <c r="D3887" s="2" t="s">
        <v>3511</v>
      </c>
      <c r="E3887" s="3"/>
    </row>
    <row r="3888" spans="1:5" ht="24.75" customHeight="1">
      <c r="A3888" s="2">
        <v>3886</v>
      </c>
      <c r="B3888" s="2" t="str">
        <f>"李齐"</f>
        <v>李齐</v>
      </c>
      <c r="C3888" s="2" t="s">
        <v>3466</v>
      </c>
      <c r="D3888" s="2" t="s">
        <v>92</v>
      </c>
      <c r="E3888" s="3"/>
    </row>
    <row r="3889" spans="1:5" ht="24.75" customHeight="1">
      <c r="A3889" s="2">
        <v>3887</v>
      </c>
      <c r="B3889" s="2" t="str">
        <f>"王富能"</f>
        <v>王富能</v>
      </c>
      <c r="C3889" s="2" t="s">
        <v>3466</v>
      </c>
      <c r="D3889" s="2" t="s">
        <v>3512</v>
      </c>
      <c r="E3889" s="3"/>
    </row>
    <row r="3890" spans="1:5" ht="24.75" customHeight="1">
      <c r="A3890" s="2">
        <v>3888</v>
      </c>
      <c r="B3890" s="2" t="str">
        <f>"骆秀金"</f>
        <v>骆秀金</v>
      </c>
      <c r="C3890" s="2" t="s">
        <v>3466</v>
      </c>
      <c r="D3890" s="2" t="s">
        <v>3513</v>
      </c>
      <c r="E3890" s="3"/>
    </row>
    <row r="3891" spans="1:5" ht="24.75" customHeight="1">
      <c r="A3891" s="2">
        <v>3889</v>
      </c>
      <c r="B3891" s="2" t="str">
        <f>"符泽宇"</f>
        <v>符泽宇</v>
      </c>
      <c r="C3891" s="2" t="s">
        <v>3466</v>
      </c>
      <c r="D3891" s="2" t="s">
        <v>1432</v>
      </c>
      <c r="E3891" s="3"/>
    </row>
    <row r="3892" spans="1:5" ht="24.75" customHeight="1">
      <c r="A3892" s="2">
        <v>3890</v>
      </c>
      <c r="B3892" s="2" t="str">
        <f>"吕壮靖"</f>
        <v>吕壮靖</v>
      </c>
      <c r="C3892" s="2" t="s">
        <v>3466</v>
      </c>
      <c r="D3892" s="2" t="s">
        <v>1551</v>
      </c>
      <c r="E3892" s="3"/>
    </row>
    <row r="3893" spans="1:5" ht="24.75" customHeight="1">
      <c r="A3893" s="2">
        <v>3891</v>
      </c>
      <c r="B3893" s="2" t="str">
        <f>"吴淑孝"</f>
        <v>吴淑孝</v>
      </c>
      <c r="C3893" s="2" t="s">
        <v>3466</v>
      </c>
      <c r="D3893" s="2" t="s">
        <v>3514</v>
      </c>
      <c r="E3893" s="3"/>
    </row>
    <row r="3894" spans="1:5" ht="24.75" customHeight="1">
      <c r="A3894" s="2">
        <v>3892</v>
      </c>
      <c r="B3894" s="2" t="str">
        <f>"王鸿飞"</f>
        <v>王鸿飞</v>
      </c>
      <c r="C3894" s="2" t="s">
        <v>3466</v>
      </c>
      <c r="D3894" s="2" t="s">
        <v>3515</v>
      </c>
      <c r="E3894" s="3"/>
    </row>
    <row r="3895" spans="1:5" ht="24.75" customHeight="1">
      <c r="A3895" s="2">
        <v>3893</v>
      </c>
      <c r="B3895" s="2" t="str">
        <f>"羊创列"</f>
        <v>羊创列</v>
      </c>
      <c r="C3895" s="2" t="s">
        <v>3466</v>
      </c>
      <c r="D3895" s="2" t="s">
        <v>3516</v>
      </c>
      <c r="E3895" s="3"/>
    </row>
    <row r="3896" spans="1:5" ht="24.75" customHeight="1">
      <c r="A3896" s="2">
        <v>3894</v>
      </c>
      <c r="B3896" s="2" t="str">
        <f>"岑选明"</f>
        <v>岑选明</v>
      </c>
      <c r="C3896" s="2" t="s">
        <v>3466</v>
      </c>
      <c r="D3896" s="2" t="s">
        <v>3517</v>
      </c>
      <c r="E3896" s="3"/>
    </row>
    <row r="3897" spans="1:5" ht="24.75" customHeight="1">
      <c r="A3897" s="2">
        <v>3895</v>
      </c>
      <c r="B3897" s="2" t="str">
        <f>"李成鑫"</f>
        <v>李成鑫</v>
      </c>
      <c r="C3897" s="2" t="s">
        <v>3466</v>
      </c>
      <c r="D3897" s="2" t="s">
        <v>3518</v>
      </c>
      <c r="E3897" s="3"/>
    </row>
    <row r="3898" spans="1:5" ht="24.75" customHeight="1">
      <c r="A3898" s="2">
        <v>3896</v>
      </c>
      <c r="B3898" s="2" t="str">
        <f>"林馨蕾"</f>
        <v>林馨蕾</v>
      </c>
      <c r="C3898" s="2" t="s">
        <v>3466</v>
      </c>
      <c r="D3898" s="2" t="s">
        <v>3519</v>
      </c>
      <c r="E3898" s="3"/>
    </row>
    <row r="3899" spans="1:5" ht="24.75" customHeight="1">
      <c r="A3899" s="2">
        <v>3897</v>
      </c>
      <c r="B3899" s="2" t="str">
        <f>"林克澄"</f>
        <v>林克澄</v>
      </c>
      <c r="C3899" s="2" t="s">
        <v>3466</v>
      </c>
      <c r="D3899" s="2" t="s">
        <v>3520</v>
      </c>
      <c r="E3899" s="3"/>
    </row>
    <row r="3900" spans="1:5" ht="24.75" customHeight="1">
      <c r="A3900" s="2">
        <v>3898</v>
      </c>
      <c r="B3900" s="2" t="str">
        <f>"苏琼丰"</f>
        <v>苏琼丰</v>
      </c>
      <c r="C3900" s="2" t="s">
        <v>3466</v>
      </c>
      <c r="D3900" s="2" t="s">
        <v>3521</v>
      </c>
      <c r="E3900" s="3"/>
    </row>
    <row r="3901" spans="1:5" ht="24.75" customHeight="1">
      <c r="A3901" s="2">
        <v>3899</v>
      </c>
      <c r="B3901" s="2" t="str">
        <f>"吴林泽"</f>
        <v>吴林泽</v>
      </c>
      <c r="C3901" s="2" t="s">
        <v>3466</v>
      </c>
      <c r="D3901" s="2" t="s">
        <v>1281</v>
      </c>
      <c r="E3901" s="3"/>
    </row>
    <row r="3902" spans="1:5" ht="24.75" customHeight="1">
      <c r="A3902" s="2">
        <v>3900</v>
      </c>
      <c r="B3902" s="2" t="str">
        <f>"陈一妮"</f>
        <v>陈一妮</v>
      </c>
      <c r="C3902" s="2" t="s">
        <v>3466</v>
      </c>
      <c r="D3902" s="2" t="s">
        <v>21</v>
      </c>
      <c r="E3902" s="3"/>
    </row>
    <row r="3903" spans="1:5" ht="24.75" customHeight="1">
      <c r="A3903" s="2">
        <v>3901</v>
      </c>
      <c r="B3903" s="2" t="str">
        <f>"庄永卿"</f>
        <v>庄永卿</v>
      </c>
      <c r="C3903" s="2" t="s">
        <v>3466</v>
      </c>
      <c r="D3903" s="2" t="s">
        <v>1142</v>
      </c>
      <c r="E3903" s="3"/>
    </row>
    <row r="3904" spans="1:5" ht="24.75" customHeight="1">
      <c r="A3904" s="2">
        <v>3902</v>
      </c>
      <c r="B3904" s="2" t="str">
        <f>"陈吉弟"</f>
        <v>陈吉弟</v>
      </c>
      <c r="C3904" s="2" t="s">
        <v>3466</v>
      </c>
      <c r="D3904" s="2" t="s">
        <v>3522</v>
      </c>
      <c r="E3904" s="3"/>
    </row>
    <row r="3905" spans="1:5" ht="24.75" customHeight="1">
      <c r="A3905" s="2">
        <v>3903</v>
      </c>
      <c r="B3905" s="2" t="str">
        <f>"陈垂冰"</f>
        <v>陈垂冰</v>
      </c>
      <c r="C3905" s="2" t="s">
        <v>3466</v>
      </c>
      <c r="D3905" s="2" t="s">
        <v>3523</v>
      </c>
      <c r="E3905" s="3"/>
    </row>
    <row r="3906" spans="1:5" ht="24.75" customHeight="1">
      <c r="A3906" s="2">
        <v>3904</v>
      </c>
      <c r="B3906" s="2" t="str">
        <f>"许多仁"</f>
        <v>许多仁</v>
      </c>
      <c r="C3906" s="2" t="s">
        <v>3466</v>
      </c>
      <c r="D3906" s="2" t="s">
        <v>2754</v>
      </c>
      <c r="E3906" s="3"/>
    </row>
    <row r="3907" spans="1:5" ht="24.75" customHeight="1">
      <c r="A3907" s="2">
        <v>3905</v>
      </c>
      <c r="B3907" s="2" t="str">
        <f>"蒙忠瀚"</f>
        <v>蒙忠瀚</v>
      </c>
      <c r="C3907" s="2" t="s">
        <v>3466</v>
      </c>
      <c r="D3907" s="2" t="s">
        <v>1572</v>
      </c>
      <c r="E3907" s="3"/>
    </row>
    <row r="3908" spans="1:5" ht="24.75" customHeight="1">
      <c r="A3908" s="2">
        <v>3906</v>
      </c>
      <c r="B3908" s="2" t="str">
        <f>"李名江"</f>
        <v>李名江</v>
      </c>
      <c r="C3908" s="2" t="s">
        <v>3466</v>
      </c>
      <c r="D3908" s="2" t="s">
        <v>3524</v>
      </c>
      <c r="E3908" s="3"/>
    </row>
    <row r="3909" spans="1:5" ht="24.75" customHeight="1">
      <c r="A3909" s="2">
        <v>3907</v>
      </c>
      <c r="B3909" s="2" t="str">
        <f>"唐甸豪"</f>
        <v>唐甸豪</v>
      </c>
      <c r="C3909" s="2" t="s">
        <v>3466</v>
      </c>
      <c r="D3909" s="2" t="s">
        <v>3525</v>
      </c>
      <c r="E3909" s="3"/>
    </row>
    <row r="3910" spans="1:5" ht="24.75" customHeight="1">
      <c r="A3910" s="2">
        <v>3908</v>
      </c>
      <c r="B3910" s="2" t="str">
        <f>"符阳杰"</f>
        <v>符阳杰</v>
      </c>
      <c r="C3910" s="2" t="s">
        <v>3526</v>
      </c>
      <c r="D3910" s="2" t="s">
        <v>3027</v>
      </c>
      <c r="E3910" s="3"/>
    </row>
    <row r="3911" spans="1:5" ht="24.75" customHeight="1">
      <c r="A3911" s="2">
        <v>3909</v>
      </c>
      <c r="B3911" s="2" t="str">
        <f>"徐日鹏"</f>
        <v>徐日鹏</v>
      </c>
      <c r="C3911" s="2" t="s">
        <v>3526</v>
      </c>
      <c r="D3911" s="2" t="s">
        <v>3527</v>
      </c>
      <c r="E3911" s="3"/>
    </row>
    <row r="3912" spans="1:5" ht="24.75" customHeight="1">
      <c r="A3912" s="2">
        <v>3910</v>
      </c>
      <c r="B3912" s="2" t="str">
        <f>"李芍慧"</f>
        <v>李芍慧</v>
      </c>
      <c r="C3912" s="2" t="s">
        <v>3526</v>
      </c>
      <c r="D3912" s="2" t="s">
        <v>3528</v>
      </c>
      <c r="E3912" s="3"/>
    </row>
    <row r="3913" spans="1:5" ht="24.75" customHeight="1">
      <c r="A3913" s="2">
        <v>3911</v>
      </c>
      <c r="B3913" s="2" t="str">
        <f>"林贻宣"</f>
        <v>林贻宣</v>
      </c>
      <c r="C3913" s="2" t="s">
        <v>3526</v>
      </c>
      <c r="D3913" s="2" t="s">
        <v>3529</v>
      </c>
      <c r="E3913" s="3"/>
    </row>
    <row r="3914" spans="1:5" ht="24.75" customHeight="1">
      <c r="A3914" s="2">
        <v>3912</v>
      </c>
      <c r="B3914" s="2" t="str">
        <f>"刘有丽"</f>
        <v>刘有丽</v>
      </c>
      <c r="C3914" s="2" t="s">
        <v>3526</v>
      </c>
      <c r="D3914" s="2" t="s">
        <v>3530</v>
      </c>
      <c r="E3914" s="3"/>
    </row>
    <row r="3915" spans="1:5" ht="24.75" customHeight="1">
      <c r="A3915" s="2">
        <v>3913</v>
      </c>
      <c r="B3915" s="2" t="str">
        <f>"陈燕"</f>
        <v>陈燕</v>
      </c>
      <c r="C3915" s="2" t="s">
        <v>3531</v>
      </c>
      <c r="D3915" s="2" t="s">
        <v>3532</v>
      </c>
      <c r="E3915" s="3"/>
    </row>
    <row r="3916" spans="1:5" ht="24.75" customHeight="1">
      <c r="A3916" s="2">
        <v>3914</v>
      </c>
      <c r="B3916" s="2" t="str">
        <f>"张雅婷"</f>
        <v>张雅婷</v>
      </c>
      <c r="C3916" s="2" t="s">
        <v>3531</v>
      </c>
      <c r="D3916" s="2" t="s">
        <v>3533</v>
      </c>
      <c r="E3916" s="3"/>
    </row>
    <row r="3917" spans="1:5" ht="24.75" customHeight="1">
      <c r="A3917" s="2">
        <v>3915</v>
      </c>
      <c r="B3917" s="2" t="str">
        <f>"吴维毅"</f>
        <v>吴维毅</v>
      </c>
      <c r="C3917" s="2" t="s">
        <v>3531</v>
      </c>
      <c r="D3917" s="2" t="s">
        <v>3534</v>
      </c>
      <c r="E3917" s="3"/>
    </row>
    <row r="3918" spans="1:5" ht="24.75" customHeight="1">
      <c r="A3918" s="2">
        <v>3916</v>
      </c>
      <c r="B3918" s="2" t="str">
        <f>"周家龙"</f>
        <v>周家龙</v>
      </c>
      <c r="C3918" s="2" t="s">
        <v>3531</v>
      </c>
      <c r="D3918" s="2" t="s">
        <v>3535</v>
      </c>
      <c r="E3918" s="3"/>
    </row>
    <row r="3919" spans="1:5" ht="24.75" customHeight="1">
      <c r="A3919" s="2">
        <v>3917</v>
      </c>
      <c r="B3919" s="2" t="str">
        <f>"谢浩义"</f>
        <v>谢浩义</v>
      </c>
      <c r="C3919" s="2" t="s">
        <v>3531</v>
      </c>
      <c r="D3919" s="2" t="s">
        <v>3536</v>
      </c>
      <c r="E3919" s="3"/>
    </row>
    <row r="3920" spans="1:5" ht="24.75" customHeight="1">
      <c r="A3920" s="2">
        <v>3918</v>
      </c>
      <c r="B3920" s="2" t="str">
        <f>"沈小玉"</f>
        <v>沈小玉</v>
      </c>
      <c r="C3920" s="2" t="s">
        <v>3531</v>
      </c>
      <c r="D3920" s="2" t="s">
        <v>3537</v>
      </c>
      <c r="E3920" s="3"/>
    </row>
    <row r="3921" spans="1:5" ht="24.75" customHeight="1">
      <c r="A3921" s="2">
        <v>3919</v>
      </c>
      <c r="B3921" s="2" t="str">
        <f>"王应钦"</f>
        <v>王应钦</v>
      </c>
      <c r="C3921" s="2" t="s">
        <v>3531</v>
      </c>
      <c r="D3921" s="2" t="s">
        <v>3538</v>
      </c>
      <c r="E3921" s="3"/>
    </row>
    <row r="3922" spans="1:5" ht="24.75" customHeight="1">
      <c r="A3922" s="2">
        <v>3920</v>
      </c>
      <c r="B3922" s="2" t="str">
        <f>"陈南姑"</f>
        <v>陈南姑</v>
      </c>
      <c r="C3922" s="2" t="s">
        <v>3531</v>
      </c>
      <c r="D3922" s="2" t="s">
        <v>398</v>
      </c>
      <c r="E3922" s="3"/>
    </row>
    <row r="3923" spans="1:5" ht="24.75" customHeight="1">
      <c r="A3923" s="2">
        <v>3921</v>
      </c>
      <c r="B3923" s="2" t="str">
        <f>"梅国英"</f>
        <v>梅国英</v>
      </c>
      <c r="C3923" s="2" t="s">
        <v>3531</v>
      </c>
      <c r="D3923" s="2" t="s">
        <v>3539</v>
      </c>
      <c r="E3923" s="3"/>
    </row>
    <row r="3924" spans="1:5" ht="24.75" customHeight="1">
      <c r="A3924" s="2">
        <v>3922</v>
      </c>
      <c r="B3924" s="2" t="str">
        <f>"王志亮"</f>
        <v>王志亮</v>
      </c>
      <c r="C3924" s="2" t="s">
        <v>3531</v>
      </c>
      <c r="D3924" s="2" t="s">
        <v>3540</v>
      </c>
      <c r="E3924" s="3"/>
    </row>
    <row r="3925" spans="1:5" ht="24.75" customHeight="1">
      <c r="A3925" s="2">
        <v>3923</v>
      </c>
      <c r="B3925" s="2" t="str">
        <f>"江祖南"</f>
        <v>江祖南</v>
      </c>
      <c r="C3925" s="2" t="s">
        <v>3531</v>
      </c>
      <c r="D3925" s="2" t="s">
        <v>3541</v>
      </c>
      <c r="E3925" s="3"/>
    </row>
    <row r="3926" spans="1:5" ht="24.75" customHeight="1">
      <c r="A3926" s="2">
        <v>3924</v>
      </c>
      <c r="B3926" s="2" t="str">
        <f>"王泽"</f>
        <v>王泽</v>
      </c>
      <c r="C3926" s="2" t="s">
        <v>3531</v>
      </c>
      <c r="D3926" s="2" t="s">
        <v>3542</v>
      </c>
      <c r="E3926" s="3"/>
    </row>
    <row r="3927" spans="1:5" ht="24.75" customHeight="1">
      <c r="A3927" s="2">
        <v>3925</v>
      </c>
      <c r="B3927" s="2" t="str">
        <f>"王萍"</f>
        <v>王萍</v>
      </c>
      <c r="C3927" s="2" t="s">
        <v>3531</v>
      </c>
      <c r="D3927" s="2" t="s">
        <v>3543</v>
      </c>
      <c r="E3927" s="3"/>
    </row>
    <row r="3928" spans="1:5" ht="24.75" customHeight="1">
      <c r="A3928" s="2">
        <v>3926</v>
      </c>
      <c r="B3928" s="2" t="str">
        <f>"王子鑫"</f>
        <v>王子鑫</v>
      </c>
      <c r="C3928" s="2" t="s">
        <v>3531</v>
      </c>
      <c r="D3928" s="2" t="s">
        <v>3544</v>
      </c>
      <c r="E3928" s="3"/>
    </row>
    <row r="3929" spans="1:5" ht="24.75" customHeight="1">
      <c r="A3929" s="2">
        <v>3927</v>
      </c>
      <c r="B3929" s="2" t="str">
        <f>"黄愉"</f>
        <v>黄愉</v>
      </c>
      <c r="C3929" s="2" t="s">
        <v>3531</v>
      </c>
      <c r="D3929" s="2" t="s">
        <v>3545</v>
      </c>
      <c r="E3929" s="3"/>
    </row>
    <row r="3930" spans="1:5" ht="24.75" customHeight="1">
      <c r="A3930" s="2">
        <v>3928</v>
      </c>
      <c r="B3930" s="2" t="str">
        <f>"黄泽龙"</f>
        <v>黄泽龙</v>
      </c>
      <c r="C3930" s="2" t="s">
        <v>3531</v>
      </c>
      <c r="D3930" s="2" t="s">
        <v>3546</v>
      </c>
      <c r="E3930" s="3"/>
    </row>
    <row r="3931" spans="1:5" ht="24.75" customHeight="1">
      <c r="A3931" s="2">
        <v>3929</v>
      </c>
      <c r="B3931" s="2" t="str">
        <f>"钟智"</f>
        <v>钟智</v>
      </c>
      <c r="C3931" s="2" t="s">
        <v>3531</v>
      </c>
      <c r="D3931" s="2" t="s">
        <v>1438</v>
      </c>
      <c r="E3931" s="3"/>
    </row>
    <row r="3932" spans="1:5" ht="24.75" customHeight="1">
      <c r="A3932" s="2">
        <v>3930</v>
      </c>
      <c r="B3932" s="2" t="str">
        <f>"黄鹏帆"</f>
        <v>黄鹏帆</v>
      </c>
      <c r="C3932" s="2" t="s">
        <v>3531</v>
      </c>
      <c r="D3932" s="2" t="s">
        <v>3547</v>
      </c>
      <c r="E3932" s="3"/>
    </row>
    <row r="3933" spans="1:5" ht="24.75" customHeight="1">
      <c r="A3933" s="2">
        <v>3931</v>
      </c>
      <c r="B3933" s="2" t="str">
        <f>"王媚"</f>
        <v>王媚</v>
      </c>
      <c r="C3933" s="2" t="s">
        <v>3531</v>
      </c>
      <c r="D3933" s="2" t="s">
        <v>56</v>
      </c>
      <c r="E3933" s="3"/>
    </row>
    <row r="3934" spans="1:5" ht="24.75" customHeight="1">
      <c r="A3934" s="2">
        <v>3932</v>
      </c>
      <c r="B3934" s="2" t="str">
        <f>"李斌"</f>
        <v>李斌</v>
      </c>
      <c r="C3934" s="2" t="s">
        <v>3531</v>
      </c>
      <c r="D3934" s="2" t="s">
        <v>3548</v>
      </c>
      <c r="E3934" s="3"/>
    </row>
    <row r="3935" spans="1:5" ht="24.75" customHeight="1">
      <c r="A3935" s="2">
        <v>3933</v>
      </c>
      <c r="B3935" s="2" t="str">
        <f>"陈东升"</f>
        <v>陈东升</v>
      </c>
      <c r="C3935" s="2" t="s">
        <v>3531</v>
      </c>
      <c r="D3935" s="2" t="s">
        <v>3549</v>
      </c>
      <c r="E3935" s="3"/>
    </row>
    <row r="3936" spans="1:5" ht="24.75" customHeight="1">
      <c r="A3936" s="2">
        <v>3934</v>
      </c>
      <c r="B3936" s="2" t="str">
        <f>"曾令浩"</f>
        <v>曾令浩</v>
      </c>
      <c r="C3936" s="2" t="s">
        <v>3531</v>
      </c>
      <c r="D3936" s="2" t="s">
        <v>703</v>
      </c>
      <c r="E3936" s="3"/>
    </row>
    <row r="3937" spans="1:5" ht="24.75" customHeight="1">
      <c r="A3937" s="2">
        <v>3935</v>
      </c>
      <c r="B3937" s="2" t="str">
        <f>"王哲岍"</f>
        <v>王哲岍</v>
      </c>
      <c r="C3937" s="2" t="s">
        <v>3531</v>
      </c>
      <c r="D3937" s="2" t="s">
        <v>2305</v>
      </c>
      <c r="E3937" s="3"/>
    </row>
    <row r="3938" spans="1:5" ht="24.75" customHeight="1">
      <c r="A3938" s="2">
        <v>3936</v>
      </c>
      <c r="B3938" s="2" t="str">
        <f>"王乃亮"</f>
        <v>王乃亮</v>
      </c>
      <c r="C3938" s="2" t="s">
        <v>3531</v>
      </c>
      <c r="D3938" s="2" t="s">
        <v>3550</v>
      </c>
      <c r="E3938" s="3"/>
    </row>
    <row r="3939" spans="1:5" ht="24.75" customHeight="1">
      <c r="A3939" s="2">
        <v>3937</v>
      </c>
      <c r="B3939" s="2" t="str">
        <f>"叶紫薇"</f>
        <v>叶紫薇</v>
      </c>
      <c r="C3939" s="2" t="s">
        <v>3531</v>
      </c>
      <c r="D3939" s="2" t="s">
        <v>3551</v>
      </c>
      <c r="E3939" s="3"/>
    </row>
    <row r="3940" spans="1:5" ht="24.75" customHeight="1">
      <c r="A3940" s="2">
        <v>3938</v>
      </c>
      <c r="B3940" s="2" t="str">
        <f>"邱名骞"</f>
        <v>邱名骞</v>
      </c>
      <c r="C3940" s="2" t="s">
        <v>3531</v>
      </c>
      <c r="D3940" s="2" t="s">
        <v>3552</v>
      </c>
      <c r="E3940" s="3"/>
    </row>
    <row r="3941" spans="1:5" ht="24.75" customHeight="1">
      <c r="A3941" s="2">
        <v>3939</v>
      </c>
      <c r="B3941" s="2" t="str">
        <f>"李应兴"</f>
        <v>李应兴</v>
      </c>
      <c r="C3941" s="2" t="s">
        <v>3531</v>
      </c>
      <c r="D3941" s="2" t="s">
        <v>3553</v>
      </c>
      <c r="E3941" s="3"/>
    </row>
    <row r="3942" spans="1:5" ht="24.75" customHeight="1">
      <c r="A3942" s="2">
        <v>3940</v>
      </c>
      <c r="B3942" s="2" t="str">
        <f>"廖殿阳"</f>
        <v>廖殿阳</v>
      </c>
      <c r="C3942" s="2" t="s">
        <v>3531</v>
      </c>
      <c r="D3942" s="2" t="s">
        <v>2888</v>
      </c>
      <c r="E3942" s="3"/>
    </row>
    <row r="3943" spans="1:5" ht="24.75" customHeight="1">
      <c r="A3943" s="2">
        <v>3941</v>
      </c>
      <c r="B3943" s="2" t="str">
        <f>"梁姝玉"</f>
        <v>梁姝玉</v>
      </c>
      <c r="C3943" s="2" t="s">
        <v>3531</v>
      </c>
      <c r="D3943" s="2" t="s">
        <v>3554</v>
      </c>
      <c r="E3943" s="3"/>
    </row>
    <row r="3944" spans="1:5" ht="24.75" customHeight="1">
      <c r="A3944" s="2">
        <v>3942</v>
      </c>
      <c r="B3944" s="2" t="str">
        <f>"吴翔"</f>
        <v>吴翔</v>
      </c>
      <c r="C3944" s="2" t="s">
        <v>3531</v>
      </c>
      <c r="D3944" s="2" t="s">
        <v>3555</v>
      </c>
      <c r="E3944" s="3"/>
    </row>
    <row r="3945" spans="1:5" ht="24.75" customHeight="1">
      <c r="A3945" s="2">
        <v>3943</v>
      </c>
      <c r="B3945" s="2" t="str">
        <f>"冯蕊"</f>
        <v>冯蕊</v>
      </c>
      <c r="C3945" s="2" t="s">
        <v>3531</v>
      </c>
      <c r="D3945" s="2" t="s">
        <v>3556</v>
      </c>
      <c r="E3945" s="3"/>
    </row>
    <row r="3946" spans="1:5" ht="24.75" customHeight="1">
      <c r="A3946" s="2">
        <v>3944</v>
      </c>
      <c r="B3946" s="2" t="str">
        <f>"李健华"</f>
        <v>李健华</v>
      </c>
      <c r="C3946" s="2" t="s">
        <v>3531</v>
      </c>
      <c r="D3946" s="2" t="s">
        <v>3557</v>
      </c>
      <c r="E3946" s="3"/>
    </row>
    <row r="3947" spans="1:5" ht="24.75" customHeight="1">
      <c r="A3947" s="2">
        <v>3945</v>
      </c>
      <c r="B3947" s="2" t="str">
        <f>"蔡舒萍"</f>
        <v>蔡舒萍</v>
      </c>
      <c r="C3947" s="2" t="s">
        <v>3531</v>
      </c>
      <c r="D3947" s="2" t="s">
        <v>3558</v>
      </c>
      <c r="E3947" s="3"/>
    </row>
    <row r="3948" spans="1:5" ht="24.75" customHeight="1">
      <c r="A3948" s="2">
        <v>3946</v>
      </c>
      <c r="B3948" s="2" t="str">
        <f>"徐光醒"</f>
        <v>徐光醒</v>
      </c>
      <c r="C3948" s="2" t="s">
        <v>3531</v>
      </c>
      <c r="D3948" s="2" t="s">
        <v>3559</v>
      </c>
      <c r="E3948" s="3"/>
    </row>
    <row r="3949" spans="1:5" ht="24.75" customHeight="1">
      <c r="A3949" s="2">
        <v>3947</v>
      </c>
      <c r="B3949" s="2" t="str">
        <f>"蔡奕明"</f>
        <v>蔡奕明</v>
      </c>
      <c r="C3949" s="2" t="s">
        <v>3531</v>
      </c>
      <c r="D3949" s="2" t="s">
        <v>584</v>
      </c>
      <c r="E3949" s="3"/>
    </row>
    <row r="3950" spans="1:5" ht="24.75" customHeight="1">
      <c r="A3950" s="2">
        <v>3948</v>
      </c>
      <c r="B3950" s="2" t="str">
        <f>"林斯伟"</f>
        <v>林斯伟</v>
      </c>
      <c r="C3950" s="2" t="s">
        <v>3531</v>
      </c>
      <c r="D3950" s="2" t="s">
        <v>3560</v>
      </c>
      <c r="E3950" s="3"/>
    </row>
    <row r="3951" spans="1:5" ht="24.75" customHeight="1">
      <c r="A3951" s="2">
        <v>3949</v>
      </c>
      <c r="B3951" s="2" t="str">
        <f>"许曾强"</f>
        <v>许曾强</v>
      </c>
      <c r="C3951" s="2" t="s">
        <v>3531</v>
      </c>
      <c r="D3951" s="2" t="s">
        <v>3561</v>
      </c>
      <c r="E3951" s="3"/>
    </row>
    <row r="3952" spans="1:5" ht="24.75" customHeight="1">
      <c r="A3952" s="2">
        <v>3950</v>
      </c>
      <c r="B3952" s="2" t="str">
        <f>"王奇瑶"</f>
        <v>王奇瑶</v>
      </c>
      <c r="C3952" s="2" t="s">
        <v>3531</v>
      </c>
      <c r="D3952" s="2" t="s">
        <v>3562</v>
      </c>
      <c r="E3952" s="3"/>
    </row>
    <row r="3953" spans="1:5" ht="24.75" customHeight="1">
      <c r="A3953" s="2">
        <v>3951</v>
      </c>
      <c r="B3953" s="2" t="str">
        <f>"张丽丽"</f>
        <v>张丽丽</v>
      </c>
      <c r="C3953" s="2" t="s">
        <v>3531</v>
      </c>
      <c r="D3953" s="2" t="s">
        <v>3563</v>
      </c>
      <c r="E3953" s="3"/>
    </row>
    <row r="3954" spans="1:5" ht="24.75" customHeight="1">
      <c r="A3954" s="2">
        <v>3952</v>
      </c>
      <c r="B3954" s="2" t="str">
        <f>"李夏精"</f>
        <v>李夏精</v>
      </c>
      <c r="C3954" s="2" t="s">
        <v>3531</v>
      </c>
      <c r="D3954" s="2" t="s">
        <v>3564</v>
      </c>
      <c r="E3954" s="3"/>
    </row>
    <row r="3955" spans="1:5" ht="24.75" customHeight="1">
      <c r="A3955" s="2">
        <v>3953</v>
      </c>
      <c r="B3955" s="2" t="str">
        <f>"吴鹏"</f>
        <v>吴鹏</v>
      </c>
      <c r="C3955" s="2" t="s">
        <v>3531</v>
      </c>
      <c r="D3955" s="2" t="s">
        <v>1112</v>
      </c>
      <c r="E3955" s="3"/>
    </row>
    <row r="3956" spans="1:5" ht="24.75" customHeight="1">
      <c r="A3956" s="2">
        <v>3954</v>
      </c>
      <c r="B3956" s="2" t="str">
        <f>"李春玲"</f>
        <v>李春玲</v>
      </c>
      <c r="C3956" s="2" t="s">
        <v>3531</v>
      </c>
      <c r="D3956" s="2" t="s">
        <v>3565</v>
      </c>
      <c r="E3956" s="3"/>
    </row>
    <row r="3957" spans="1:5" ht="24.75" customHeight="1">
      <c r="A3957" s="2">
        <v>3955</v>
      </c>
      <c r="B3957" s="2" t="str">
        <f>"滕欣宇"</f>
        <v>滕欣宇</v>
      </c>
      <c r="C3957" s="2" t="s">
        <v>3531</v>
      </c>
      <c r="D3957" s="2" t="s">
        <v>3566</v>
      </c>
      <c r="E3957" s="3"/>
    </row>
    <row r="3958" spans="1:5" ht="24.75" customHeight="1">
      <c r="A3958" s="2">
        <v>3956</v>
      </c>
      <c r="B3958" s="2" t="str">
        <f>"魏明礼"</f>
        <v>魏明礼</v>
      </c>
      <c r="C3958" s="2" t="s">
        <v>3531</v>
      </c>
      <c r="D3958" s="2" t="s">
        <v>3567</v>
      </c>
      <c r="E3958" s="3"/>
    </row>
    <row r="3959" spans="1:5" ht="24.75" customHeight="1">
      <c r="A3959" s="2">
        <v>3957</v>
      </c>
      <c r="B3959" s="2" t="str">
        <f>"刘才民"</f>
        <v>刘才民</v>
      </c>
      <c r="C3959" s="2" t="s">
        <v>3531</v>
      </c>
      <c r="D3959" s="2" t="s">
        <v>3568</v>
      </c>
      <c r="E3959" s="3"/>
    </row>
    <row r="3960" spans="1:5" ht="24.75" customHeight="1">
      <c r="A3960" s="2">
        <v>3958</v>
      </c>
      <c r="B3960" s="2" t="str">
        <f>"李日睿"</f>
        <v>李日睿</v>
      </c>
      <c r="C3960" s="2" t="s">
        <v>3531</v>
      </c>
      <c r="D3960" s="2" t="s">
        <v>3569</v>
      </c>
      <c r="E3960" s="3"/>
    </row>
    <row r="3961" spans="1:5" ht="24.75" customHeight="1">
      <c r="A3961" s="2">
        <v>3959</v>
      </c>
      <c r="B3961" s="2" t="str">
        <f>"肖茂生"</f>
        <v>肖茂生</v>
      </c>
      <c r="C3961" s="2" t="s">
        <v>3531</v>
      </c>
      <c r="D3961" s="2" t="s">
        <v>3570</v>
      </c>
      <c r="E3961" s="3"/>
    </row>
    <row r="3962" spans="1:5" ht="24.75" customHeight="1">
      <c r="A3962" s="2">
        <v>3960</v>
      </c>
      <c r="B3962" s="2" t="str">
        <f>"李皎余"</f>
        <v>李皎余</v>
      </c>
      <c r="C3962" s="2" t="s">
        <v>3531</v>
      </c>
      <c r="D3962" s="2" t="s">
        <v>3571</v>
      </c>
      <c r="E3962" s="3"/>
    </row>
    <row r="3963" spans="1:5" ht="24.75" customHeight="1">
      <c r="A3963" s="2">
        <v>3961</v>
      </c>
      <c r="B3963" s="2" t="str">
        <f>"林秋玲"</f>
        <v>林秋玲</v>
      </c>
      <c r="C3963" s="2" t="s">
        <v>3531</v>
      </c>
      <c r="D3963" s="2" t="s">
        <v>3572</v>
      </c>
      <c r="E3963" s="3"/>
    </row>
    <row r="3964" spans="1:5" ht="24.75" customHeight="1">
      <c r="A3964" s="2">
        <v>3962</v>
      </c>
      <c r="B3964" s="2" t="str">
        <f>"李想"</f>
        <v>李想</v>
      </c>
      <c r="C3964" s="2" t="s">
        <v>3531</v>
      </c>
      <c r="D3964" s="2" t="s">
        <v>3573</v>
      </c>
      <c r="E3964" s="3"/>
    </row>
    <row r="3965" spans="1:5" ht="24.75" customHeight="1">
      <c r="A3965" s="2">
        <v>3963</v>
      </c>
      <c r="B3965" s="2" t="str">
        <f>"王常伟"</f>
        <v>王常伟</v>
      </c>
      <c r="C3965" s="2" t="s">
        <v>3531</v>
      </c>
      <c r="D3965" s="2" t="s">
        <v>3574</v>
      </c>
      <c r="E3965" s="3"/>
    </row>
    <row r="3966" spans="1:5" ht="24.75" customHeight="1">
      <c r="A3966" s="2">
        <v>3964</v>
      </c>
      <c r="B3966" s="2" t="str">
        <f>"陈宇"</f>
        <v>陈宇</v>
      </c>
      <c r="C3966" s="2" t="s">
        <v>3531</v>
      </c>
      <c r="D3966" s="2" t="s">
        <v>3575</v>
      </c>
      <c r="E3966" s="3"/>
    </row>
    <row r="3967" spans="1:5" ht="24.75" customHeight="1">
      <c r="A3967" s="2">
        <v>3965</v>
      </c>
      <c r="B3967" s="2" t="str">
        <f>"叶鸿"</f>
        <v>叶鸿</v>
      </c>
      <c r="C3967" s="2" t="s">
        <v>3531</v>
      </c>
      <c r="D3967" s="2" t="s">
        <v>3576</v>
      </c>
      <c r="E3967" s="3"/>
    </row>
    <row r="3968" spans="1:5" ht="24.75" customHeight="1">
      <c r="A3968" s="2">
        <v>3966</v>
      </c>
      <c r="B3968" s="2" t="str">
        <f>"麦伟高"</f>
        <v>麦伟高</v>
      </c>
      <c r="C3968" s="2" t="s">
        <v>3531</v>
      </c>
      <c r="D3968" s="2" t="s">
        <v>3577</v>
      </c>
      <c r="E3968" s="3"/>
    </row>
    <row r="3969" spans="1:5" ht="24.75" customHeight="1">
      <c r="A3969" s="2">
        <v>3967</v>
      </c>
      <c r="B3969" s="2" t="str">
        <f>"马菁"</f>
        <v>马菁</v>
      </c>
      <c r="C3969" s="2" t="s">
        <v>3531</v>
      </c>
      <c r="D3969" s="2" t="s">
        <v>3578</v>
      </c>
      <c r="E3969" s="3"/>
    </row>
    <row r="3970" spans="1:5" ht="24.75" customHeight="1">
      <c r="A3970" s="2">
        <v>3968</v>
      </c>
      <c r="B3970" s="2" t="str">
        <f>"王画光"</f>
        <v>王画光</v>
      </c>
      <c r="C3970" s="2" t="s">
        <v>3531</v>
      </c>
      <c r="D3970" s="2" t="s">
        <v>3579</v>
      </c>
      <c r="E3970" s="3"/>
    </row>
    <row r="3971" spans="1:5" ht="24.75" customHeight="1">
      <c r="A3971" s="2">
        <v>3969</v>
      </c>
      <c r="B3971" s="2" t="str">
        <f>"黄武飞"</f>
        <v>黄武飞</v>
      </c>
      <c r="C3971" s="2" t="s">
        <v>3531</v>
      </c>
      <c r="D3971" s="2" t="s">
        <v>3580</v>
      </c>
      <c r="E3971" s="3"/>
    </row>
    <row r="3972" spans="1:5" ht="24.75" customHeight="1">
      <c r="A3972" s="2">
        <v>3970</v>
      </c>
      <c r="B3972" s="2" t="str">
        <f>"周业兰"</f>
        <v>周业兰</v>
      </c>
      <c r="C3972" s="2" t="s">
        <v>3531</v>
      </c>
      <c r="D3972" s="2" t="s">
        <v>2051</v>
      </c>
      <c r="E3972" s="3"/>
    </row>
    <row r="3973" spans="1:5" ht="24.75" customHeight="1">
      <c r="A3973" s="2">
        <v>3971</v>
      </c>
      <c r="B3973" s="2" t="str">
        <f>"梅李琼"</f>
        <v>梅李琼</v>
      </c>
      <c r="C3973" s="2" t="s">
        <v>3531</v>
      </c>
      <c r="D3973" s="2" t="s">
        <v>3581</v>
      </c>
      <c r="E3973" s="3"/>
    </row>
    <row r="3974" spans="1:5" ht="24.75" customHeight="1">
      <c r="A3974" s="2">
        <v>3972</v>
      </c>
      <c r="B3974" s="2" t="str">
        <f>"林小芳"</f>
        <v>林小芳</v>
      </c>
      <c r="C3974" s="2" t="s">
        <v>3531</v>
      </c>
      <c r="D3974" s="2" t="s">
        <v>3582</v>
      </c>
      <c r="E3974" s="3"/>
    </row>
    <row r="3975" spans="1:5" ht="24.75" customHeight="1">
      <c r="A3975" s="2">
        <v>3973</v>
      </c>
      <c r="B3975" s="2" t="str">
        <f>"黄兹旺"</f>
        <v>黄兹旺</v>
      </c>
      <c r="C3975" s="2" t="s">
        <v>3531</v>
      </c>
      <c r="D3975" s="2" t="s">
        <v>3583</v>
      </c>
      <c r="E3975" s="3"/>
    </row>
    <row r="3976" spans="1:5" ht="24.75" customHeight="1">
      <c r="A3976" s="2">
        <v>3974</v>
      </c>
      <c r="B3976" s="2" t="str">
        <f>"王琴"</f>
        <v>王琴</v>
      </c>
      <c r="C3976" s="2" t="s">
        <v>3531</v>
      </c>
      <c r="D3976" s="2" t="s">
        <v>2360</v>
      </c>
      <c r="E3976" s="3"/>
    </row>
    <row r="3977" spans="1:5" ht="24.75" customHeight="1">
      <c r="A3977" s="2">
        <v>3975</v>
      </c>
      <c r="B3977" s="2" t="str">
        <f>"陈唐健"</f>
        <v>陈唐健</v>
      </c>
      <c r="C3977" s="2" t="s">
        <v>3531</v>
      </c>
      <c r="D3977" s="2" t="s">
        <v>3584</v>
      </c>
      <c r="E3977" s="3"/>
    </row>
    <row r="3978" spans="1:5" ht="24.75" customHeight="1">
      <c r="A3978" s="2">
        <v>3976</v>
      </c>
      <c r="B3978" s="2" t="str">
        <f>"吴亚儒"</f>
        <v>吴亚儒</v>
      </c>
      <c r="C3978" s="2" t="s">
        <v>3531</v>
      </c>
      <c r="D3978" s="2" t="s">
        <v>3585</v>
      </c>
      <c r="E3978" s="3"/>
    </row>
    <row r="3979" spans="1:5" ht="24.75" customHeight="1">
      <c r="A3979" s="2">
        <v>3977</v>
      </c>
      <c r="B3979" s="2" t="str">
        <f>"李艳会"</f>
        <v>李艳会</v>
      </c>
      <c r="C3979" s="2" t="s">
        <v>3531</v>
      </c>
      <c r="D3979" s="2" t="s">
        <v>3586</v>
      </c>
      <c r="E3979" s="3"/>
    </row>
    <row r="3980" spans="1:5" ht="24.75" customHeight="1">
      <c r="A3980" s="2">
        <v>3978</v>
      </c>
      <c r="B3980" s="2" t="str">
        <f>"张裕明"</f>
        <v>张裕明</v>
      </c>
      <c r="C3980" s="2" t="s">
        <v>3531</v>
      </c>
      <c r="D3980" s="2" t="s">
        <v>3587</v>
      </c>
      <c r="E3980" s="3"/>
    </row>
    <row r="3981" spans="1:5" ht="24.75" customHeight="1">
      <c r="A3981" s="2">
        <v>3979</v>
      </c>
      <c r="B3981" s="2" t="str">
        <f>"周惠玲"</f>
        <v>周惠玲</v>
      </c>
      <c r="C3981" s="2" t="s">
        <v>3588</v>
      </c>
      <c r="D3981" s="2" t="s">
        <v>45</v>
      </c>
      <c r="E3981" s="3"/>
    </row>
    <row r="3982" spans="1:5" ht="24.75" customHeight="1">
      <c r="A3982" s="2">
        <v>3980</v>
      </c>
      <c r="B3982" s="2" t="str">
        <f>"卢茜"</f>
        <v>卢茜</v>
      </c>
      <c r="C3982" s="2" t="s">
        <v>3588</v>
      </c>
      <c r="D3982" s="2" t="s">
        <v>3589</v>
      </c>
      <c r="E3982" s="3"/>
    </row>
    <row r="3983" spans="1:5" ht="24.75" customHeight="1">
      <c r="A3983" s="2">
        <v>3981</v>
      </c>
      <c r="B3983" s="2" t="str">
        <f>"王小东"</f>
        <v>王小东</v>
      </c>
      <c r="C3983" s="2" t="s">
        <v>3588</v>
      </c>
      <c r="D3983" s="2" t="s">
        <v>3590</v>
      </c>
      <c r="E3983" s="3"/>
    </row>
    <row r="3984" spans="1:5" ht="24.75" customHeight="1">
      <c r="A3984" s="2">
        <v>3982</v>
      </c>
      <c r="B3984" s="2" t="str">
        <f>"李甜甜"</f>
        <v>李甜甜</v>
      </c>
      <c r="C3984" s="2" t="s">
        <v>3591</v>
      </c>
      <c r="D3984" s="2" t="s">
        <v>3592</v>
      </c>
      <c r="E3984" s="3"/>
    </row>
    <row r="3985" spans="1:5" ht="24.75" customHeight="1">
      <c r="A3985" s="2">
        <v>3983</v>
      </c>
      <c r="B3985" s="2" t="str">
        <f>"黄佳斌"</f>
        <v>黄佳斌</v>
      </c>
      <c r="C3985" s="2" t="s">
        <v>3591</v>
      </c>
      <c r="D3985" s="2" t="s">
        <v>3593</v>
      </c>
      <c r="E3985" s="3"/>
    </row>
    <row r="3986" spans="1:5" ht="24.75" customHeight="1">
      <c r="A3986" s="2">
        <v>3984</v>
      </c>
      <c r="B3986" s="2" t="str">
        <f>"王洁"</f>
        <v>王洁</v>
      </c>
      <c r="C3986" s="2" t="s">
        <v>3591</v>
      </c>
      <c r="D3986" s="2" t="s">
        <v>3367</v>
      </c>
      <c r="E3986" s="3"/>
    </row>
    <row r="3987" spans="1:5" ht="24.75" customHeight="1">
      <c r="A3987" s="2">
        <v>3985</v>
      </c>
      <c r="B3987" s="2" t="str">
        <f>"覃泊鑫"</f>
        <v>覃泊鑫</v>
      </c>
      <c r="C3987" s="2" t="s">
        <v>3591</v>
      </c>
      <c r="D3987" s="2" t="s">
        <v>3594</v>
      </c>
      <c r="E3987" s="3"/>
    </row>
    <row r="3988" spans="1:5" ht="24.75" customHeight="1">
      <c r="A3988" s="2">
        <v>3986</v>
      </c>
      <c r="B3988" s="2" t="str">
        <f>"王燕"</f>
        <v>王燕</v>
      </c>
      <c r="C3988" s="2" t="s">
        <v>3591</v>
      </c>
      <c r="D3988" s="2" t="s">
        <v>3595</v>
      </c>
      <c r="E3988" s="3"/>
    </row>
    <row r="3989" spans="1:5" ht="24.75" customHeight="1">
      <c r="A3989" s="2">
        <v>3987</v>
      </c>
      <c r="B3989" s="2" t="str">
        <f>"刘金扬"</f>
        <v>刘金扬</v>
      </c>
      <c r="C3989" s="2" t="s">
        <v>3591</v>
      </c>
      <c r="D3989" s="2" t="s">
        <v>3596</v>
      </c>
      <c r="E3989" s="3"/>
    </row>
    <row r="3990" spans="1:5" ht="24.75" customHeight="1">
      <c r="A3990" s="2">
        <v>3988</v>
      </c>
      <c r="B3990" s="2" t="str">
        <f>"何文华"</f>
        <v>何文华</v>
      </c>
      <c r="C3990" s="2" t="s">
        <v>3591</v>
      </c>
      <c r="D3990" s="2" t="s">
        <v>3597</v>
      </c>
      <c r="E3990" s="3"/>
    </row>
    <row r="3991" spans="1:5" ht="24.75" customHeight="1">
      <c r="A3991" s="2">
        <v>3989</v>
      </c>
      <c r="B3991" s="2" t="str">
        <f>"杨末"</f>
        <v>杨末</v>
      </c>
      <c r="C3991" s="2" t="s">
        <v>3591</v>
      </c>
      <c r="D3991" s="2" t="s">
        <v>3598</v>
      </c>
      <c r="E3991" s="3"/>
    </row>
    <row r="3992" spans="1:5" ht="24.75" customHeight="1">
      <c r="A3992" s="2">
        <v>3990</v>
      </c>
      <c r="B3992" s="2" t="str">
        <f>"黄海艺"</f>
        <v>黄海艺</v>
      </c>
      <c r="C3992" s="2" t="s">
        <v>3591</v>
      </c>
      <c r="D3992" s="2" t="s">
        <v>3599</v>
      </c>
      <c r="E3992" s="3"/>
    </row>
    <row r="3993" spans="1:5" ht="24.75" customHeight="1">
      <c r="A3993" s="2">
        <v>3991</v>
      </c>
      <c r="B3993" s="2" t="str">
        <f>"李名洁"</f>
        <v>李名洁</v>
      </c>
      <c r="C3993" s="2" t="s">
        <v>3591</v>
      </c>
      <c r="D3993" s="2" t="s">
        <v>3600</v>
      </c>
      <c r="E3993" s="3"/>
    </row>
    <row r="3994" spans="1:5" ht="24.75" customHeight="1">
      <c r="A3994" s="2">
        <v>3992</v>
      </c>
      <c r="B3994" s="2" t="str">
        <f>"罗孔钰"</f>
        <v>罗孔钰</v>
      </c>
      <c r="C3994" s="2" t="s">
        <v>3591</v>
      </c>
      <c r="D3994" s="2" t="s">
        <v>1015</v>
      </c>
      <c r="E3994" s="3"/>
    </row>
    <row r="3995" spans="1:5" ht="24.75" customHeight="1">
      <c r="A3995" s="2">
        <v>3993</v>
      </c>
      <c r="B3995" s="2" t="str">
        <f>"刘德聪"</f>
        <v>刘德聪</v>
      </c>
      <c r="C3995" s="2" t="s">
        <v>3601</v>
      </c>
      <c r="D3995" s="2" t="s">
        <v>3602</v>
      </c>
      <c r="E3995" s="3"/>
    </row>
    <row r="3996" spans="1:5" ht="24.75" customHeight="1">
      <c r="A3996" s="2">
        <v>3994</v>
      </c>
      <c r="B3996" s="2" t="str">
        <f>"李莉"</f>
        <v>李莉</v>
      </c>
      <c r="C3996" s="2" t="s">
        <v>3601</v>
      </c>
      <c r="D3996" s="2" t="s">
        <v>3603</v>
      </c>
      <c r="E3996" s="3"/>
    </row>
    <row r="3997" spans="1:5" ht="24.75" customHeight="1">
      <c r="A3997" s="2">
        <v>3995</v>
      </c>
      <c r="B3997" s="2" t="str">
        <f>"姜垂弘"</f>
        <v>姜垂弘</v>
      </c>
      <c r="C3997" s="2" t="s">
        <v>3601</v>
      </c>
      <c r="D3997" s="2" t="s">
        <v>2788</v>
      </c>
      <c r="E3997" s="3"/>
    </row>
    <row r="3998" spans="1:5" ht="24.75" customHeight="1">
      <c r="A3998" s="2">
        <v>3996</v>
      </c>
      <c r="B3998" s="2" t="str">
        <f>"程子豪"</f>
        <v>程子豪</v>
      </c>
      <c r="C3998" s="2" t="s">
        <v>3601</v>
      </c>
      <c r="D3998" s="2" t="s">
        <v>3604</v>
      </c>
      <c r="E3998" s="3"/>
    </row>
    <row r="3999" spans="1:5" ht="24.75" customHeight="1">
      <c r="A3999" s="2">
        <v>3997</v>
      </c>
      <c r="B3999" s="2" t="str">
        <f>"王珩"</f>
        <v>王珩</v>
      </c>
      <c r="C3999" s="2" t="s">
        <v>3601</v>
      </c>
      <c r="D3999" s="2" t="s">
        <v>3605</v>
      </c>
      <c r="E3999" s="3"/>
    </row>
    <row r="4000" spans="1:5" ht="24.75" customHeight="1">
      <c r="A4000" s="2">
        <v>3998</v>
      </c>
      <c r="B4000" s="2" t="str">
        <f>"王美"</f>
        <v>王美</v>
      </c>
      <c r="C4000" s="2" t="s">
        <v>3601</v>
      </c>
      <c r="D4000" s="2" t="s">
        <v>3606</v>
      </c>
      <c r="E4000" s="3"/>
    </row>
    <row r="4001" spans="1:5" ht="24.75" customHeight="1">
      <c r="A4001" s="2">
        <v>3999</v>
      </c>
      <c r="B4001" s="2" t="str">
        <f>"陈明锋"</f>
        <v>陈明锋</v>
      </c>
      <c r="C4001" s="2" t="s">
        <v>3601</v>
      </c>
      <c r="D4001" s="2" t="s">
        <v>1331</v>
      </c>
      <c r="E4001" s="3"/>
    </row>
    <row r="4002" spans="1:5" ht="24.75" customHeight="1">
      <c r="A4002" s="2">
        <v>4000</v>
      </c>
      <c r="B4002" s="2" t="str">
        <f>"陈寒冰"</f>
        <v>陈寒冰</v>
      </c>
      <c r="C4002" s="2" t="s">
        <v>3601</v>
      </c>
      <c r="D4002" s="2" t="s">
        <v>2004</v>
      </c>
      <c r="E4002" s="3"/>
    </row>
    <row r="4003" spans="1:5" ht="24.75" customHeight="1">
      <c r="A4003" s="2">
        <v>4001</v>
      </c>
      <c r="B4003" s="2" t="str">
        <f>"符传栋"</f>
        <v>符传栋</v>
      </c>
      <c r="C4003" s="2" t="s">
        <v>3601</v>
      </c>
      <c r="D4003" s="2" t="s">
        <v>3607</v>
      </c>
      <c r="E4003" s="3"/>
    </row>
    <row r="4004" spans="1:5" ht="24.75" customHeight="1">
      <c r="A4004" s="2">
        <v>4002</v>
      </c>
      <c r="B4004" s="2" t="str">
        <f>"庄伟"</f>
        <v>庄伟</v>
      </c>
      <c r="C4004" s="2" t="s">
        <v>3601</v>
      </c>
      <c r="D4004" s="2" t="s">
        <v>2029</v>
      </c>
      <c r="E4004" s="3"/>
    </row>
    <row r="4005" spans="1:5" ht="24.75" customHeight="1">
      <c r="A4005" s="2">
        <v>4003</v>
      </c>
      <c r="B4005" s="2" t="str">
        <f>"李雪茵"</f>
        <v>李雪茵</v>
      </c>
      <c r="C4005" s="2" t="s">
        <v>3601</v>
      </c>
      <c r="D4005" s="2" t="s">
        <v>3608</v>
      </c>
      <c r="E4005" s="3"/>
    </row>
    <row r="4006" spans="1:5" ht="24.75" customHeight="1">
      <c r="A4006" s="2">
        <v>4004</v>
      </c>
      <c r="B4006" s="2" t="str">
        <f>"吴翔"</f>
        <v>吴翔</v>
      </c>
      <c r="C4006" s="2" t="s">
        <v>3601</v>
      </c>
      <c r="D4006" s="2" t="s">
        <v>3609</v>
      </c>
      <c r="E4006" s="3"/>
    </row>
    <row r="4007" spans="1:5" ht="24.75" customHeight="1">
      <c r="A4007" s="2">
        <v>4005</v>
      </c>
      <c r="B4007" s="2" t="str">
        <f>"翁鑫彬"</f>
        <v>翁鑫彬</v>
      </c>
      <c r="C4007" s="2" t="s">
        <v>3601</v>
      </c>
      <c r="D4007" s="2" t="s">
        <v>2267</v>
      </c>
      <c r="E4007" s="3"/>
    </row>
    <row r="4008" spans="1:5" ht="24.75" customHeight="1">
      <c r="A4008" s="2">
        <v>4006</v>
      </c>
      <c r="B4008" s="2" t="str">
        <f>"王哲"</f>
        <v>王哲</v>
      </c>
      <c r="C4008" s="2" t="s">
        <v>3601</v>
      </c>
      <c r="D4008" s="2" t="s">
        <v>3610</v>
      </c>
      <c r="E4008" s="3"/>
    </row>
    <row r="4009" spans="1:5" ht="24.75" customHeight="1">
      <c r="A4009" s="2">
        <v>4007</v>
      </c>
      <c r="B4009" s="2" t="str">
        <f>"洪光帝"</f>
        <v>洪光帝</v>
      </c>
      <c r="C4009" s="2" t="s">
        <v>3601</v>
      </c>
      <c r="D4009" s="2" t="s">
        <v>3611</v>
      </c>
      <c r="E4009" s="3"/>
    </row>
    <row r="4010" spans="1:5" ht="24.75" customHeight="1">
      <c r="A4010" s="2">
        <v>4008</v>
      </c>
      <c r="B4010" s="2" t="str">
        <f>"陈文高"</f>
        <v>陈文高</v>
      </c>
      <c r="C4010" s="2" t="s">
        <v>3601</v>
      </c>
      <c r="D4010" s="2" t="s">
        <v>3612</v>
      </c>
      <c r="E4010" s="3"/>
    </row>
    <row r="4011" spans="1:5" ht="24.75" customHeight="1">
      <c r="A4011" s="2">
        <v>4009</v>
      </c>
      <c r="B4011" s="2" t="str">
        <f>"王章浩"</f>
        <v>王章浩</v>
      </c>
      <c r="C4011" s="2" t="s">
        <v>3601</v>
      </c>
      <c r="D4011" s="2" t="s">
        <v>1572</v>
      </c>
      <c r="E4011" s="3"/>
    </row>
    <row r="4012" spans="1:5" ht="24.75" customHeight="1">
      <c r="A4012" s="2">
        <v>4010</v>
      </c>
      <c r="B4012" s="2" t="str">
        <f>"李家锦"</f>
        <v>李家锦</v>
      </c>
      <c r="C4012" s="2" t="s">
        <v>3601</v>
      </c>
      <c r="D4012" s="2" t="s">
        <v>3613</v>
      </c>
      <c r="E4012" s="3"/>
    </row>
    <row r="4013" spans="1:5" ht="24.75" customHeight="1">
      <c r="A4013" s="2">
        <v>4011</v>
      </c>
      <c r="B4013" s="2" t="str">
        <f>"方天宇"</f>
        <v>方天宇</v>
      </c>
      <c r="C4013" s="2" t="s">
        <v>3601</v>
      </c>
      <c r="D4013" s="2" t="s">
        <v>3614</v>
      </c>
      <c r="E4013" s="3"/>
    </row>
    <row r="4014" spans="1:5" ht="24.75" customHeight="1">
      <c r="A4014" s="2">
        <v>4012</v>
      </c>
      <c r="B4014" s="2" t="str">
        <f>"王陆雄"</f>
        <v>王陆雄</v>
      </c>
      <c r="C4014" s="2" t="s">
        <v>3601</v>
      </c>
      <c r="D4014" s="2" t="s">
        <v>3615</v>
      </c>
      <c r="E4014" s="3"/>
    </row>
    <row r="4015" spans="1:5" ht="24.75" customHeight="1">
      <c r="A4015" s="2">
        <v>4013</v>
      </c>
      <c r="B4015" s="2" t="str">
        <f>"王诚"</f>
        <v>王诚</v>
      </c>
      <c r="C4015" s="2" t="s">
        <v>3601</v>
      </c>
      <c r="D4015" s="2" t="s">
        <v>3616</v>
      </c>
      <c r="E4015" s="3"/>
    </row>
    <row r="4016" spans="1:5" ht="24.75" customHeight="1">
      <c r="A4016" s="2">
        <v>4014</v>
      </c>
      <c r="B4016" s="2" t="str">
        <f>"王式再"</f>
        <v>王式再</v>
      </c>
      <c r="C4016" s="2" t="s">
        <v>3601</v>
      </c>
      <c r="D4016" s="2" t="s">
        <v>3617</v>
      </c>
      <c r="E4016" s="3"/>
    </row>
    <row r="4017" spans="1:5" ht="24.75" customHeight="1">
      <c r="A4017" s="2">
        <v>4015</v>
      </c>
      <c r="B4017" s="2" t="str">
        <f>"林开宇"</f>
        <v>林开宇</v>
      </c>
      <c r="C4017" s="2" t="s">
        <v>3601</v>
      </c>
      <c r="D4017" s="2" t="s">
        <v>3618</v>
      </c>
      <c r="E4017" s="3"/>
    </row>
    <row r="4018" spans="1:5" ht="24.75" customHeight="1">
      <c r="A4018" s="2">
        <v>4016</v>
      </c>
      <c r="B4018" s="2" t="str">
        <f>"符昱耿"</f>
        <v>符昱耿</v>
      </c>
      <c r="C4018" s="2" t="s">
        <v>3601</v>
      </c>
      <c r="D4018" s="2" t="s">
        <v>3619</v>
      </c>
      <c r="E4018" s="3"/>
    </row>
    <row r="4019" spans="1:5" ht="24.75" customHeight="1">
      <c r="A4019" s="2">
        <v>4017</v>
      </c>
      <c r="B4019" s="2" t="str">
        <f>"陈勇锦"</f>
        <v>陈勇锦</v>
      </c>
      <c r="C4019" s="2" t="s">
        <v>3601</v>
      </c>
      <c r="D4019" s="2" t="s">
        <v>3620</v>
      </c>
      <c r="E4019" s="3"/>
    </row>
    <row r="4020" spans="1:5" ht="24.75" customHeight="1">
      <c r="A4020" s="2">
        <v>4018</v>
      </c>
      <c r="B4020" s="2" t="str">
        <f>"邱千"</f>
        <v>邱千</v>
      </c>
      <c r="C4020" s="2" t="s">
        <v>3601</v>
      </c>
      <c r="D4020" s="2" t="s">
        <v>3621</v>
      </c>
      <c r="E4020" s="3"/>
    </row>
    <row r="4021" spans="1:5" ht="24.75" customHeight="1">
      <c r="A4021" s="2">
        <v>4019</v>
      </c>
      <c r="B4021" s="2" t="str">
        <f>"王杰"</f>
        <v>王杰</v>
      </c>
      <c r="C4021" s="2" t="s">
        <v>3601</v>
      </c>
      <c r="D4021" s="2" t="s">
        <v>2882</v>
      </c>
      <c r="E4021" s="3"/>
    </row>
    <row r="4022" spans="1:5" ht="24.75" customHeight="1">
      <c r="A4022" s="2">
        <v>4020</v>
      </c>
      <c r="B4022" s="2" t="str">
        <f>"王西临"</f>
        <v>王西临</v>
      </c>
      <c r="C4022" s="2" t="s">
        <v>3622</v>
      </c>
      <c r="D4022" s="2" t="s">
        <v>3623</v>
      </c>
      <c r="E4022" s="3"/>
    </row>
    <row r="4023" spans="1:5" ht="24.75" customHeight="1">
      <c r="A4023" s="2">
        <v>4021</v>
      </c>
      <c r="B4023" s="2" t="str">
        <f>"符小俊"</f>
        <v>符小俊</v>
      </c>
      <c r="C4023" s="2" t="s">
        <v>3622</v>
      </c>
      <c r="D4023" s="2" t="s">
        <v>3624</v>
      </c>
      <c r="E4023" s="3"/>
    </row>
    <row r="4024" spans="1:5" ht="24.75" customHeight="1">
      <c r="A4024" s="2">
        <v>4022</v>
      </c>
      <c r="B4024" s="2" t="str">
        <f>"苏红庆"</f>
        <v>苏红庆</v>
      </c>
      <c r="C4024" s="2" t="s">
        <v>3622</v>
      </c>
      <c r="D4024" s="2" t="s">
        <v>3625</v>
      </c>
      <c r="E4024" s="3"/>
    </row>
    <row r="4025" spans="1:5" ht="24.75" customHeight="1">
      <c r="A4025" s="2">
        <v>4023</v>
      </c>
      <c r="B4025" s="2" t="str">
        <f>"张忠青"</f>
        <v>张忠青</v>
      </c>
      <c r="C4025" s="2" t="s">
        <v>3622</v>
      </c>
      <c r="D4025" s="2" t="s">
        <v>3626</v>
      </c>
      <c r="E4025" s="3"/>
    </row>
    <row r="4026" spans="1:5" ht="24.75" customHeight="1">
      <c r="A4026" s="2">
        <v>4024</v>
      </c>
      <c r="B4026" s="2" t="str">
        <f>"周米姿"</f>
        <v>周米姿</v>
      </c>
      <c r="C4026" s="2" t="s">
        <v>3622</v>
      </c>
      <c r="D4026" s="2" t="s">
        <v>877</v>
      </c>
      <c r="E4026" s="3"/>
    </row>
    <row r="4027" spans="1:5" ht="24.75" customHeight="1">
      <c r="A4027" s="2">
        <v>4025</v>
      </c>
      <c r="B4027" s="2" t="str">
        <f>"蔡亲冠"</f>
        <v>蔡亲冠</v>
      </c>
      <c r="C4027" s="2" t="s">
        <v>3622</v>
      </c>
      <c r="D4027" s="2" t="s">
        <v>3627</v>
      </c>
      <c r="E4027" s="3"/>
    </row>
    <row r="4028" spans="1:5" ht="24.75" customHeight="1">
      <c r="A4028" s="2">
        <v>4026</v>
      </c>
      <c r="B4028" s="2" t="str">
        <f>"李铭灿"</f>
        <v>李铭灿</v>
      </c>
      <c r="C4028" s="2" t="s">
        <v>3622</v>
      </c>
      <c r="D4028" s="2" t="s">
        <v>3628</v>
      </c>
      <c r="E4028" s="3"/>
    </row>
    <row r="4029" spans="1:5" ht="24.75" customHeight="1">
      <c r="A4029" s="2">
        <v>4027</v>
      </c>
      <c r="B4029" s="2" t="str">
        <f>"李朝兴"</f>
        <v>李朝兴</v>
      </c>
      <c r="C4029" s="2" t="s">
        <v>3622</v>
      </c>
      <c r="D4029" s="2" t="s">
        <v>3629</v>
      </c>
      <c r="E4029" s="3"/>
    </row>
    <row r="4030" spans="1:5" ht="24.75" customHeight="1">
      <c r="A4030" s="2">
        <v>4028</v>
      </c>
      <c r="B4030" s="2" t="str">
        <f>"林小橼"</f>
        <v>林小橼</v>
      </c>
      <c r="C4030" s="2" t="s">
        <v>3622</v>
      </c>
      <c r="D4030" s="2" t="s">
        <v>1532</v>
      </c>
      <c r="E4030" s="3"/>
    </row>
    <row r="4031" spans="1:5" ht="24.75" customHeight="1">
      <c r="A4031" s="2">
        <v>4029</v>
      </c>
      <c r="B4031" s="2" t="str">
        <f>"王明山"</f>
        <v>王明山</v>
      </c>
      <c r="C4031" s="2" t="s">
        <v>3622</v>
      </c>
      <c r="D4031" s="2" t="s">
        <v>3630</v>
      </c>
      <c r="E4031" s="3"/>
    </row>
    <row r="4032" spans="1:5" ht="24.75" customHeight="1">
      <c r="A4032" s="2">
        <v>4030</v>
      </c>
      <c r="B4032" s="2" t="str">
        <f>"蒙淑娇"</f>
        <v>蒙淑娇</v>
      </c>
      <c r="C4032" s="2" t="s">
        <v>3622</v>
      </c>
      <c r="D4032" s="2" t="s">
        <v>3631</v>
      </c>
      <c r="E4032" s="3"/>
    </row>
    <row r="4033" spans="1:5" ht="24.75" customHeight="1">
      <c r="A4033" s="2">
        <v>4031</v>
      </c>
      <c r="B4033" s="2" t="str">
        <f>"许森"</f>
        <v>许森</v>
      </c>
      <c r="C4033" s="2" t="s">
        <v>3622</v>
      </c>
      <c r="D4033" s="2" t="s">
        <v>3632</v>
      </c>
      <c r="E4033" s="3"/>
    </row>
    <row r="4034" spans="1:5" ht="24.75" customHeight="1">
      <c r="A4034" s="2">
        <v>4032</v>
      </c>
      <c r="B4034" s="2" t="str">
        <f>"王道洲"</f>
        <v>王道洲</v>
      </c>
      <c r="C4034" s="2" t="s">
        <v>3622</v>
      </c>
      <c r="D4034" s="2" t="s">
        <v>89</v>
      </c>
      <c r="E4034" s="3"/>
    </row>
    <row r="4035" spans="1:5" ht="24.75" customHeight="1">
      <c r="A4035" s="2">
        <v>4033</v>
      </c>
      <c r="B4035" s="2" t="str">
        <f>"王荣"</f>
        <v>王荣</v>
      </c>
      <c r="C4035" s="2" t="s">
        <v>3622</v>
      </c>
      <c r="D4035" s="2" t="s">
        <v>3633</v>
      </c>
      <c r="E4035" s="3"/>
    </row>
    <row r="4036" spans="1:5" ht="24.75" customHeight="1">
      <c r="A4036" s="2">
        <v>4034</v>
      </c>
      <c r="B4036" s="2" t="str">
        <f>"曾一凡"</f>
        <v>曾一凡</v>
      </c>
      <c r="C4036" s="2" t="s">
        <v>3622</v>
      </c>
      <c r="D4036" s="2" t="s">
        <v>1851</v>
      </c>
      <c r="E4036" s="3"/>
    </row>
    <row r="4037" spans="1:5" ht="24.75" customHeight="1">
      <c r="A4037" s="2">
        <v>4035</v>
      </c>
      <c r="B4037" s="2" t="str">
        <f>"林小宾"</f>
        <v>林小宾</v>
      </c>
      <c r="C4037" s="2" t="s">
        <v>3622</v>
      </c>
      <c r="D4037" s="2" t="s">
        <v>3634</v>
      </c>
      <c r="E4037" s="3"/>
    </row>
    <row r="4038" spans="1:5" ht="24.75" customHeight="1">
      <c r="A4038" s="2">
        <v>4036</v>
      </c>
      <c r="B4038" s="2" t="str">
        <f>"曾鼎辉"</f>
        <v>曾鼎辉</v>
      </c>
      <c r="C4038" s="2" t="s">
        <v>3622</v>
      </c>
      <c r="D4038" s="2" t="s">
        <v>3635</v>
      </c>
      <c r="E4038" s="3"/>
    </row>
    <row r="4039" spans="1:5" ht="24.75" customHeight="1">
      <c r="A4039" s="2">
        <v>4037</v>
      </c>
      <c r="B4039" s="2" t="str">
        <f>"王朋"</f>
        <v>王朋</v>
      </c>
      <c r="C4039" s="2" t="s">
        <v>3622</v>
      </c>
      <c r="D4039" s="2" t="s">
        <v>3636</v>
      </c>
      <c r="E4039" s="3"/>
    </row>
    <row r="4040" spans="1:5" ht="24.75" customHeight="1">
      <c r="A4040" s="2">
        <v>4038</v>
      </c>
      <c r="B4040" s="2" t="str">
        <f>"陈智强"</f>
        <v>陈智强</v>
      </c>
      <c r="C4040" s="2" t="s">
        <v>3622</v>
      </c>
      <c r="D4040" s="2" t="s">
        <v>2336</v>
      </c>
      <c r="E4040" s="3"/>
    </row>
    <row r="4041" spans="1:5" ht="24.75" customHeight="1">
      <c r="A4041" s="2">
        <v>4039</v>
      </c>
      <c r="B4041" s="2" t="str">
        <f>"苏小腾"</f>
        <v>苏小腾</v>
      </c>
      <c r="C4041" s="2" t="s">
        <v>3622</v>
      </c>
      <c r="D4041" s="2" t="s">
        <v>1860</v>
      </c>
      <c r="E4041" s="3"/>
    </row>
    <row r="4042" spans="1:5" ht="24.75" customHeight="1">
      <c r="A4042" s="2">
        <v>4040</v>
      </c>
      <c r="B4042" s="2" t="str">
        <f>"李翼定"</f>
        <v>李翼定</v>
      </c>
      <c r="C4042" s="2" t="s">
        <v>3622</v>
      </c>
      <c r="D4042" s="2" t="s">
        <v>3637</v>
      </c>
      <c r="E4042" s="3"/>
    </row>
    <row r="4043" spans="1:5" ht="24.75" customHeight="1">
      <c r="A4043" s="2">
        <v>4041</v>
      </c>
      <c r="B4043" s="2" t="str">
        <f>"王秀任"</f>
        <v>王秀任</v>
      </c>
      <c r="C4043" s="2" t="s">
        <v>3622</v>
      </c>
      <c r="D4043" s="2" t="s">
        <v>3497</v>
      </c>
      <c r="E4043" s="3"/>
    </row>
    <row r="4044" spans="1:5" ht="24.75" customHeight="1">
      <c r="A4044" s="2">
        <v>4042</v>
      </c>
      <c r="B4044" s="2" t="str">
        <f>"谢桔平"</f>
        <v>谢桔平</v>
      </c>
      <c r="C4044" s="2" t="s">
        <v>3622</v>
      </c>
      <c r="D4044" s="2" t="s">
        <v>3638</v>
      </c>
      <c r="E4044" s="3"/>
    </row>
    <row r="4045" spans="1:5" ht="24.75" customHeight="1">
      <c r="A4045" s="2">
        <v>4043</v>
      </c>
      <c r="B4045" s="2" t="str">
        <f>"吴春燕"</f>
        <v>吴春燕</v>
      </c>
      <c r="C4045" s="2" t="s">
        <v>3622</v>
      </c>
      <c r="D4045" s="2" t="s">
        <v>3639</v>
      </c>
      <c r="E4045" s="3"/>
    </row>
    <row r="4046" spans="1:5" ht="24.75" customHeight="1">
      <c r="A4046" s="2">
        <v>4044</v>
      </c>
      <c r="B4046" s="2" t="str">
        <f>"林铃"</f>
        <v>林铃</v>
      </c>
      <c r="C4046" s="2" t="s">
        <v>3622</v>
      </c>
      <c r="D4046" s="2" t="s">
        <v>3640</v>
      </c>
      <c r="E4046" s="3"/>
    </row>
    <row r="4047" spans="1:5" ht="24.75" customHeight="1">
      <c r="A4047" s="2">
        <v>4045</v>
      </c>
      <c r="B4047" s="2" t="str">
        <f>"朱东"</f>
        <v>朱东</v>
      </c>
      <c r="C4047" s="2" t="s">
        <v>3622</v>
      </c>
      <c r="D4047" s="2" t="s">
        <v>3641</v>
      </c>
      <c r="E4047" s="3"/>
    </row>
    <row r="4048" spans="1:5" ht="24.75" customHeight="1">
      <c r="A4048" s="2">
        <v>4046</v>
      </c>
      <c r="B4048" s="2" t="str">
        <f>"苏仕伟"</f>
        <v>苏仕伟</v>
      </c>
      <c r="C4048" s="2" t="s">
        <v>3622</v>
      </c>
      <c r="D4048" s="2" t="s">
        <v>3642</v>
      </c>
      <c r="E4048" s="3"/>
    </row>
    <row r="4049" spans="1:5" ht="24.75" customHeight="1">
      <c r="A4049" s="2">
        <v>4047</v>
      </c>
      <c r="B4049" s="2" t="str">
        <f>"洪世发"</f>
        <v>洪世发</v>
      </c>
      <c r="C4049" s="2" t="s">
        <v>3622</v>
      </c>
      <c r="D4049" s="2" t="s">
        <v>3643</v>
      </c>
      <c r="E4049" s="3"/>
    </row>
    <row r="4050" spans="1:5" ht="24.75" customHeight="1">
      <c r="A4050" s="2">
        <v>4048</v>
      </c>
      <c r="B4050" s="2" t="str">
        <f>"钟秀卓"</f>
        <v>钟秀卓</v>
      </c>
      <c r="C4050" s="2" t="s">
        <v>3622</v>
      </c>
      <c r="D4050" s="2" t="s">
        <v>3644</v>
      </c>
      <c r="E4050" s="3"/>
    </row>
    <row r="4051" spans="1:5" ht="24.75" customHeight="1">
      <c r="A4051" s="2">
        <v>4049</v>
      </c>
      <c r="B4051" s="2" t="str">
        <f>"何大鸿"</f>
        <v>何大鸿</v>
      </c>
      <c r="C4051" s="2" t="s">
        <v>3622</v>
      </c>
      <c r="D4051" s="2" t="s">
        <v>3645</v>
      </c>
      <c r="E4051" s="3"/>
    </row>
    <row r="4052" spans="1:5" ht="24.75" customHeight="1">
      <c r="A4052" s="2">
        <v>4050</v>
      </c>
      <c r="B4052" s="2" t="str">
        <f>"陈春雨"</f>
        <v>陈春雨</v>
      </c>
      <c r="C4052" s="2" t="s">
        <v>3622</v>
      </c>
      <c r="D4052" s="2" t="s">
        <v>3646</v>
      </c>
      <c r="E4052" s="3"/>
    </row>
    <row r="4053" spans="1:5" ht="24.75" customHeight="1">
      <c r="A4053" s="2">
        <v>4051</v>
      </c>
      <c r="B4053" s="2" t="str">
        <f>"谭清荣"</f>
        <v>谭清荣</v>
      </c>
      <c r="C4053" s="2" t="s">
        <v>3647</v>
      </c>
      <c r="D4053" s="2" t="s">
        <v>3648</v>
      </c>
      <c r="E4053" s="3"/>
    </row>
    <row r="4054" spans="1:5" ht="24.75" customHeight="1">
      <c r="A4054" s="2">
        <v>4052</v>
      </c>
      <c r="B4054" s="2" t="str">
        <f>"田云柯"</f>
        <v>田云柯</v>
      </c>
      <c r="C4054" s="2" t="s">
        <v>3647</v>
      </c>
      <c r="D4054" s="2" t="s">
        <v>3649</v>
      </c>
      <c r="E4054" s="3"/>
    </row>
    <row r="4055" spans="1:5" ht="24.75" customHeight="1">
      <c r="A4055" s="2">
        <v>4053</v>
      </c>
      <c r="B4055" s="2" t="str">
        <f>"黄思菁"</f>
        <v>黄思菁</v>
      </c>
      <c r="C4055" s="2" t="s">
        <v>3647</v>
      </c>
      <c r="D4055" s="2" t="s">
        <v>3650</v>
      </c>
      <c r="E4055" s="3"/>
    </row>
    <row r="4056" spans="1:5" ht="24.75" customHeight="1">
      <c r="A4056" s="2">
        <v>4054</v>
      </c>
      <c r="B4056" s="2" t="str">
        <f>"段观雄"</f>
        <v>段观雄</v>
      </c>
      <c r="C4056" s="2" t="s">
        <v>3647</v>
      </c>
      <c r="D4056" s="2" t="s">
        <v>3651</v>
      </c>
      <c r="E4056" s="3"/>
    </row>
    <row r="4057" spans="1:5" ht="24.75" customHeight="1">
      <c r="A4057" s="2">
        <v>4055</v>
      </c>
      <c r="B4057" s="2" t="str">
        <f>"张子专"</f>
        <v>张子专</v>
      </c>
      <c r="C4057" s="2" t="s">
        <v>3647</v>
      </c>
      <c r="D4057" s="2" t="s">
        <v>3479</v>
      </c>
      <c r="E4057" s="3"/>
    </row>
    <row r="4058" spans="1:5" ht="24.75" customHeight="1">
      <c r="A4058" s="2">
        <v>4056</v>
      </c>
      <c r="B4058" s="2" t="str">
        <f>"张万进"</f>
        <v>张万进</v>
      </c>
      <c r="C4058" s="2" t="s">
        <v>3647</v>
      </c>
      <c r="D4058" s="2" t="s">
        <v>2247</v>
      </c>
      <c r="E4058" s="3"/>
    </row>
    <row r="4059" spans="1:5" ht="24.75" customHeight="1">
      <c r="A4059" s="2">
        <v>4057</v>
      </c>
      <c r="B4059" s="2" t="str">
        <f>"何健"</f>
        <v>何健</v>
      </c>
      <c r="C4059" s="2" t="s">
        <v>3647</v>
      </c>
      <c r="D4059" s="2" t="s">
        <v>1538</v>
      </c>
      <c r="E4059" s="3"/>
    </row>
    <row r="4060" spans="1:5" ht="24.75" customHeight="1">
      <c r="A4060" s="2">
        <v>4058</v>
      </c>
      <c r="B4060" s="2" t="str">
        <f>"李佳珍"</f>
        <v>李佳珍</v>
      </c>
      <c r="C4060" s="2" t="s">
        <v>3647</v>
      </c>
      <c r="D4060" s="2" t="s">
        <v>293</v>
      </c>
      <c r="E4060" s="3"/>
    </row>
    <row r="4061" spans="1:5" ht="24.75" customHeight="1">
      <c r="A4061" s="2">
        <v>4059</v>
      </c>
      <c r="B4061" s="2" t="str">
        <f>"梁其俊"</f>
        <v>梁其俊</v>
      </c>
      <c r="C4061" s="2" t="s">
        <v>3647</v>
      </c>
      <c r="D4061" s="2" t="s">
        <v>3652</v>
      </c>
      <c r="E4061" s="3"/>
    </row>
    <row r="4062" spans="1:5" ht="24.75" customHeight="1">
      <c r="A4062" s="2">
        <v>4060</v>
      </c>
      <c r="B4062" s="2" t="str">
        <f>"刘传栋"</f>
        <v>刘传栋</v>
      </c>
      <c r="C4062" s="2" t="s">
        <v>3647</v>
      </c>
      <c r="D4062" s="2" t="s">
        <v>3653</v>
      </c>
      <c r="E4062" s="3"/>
    </row>
    <row r="4063" spans="1:5" ht="24.75" customHeight="1">
      <c r="A4063" s="2">
        <v>4061</v>
      </c>
      <c r="B4063" s="2" t="str">
        <f>"王永达"</f>
        <v>王永达</v>
      </c>
      <c r="C4063" s="2" t="s">
        <v>3647</v>
      </c>
      <c r="D4063" s="2" t="s">
        <v>3654</v>
      </c>
      <c r="E4063" s="3"/>
    </row>
    <row r="4064" spans="1:5" ht="24.75" customHeight="1">
      <c r="A4064" s="2">
        <v>4062</v>
      </c>
      <c r="B4064" s="2" t="str">
        <f>"林晓萍"</f>
        <v>林晓萍</v>
      </c>
      <c r="C4064" s="2" t="s">
        <v>3655</v>
      </c>
      <c r="D4064" s="2" t="s">
        <v>3656</v>
      </c>
      <c r="E4064" s="3"/>
    </row>
    <row r="4065" spans="1:5" ht="24.75" customHeight="1">
      <c r="A4065" s="2">
        <v>4063</v>
      </c>
      <c r="B4065" s="2" t="str">
        <f>"李祥厚"</f>
        <v>李祥厚</v>
      </c>
      <c r="C4065" s="2" t="s">
        <v>3655</v>
      </c>
      <c r="D4065" s="2" t="s">
        <v>3657</v>
      </c>
      <c r="E4065" s="3"/>
    </row>
    <row r="4066" spans="1:5" ht="24.75" customHeight="1">
      <c r="A4066" s="2">
        <v>4064</v>
      </c>
      <c r="B4066" s="2" t="str">
        <f>"陈浩"</f>
        <v>陈浩</v>
      </c>
      <c r="C4066" s="2" t="s">
        <v>3655</v>
      </c>
      <c r="D4066" s="2" t="s">
        <v>3658</v>
      </c>
      <c r="E4066" s="3"/>
    </row>
    <row r="4067" spans="1:5" ht="24.75" customHeight="1">
      <c r="A4067" s="2">
        <v>4065</v>
      </c>
      <c r="B4067" s="2" t="str">
        <f>"刘璇"</f>
        <v>刘璇</v>
      </c>
      <c r="C4067" s="2" t="s">
        <v>3655</v>
      </c>
      <c r="D4067" s="2" t="s">
        <v>3659</v>
      </c>
      <c r="E4067" s="3"/>
    </row>
    <row r="4068" spans="1:5" ht="24.75" customHeight="1">
      <c r="A4068" s="2">
        <v>4066</v>
      </c>
      <c r="B4068" s="2" t="str">
        <f>"许健"</f>
        <v>许健</v>
      </c>
      <c r="C4068" s="2" t="s">
        <v>3655</v>
      </c>
      <c r="D4068" s="2" t="s">
        <v>3660</v>
      </c>
      <c r="E4068" s="3"/>
    </row>
    <row r="4069" spans="1:5" ht="24.75" customHeight="1">
      <c r="A4069" s="2">
        <v>4067</v>
      </c>
      <c r="B4069" s="2" t="str">
        <f>"陈佳美"</f>
        <v>陈佳美</v>
      </c>
      <c r="C4069" s="2" t="s">
        <v>3655</v>
      </c>
      <c r="D4069" s="2" t="s">
        <v>891</v>
      </c>
      <c r="E4069" s="3"/>
    </row>
    <row r="4070" spans="1:5" ht="24.75" customHeight="1">
      <c r="A4070" s="2">
        <v>4068</v>
      </c>
      <c r="B4070" s="2" t="str">
        <f>"李娜"</f>
        <v>李娜</v>
      </c>
      <c r="C4070" s="2" t="s">
        <v>3655</v>
      </c>
      <c r="D4070" s="2" t="s">
        <v>3661</v>
      </c>
      <c r="E4070" s="3"/>
    </row>
    <row r="4071" spans="1:5" ht="24.75" customHeight="1">
      <c r="A4071" s="2">
        <v>4069</v>
      </c>
      <c r="B4071" s="2" t="str">
        <f>"符博霞"</f>
        <v>符博霞</v>
      </c>
      <c r="C4071" s="2" t="s">
        <v>3655</v>
      </c>
      <c r="D4071" s="2" t="s">
        <v>3662</v>
      </c>
      <c r="E4071" s="3"/>
    </row>
    <row r="4072" spans="1:5" ht="24.75" customHeight="1">
      <c r="A4072" s="2">
        <v>4070</v>
      </c>
      <c r="B4072" s="2" t="str">
        <f>"王娟"</f>
        <v>王娟</v>
      </c>
      <c r="C4072" s="2" t="s">
        <v>3655</v>
      </c>
      <c r="D4072" s="2" t="s">
        <v>3663</v>
      </c>
      <c r="E4072" s="3"/>
    </row>
    <row r="4073" spans="1:5" ht="24.75" customHeight="1">
      <c r="A4073" s="2">
        <v>4071</v>
      </c>
      <c r="B4073" s="2" t="str">
        <f>"李颖"</f>
        <v>李颖</v>
      </c>
      <c r="C4073" s="2" t="s">
        <v>3655</v>
      </c>
      <c r="D4073" s="2" t="s">
        <v>3664</v>
      </c>
      <c r="E4073" s="3"/>
    </row>
    <row r="4074" spans="1:5" ht="24.75" customHeight="1">
      <c r="A4074" s="2">
        <v>4072</v>
      </c>
      <c r="B4074" s="2" t="str">
        <f>"邱小暖"</f>
        <v>邱小暖</v>
      </c>
      <c r="C4074" s="2" t="s">
        <v>3655</v>
      </c>
      <c r="D4074" s="2" t="s">
        <v>3665</v>
      </c>
      <c r="E4074" s="3"/>
    </row>
    <row r="4075" spans="1:5" ht="24.75" customHeight="1">
      <c r="A4075" s="2">
        <v>4073</v>
      </c>
      <c r="B4075" s="2" t="str">
        <f>"翁晓娟"</f>
        <v>翁晓娟</v>
      </c>
      <c r="C4075" s="2" t="s">
        <v>3655</v>
      </c>
      <c r="D4075" s="2" t="s">
        <v>529</v>
      </c>
      <c r="E4075" s="3"/>
    </row>
    <row r="4076" spans="1:5" ht="24.75" customHeight="1">
      <c r="A4076" s="2">
        <v>4074</v>
      </c>
      <c r="B4076" s="2" t="str">
        <f>"王树奇"</f>
        <v>王树奇</v>
      </c>
      <c r="C4076" s="2" t="s">
        <v>3655</v>
      </c>
      <c r="D4076" s="2" t="s">
        <v>3666</v>
      </c>
      <c r="E4076" s="3"/>
    </row>
    <row r="4077" spans="1:5" ht="24.75" customHeight="1">
      <c r="A4077" s="2">
        <v>4075</v>
      </c>
      <c r="B4077" s="2" t="str">
        <f>"郭旭贤"</f>
        <v>郭旭贤</v>
      </c>
      <c r="C4077" s="2" t="s">
        <v>3655</v>
      </c>
      <c r="D4077" s="2" t="s">
        <v>3667</v>
      </c>
      <c r="E4077" s="3"/>
    </row>
    <row r="4078" spans="1:5" ht="24.75" customHeight="1">
      <c r="A4078" s="2">
        <v>4076</v>
      </c>
      <c r="B4078" s="2" t="str">
        <f>"罗红莹"</f>
        <v>罗红莹</v>
      </c>
      <c r="C4078" s="2" t="s">
        <v>3655</v>
      </c>
      <c r="D4078" s="2" t="s">
        <v>3668</v>
      </c>
      <c r="E4078" s="3"/>
    </row>
    <row r="4079" spans="1:5" ht="24.75" customHeight="1">
      <c r="A4079" s="2">
        <v>4077</v>
      </c>
      <c r="B4079" s="2" t="str">
        <f>"邱新甜"</f>
        <v>邱新甜</v>
      </c>
      <c r="C4079" s="2" t="s">
        <v>3655</v>
      </c>
      <c r="D4079" s="2" t="s">
        <v>7</v>
      </c>
      <c r="E4079" s="3"/>
    </row>
    <row r="4080" spans="1:5" ht="24.75" customHeight="1">
      <c r="A4080" s="2">
        <v>4078</v>
      </c>
      <c r="B4080" s="2" t="str">
        <f>"李梦君"</f>
        <v>李梦君</v>
      </c>
      <c r="C4080" s="2" t="s">
        <v>3655</v>
      </c>
      <c r="D4080" s="2" t="s">
        <v>36</v>
      </c>
      <c r="E4080" s="3"/>
    </row>
    <row r="4081" spans="1:5" ht="24.75" customHeight="1">
      <c r="A4081" s="2">
        <v>4079</v>
      </c>
      <c r="B4081" s="2" t="str">
        <f>"杨全鸿"</f>
        <v>杨全鸿</v>
      </c>
      <c r="C4081" s="2" t="s">
        <v>3655</v>
      </c>
      <c r="D4081" s="2" t="s">
        <v>3669</v>
      </c>
      <c r="E4081" s="3"/>
    </row>
    <row r="4082" spans="1:5" ht="24.75" customHeight="1">
      <c r="A4082" s="2">
        <v>4080</v>
      </c>
      <c r="B4082" s="2" t="str">
        <f>"王海澜"</f>
        <v>王海澜</v>
      </c>
      <c r="C4082" s="2" t="s">
        <v>3655</v>
      </c>
      <c r="D4082" s="2" t="s">
        <v>3288</v>
      </c>
      <c r="E4082" s="3"/>
    </row>
    <row r="4083" spans="1:5" ht="24.75" customHeight="1">
      <c r="A4083" s="2">
        <v>4081</v>
      </c>
      <c r="B4083" s="2" t="str">
        <f>"钟云"</f>
        <v>钟云</v>
      </c>
      <c r="C4083" s="2" t="s">
        <v>3655</v>
      </c>
      <c r="D4083" s="2" t="s">
        <v>3057</v>
      </c>
      <c r="E4083" s="3"/>
    </row>
    <row r="4084" spans="1:5" ht="24.75" customHeight="1">
      <c r="A4084" s="2">
        <v>4082</v>
      </c>
      <c r="B4084" s="2" t="str">
        <f>"齐凌冰"</f>
        <v>齐凌冰</v>
      </c>
      <c r="C4084" s="2" t="s">
        <v>3655</v>
      </c>
      <c r="D4084" s="2" t="s">
        <v>3670</v>
      </c>
      <c r="E4084" s="3"/>
    </row>
    <row r="4085" spans="1:5" ht="24.75" customHeight="1">
      <c r="A4085" s="2">
        <v>4083</v>
      </c>
      <c r="B4085" s="2" t="str">
        <f>"唐慧慧"</f>
        <v>唐慧慧</v>
      </c>
      <c r="C4085" s="2" t="s">
        <v>3655</v>
      </c>
      <c r="D4085" s="2" t="s">
        <v>2517</v>
      </c>
      <c r="E4085" s="3"/>
    </row>
    <row r="4086" spans="1:5" ht="24.75" customHeight="1">
      <c r="A4086" s="2">
        <v>4084</v>
      </c>
      <c r="B4086" s="2" t="str">
        <f>"符春霞"</f>
        <v>符春霞</v>
      </c>
      <c r="C4086" s="2" t="s">
        <v>3655</v>
      </c>
      <c r="D4086" s="2" t="s">
        <v>3671</v>
      </c>
      <c r="E4086" s="3"/>
    </row>
    <row r="4087" spans="1:5" ht="24.75" customHeight="1">
      <c r="A4087" s="2">
        <v>4085</v>
      </c>
      <c r="B4087" s="2" t="str">
        <f>"谢恩"</f>
        <v>谢恩</v>
      </c>
      <c r="C4087" s="2" t="s">
        <v>3655</v>
      </c>
      <c r="D4087" s="2" t="s">
        <v>3672</v>
      </c>
      <c r="E4087" s="3"/>
    </row>
    <row r="4088" spans="1:5" ht="24.75" customHeight="1">
      <c r="A4088" s="2">
        <v>4086</v>
      </c>
      <c r="B4088" s="2" t="str">
        <f>"李纪阳"</f>
        <v>李纪阳</v>
      </c>
      <c r="C4088" s="2" t="s">
        <v>3655</v>
      </c>
      <c r="D4088" s="2" t="s">
        <v>3673</v>
      </c>
      <c r="E4088" s="3"/>
    </row>
    <row r="4089" spans="1:5" ht="24.75" customHeight="1">
      <c r="A4089" s="2">
        <v>4087</v>
      </c>
      <c r="B4089" s="2" t="str">
        <f>"韩东东"</f>
        <v>韩东东</v>
      </c>
      <c r="C4089" s="2" t="s">
        <v>3655</v>
      </c>
      <c r="D4089" s="2" t="s">
        <v>3674</v>
      </c>
      <c r="E4089" s="3"/>
    </row>
    <row r="4090" spans="1:5" ht="24.75" customHeight="1">
      <c r="A4090" s="2">
        <v>4088</v>
      </c>
      <c r="B4090" s="2" t="str">
        <f>"韩莉"</f>
        <v>韩莉</v>
      </c>
      <c r="C4090" s="2" t="s">
        <v>3655</v>
      </c>
      <c r="D4090" s="2" t="s">
        <v>3675</v>
      </c>
      <c r="E4090" s="3"/>
    </row>
    <row r="4091" spans="1:5" ht="24.75" customHeight="1">
      <c r="A4091" s="2">
        <v>4089</v>
      </c>
      <c r="B4091" s="2" t="str">
        <f>"李恒锋"</f>
        <v>李恒锋</v>
      </c>
      <c r="C4091" s="2" t="s">
        <v>3655</v>
      </c>
      <c r="D4091" s="2" t="s">
        <v>3676</v>
      </c>
      <c r="E4091" s="3"/>
    </row>
    <row r="4092" spans="1:5" ht="24.75" customHeight="1">
      <c r="A4092" s="2">
        <v>4090</v>
      </c>
      <c r="B4092" s="2" t="str">
        <f>"刘小娟"</f>
        <v>刘小娟</v>
      </c>
      <c r="C4092" s="2" t="s">
        <v>3655</v>
      </c>
      <c r="D4092" s="2" t="s">
        <v>3677</v>
      </c>
      <c r="E4092" s="3"/>
    </row>
    <row r="4093" spans="1:5" ht="24.75" customHeight="1">
      <c r="A4093" s="2">
        <v>4091</v>
      </c>
      <c r="B4093" s="2" t="str">
        <f>"黄云清"</f>
        <v>黄云清</v>
      </c>
      <c r="C4093" s="2" t="s">
        <v>3655</v>
      </c>
      <c r="D4093" s="2" t="s">
        <v>3678</v>
      </c>
      <c r="E4093" s="3"/>
    </row>
    <row r="4094" spans="1:5" ht="24.75" customHeight="1">
      <c r="A4094" s="2">
        <v>4092</v>
      </c>
      <c r="B4094" s="2" t="str">
        <f>"黄彩云"</f>
        <v>黄彩云</v>
      </c>
      <c r="C4094" s="2" t="s">
        <v>3655</v>
      </c>
      <c r="D4094" s="2" t="s">
        <v>79</v>
      </c>
      <c r="E4094" s="3"/>
    </row>
    <row r="4095" spans="1:5" ht="24.75" customHeight="1">
      <c r="A4095" s="2">
        <v>4093</v>
      </c>
      <c r="B4095" s="2" t="str">
        <f>"吴桂玲"</f>
        <v>吴桂玲</v>
      </c>
      <c r="C4095" s="2" t="s">
        <v>3655</v>
      </c>
      <c r="D4095" s="2" t="s">
        <v>1167</v>
      </c>
      <c r="E4095" s="3"/>
    </row>
    <row r="4096" spans="1:5" ht="24.75" customHeight="1">
      <c r="A4096" s="2">
        <v>4094</v>
      </c>
      <c r="B4096" s="2" t="str">
        <f>"王清香"</f>
        <v>王清香</v>
      </c>
      <c r="C4096" s="2" t="s">
        <v>3655</v>
      </c>
      <c r="D4096" s="2" t="s">
        <v>3679</v>
      </c>
      <c r="E4096" s="3"/>
    </row>
    <row r="4097" spans="1:5" ht="24.75" customHeight="1">
      <c r="A4097" s="2">
        <v>4095</v>
      </c>
      <c r="B4097" s="2" t="str">
        <f>"李家亲"</f>
        <v>李家亲</v>
      </c>
      <c r="C4097" s="2" t="s">
        <v>3655</v>
      </c>
      <c r="D4097" s="2" t="s">
        <v>3569</v>
      </c>
      <c r="E4097" s="3"/>
    </row>
    <row r="4098" spans="1:5" ht="24.75" customHeight="1">
      <c r="A4098" s="2">
        <v>4096</v>
      </c>
      <c r="B4098" s="2" t="str">
        <f>"金兆芹"</f>
        <v>金兆芹</v>
      </c>
      <c r="C4098" s="2" t="s">
        <v>3655</v>
      </c>
      <c r="D4098" s="2" t="s">
        <v>3680</v>
      </c>
      <c r="E4098" s="3"/>
    </row>
    <row r="4099" spans="1:5" ht="24.75" customHeight="1">
      <c r="A4099" s="2">
        <v>4097</v>
      </c>
      <c r="B4099" s="2" t="str">
        <f>"王洁玉"</f>
        <v>王洁玉</v>
      </c>
      <c r="C4099" s="2" t="s">
        <v>3655</v>
      </c>
      <c r="D4099" s="2" t="s">
        <v>3681</v>
      </c>
      <c r="E4099" s="3"/>
    </row>
    <row r="4100" spans="1:5" ht="24.75" customHeight="1">
      <c r="A4100" s="2">
        <v>4098</v>
      </c>
      <c r="B4100" s="2" t="str">
        <f>"王艺霖"</f>
        <v>王艺霖</v>
      </c>
      <c r="C4100" s="2" t="s">
        <v>3655</v>
      </c>
      <c r="D4100" s="2" t="s">
        <v>3682</v>
      </c>
      <c r="E4100" s="3"/>
    </row>
    <row r="4101" spans="1:5" ht="24.75" customHeight="1">
      <c r="A4101" s="2">
        <v>4099</v>
      </c>
      <c r="B4101" s="2" t="str">
        <f>"陈美琼"</f>
        <v>陈美琼</v>
      </c>
      <c r="C4101" s="2" t="s">
        <v>3655</v>
      </c>
      <c r="D4101" s="2" t="s">
        <v>3683</v>
      </c>
      <c r="E4101" s="3"/>
    </row>
    <row r="4102" spans="1:5" ht="24.75" customHeight="1">
      <c r="A4102" s="2">
        <v>4100</v>
      </c>
      <c r="B4102" s="2" t="str">
        <f>"李月秋"</f>
        <v>李月秋</v>
      </c>
      <c r="C4102" s="2" t="s">
        <v>3655</v>
      </c>
      <c r="D4102" s="2" t="s">
        <v>21</v>
      </c>
      <c r="E4102" s="3"/>
    </row>
    <row r="4103" spans="1:5" ht="24.75" customHeight="1">
      <c r="A4103" s="2">
        <v>4101</v>
      </c>
      <c r="B4103" s="2" t="str">
        <f>"李春燕"</f>
        <v>李春燕</v>
      </c>
      <c r="C4103" s="2" t="s">
        <v>3655</v>
      </c>
      <c r="D4103" s="2" t="s">
        <v>3684</v>
      </c>
      <c r="E4103" s="3"/>
    </row>
    <row r="4104" spans="1:5" ht="24.75" customHeight="1">
      <c r="A4104" s="2">
        <v>4102</v>
      </c>
      <c r="B4104" s="2" t="str">
        <f>"李美昌"</f>
        <v>李美昌</v>
      </c>
      <c r="C4104" s="2" t="s">
        <v>3655</v>
      </c>
      <c r="D4104" s="2" t="s">
        <v>3685</v>
      </c>
      <c r="E4104" s="3"/>
    </row>
    <row r="4105" spans="1:5" ht="24.75" customHeight="1">
      <c r="A4105" s="2">
        <v>4103</v>
      </c>
      <c r="B4105" s="2" t="str">
        <f>"傅颂文"</f>
        <v>傅颂文</v>
      </c>
      <c r="C4105" s="2" t="s">
        <v>3655</v>
      </c>
      <c r="D4105" s="2" t="s">
        <v>3686</v>
      </c>
      <c r="E4105" s="3"/>
    </row>
    <row r="4106" spans="1:5" ht="24.75" customHeight="1">
      <c r="A4106" s="2">
        <v>4104</v>
      </c>
      <c r="B4106" s="2" t="str">
        <f>"王东晨"</f>
        <v>王东晨</v>
      </c>
      <c r="C4106" s="2" t="s">
        <v>3655</v>
      </c>
      <c r="D4106" s="2" t="s">
        <v>3687</v>
      </c>
      <c r="E4106" s="3"/>
    </row>
    <row r="4107" spans="1:5" ht="24.75" customHeight="1">
      <c r="A4107" s="2">
        <v>4105</v>
      </c>
      <c r="B4107" s="2" t="str">
        <f>"吴体海"</f>
        <v>吴体海</v>
      </c>
      <c r="C4107" s="2" t="s">
        <v>3655</v>
      </c>
      <c r="D4107" s="2" t="s">
        <v>3688</v>
      </c>
      <c r="E4107" s="3"/>
    </row>
    <row r="4108" spans="1:5" ht="24.75" customHeight="1">
      <c r="A4108" s="2">
        <v>4106</v>
      </c>
      <c r="B4108" s="2" t="str">
        <f>"陈丽丽"</f>
        <v>陈丽丽</v>
      </c>
      <c r="C4108" s="2" t="s">
        <v>3655</v>
      </c>
      <c r="D4108" s="2" t="s">
        <v>3689</v>
      </c>
      <c r="E4108" s="3"/>
    </row>
    <row r="4109" spans="1:5" ht="24.75" customHeight="1">
      <c r="A4109" s="2">
        <v>4107</v>
      </c>
      <c r="B4109" s="2" t="str">
        <f>"符芯艳"</f>
        <v>符芯艳</v>
      </c>
      <c r="C4109" s="2" t="s">
        <v>3655</v>
      </c>
      <c r="D4109" s="2" t="s">
        <v>3690</v>
      </c>
      <c r="E4109" s="3"/>
    </row>
    <row r="4110" spans="1:5" ht="24.75" customHeight="1">
      <c r="A4110" s="2">
        <v>4108</v>
      </c>
      <c r="B4110" s="2" t="str">
        <f>"符蓉蓉"</f>
        <v>符蓉蓉</v>
      </c>
      <c r="C4110" s="2" t="s">
        <v>3655</v>
      </c>
      <c r="D4110" s="2" t="s">
        <v>3691</v>
      </c>
      <c r="E4110" s="3"/>
    </row>
    <row r="4111" spans="1:5" ht="24.75" customHeight="1">
      <c r="A4111" s="2">
        <v>4109</v>
      </c>
      <c r="B4111" s="2" t="str">
        <f>"谢杏楼"</f>
        <v>谢杏楼</v>
      </c>
      <c r="C4111" s="2" t="s">
        <v>3655</v>
      </c>
      <c r="D4111" s="2" t="s">
        <v>3692</v>
      </c>
      <c r="E4111" s="3"/>
    </row>
    <row r="4112" spans="1:5" ht="24.75" customHeight="1">
      <c r="A4112" s="2">
        <v>4110</v>
      </c>
      <c r="B4112" s="2" t="str">
        <f>"符秀玲"</f>
        <v>符秀玲</v>
      </c>
      <c r="C4112" s="2" t="s">
        <v>3655</v>
      </c>
      <c r="D4112" s="2" t="s">
        <v>351</v>
      </c>
      <c r="E4112" s="3"/>
    </row>
    <row r="4113" spans="1:5" ht="24.75" customHeight="1">
      <c r="A4113" s="2">
        <v>4111</v>
      </c>
      <c r="B4113" s="2" t="str">
        <f>"陈小慧"</f>
        <v>陈小慧</v>
      </c>
      <c r="C4113" s="2" t="s">
        <v>3655</v>
      </c>
      <c r="D4113" s="2" t="s">
        <v>3693</v>
      </c>
      <c r="E4113" s="3"/>
    </row>
    <row r="4114" spans="1:5" ht="24.75" customHeight="1">
      <c r="A4114" s="2">
        <v>4112</v>
      </c>
      <c r="B4114" s="2" t="str">
        <f>"朱琳"</f>
        <v>朱琳</v>
      </c>
      <c r="C4114" s="2" t="s">
        <v>3655</v>
      </c>
      <c r="D4114" s="2" t="s">
        <v>3694</v>
      </c>
      <c r="E4114" s="3"/>
    </row>
    <row r="4115" spans="1:5" ht="24.75" customHeight="1">
      <c r="A4115" s="2">
        <v>4113</v>
      </c>
      <c r="B4115" s="2" t="str">
        <f>"唐小怡"</f>
        <v>唐小怡</v>
      </c>
      <c r="C4115" s="2" t="s">
        <v>3655</v>
      </c>
      <c r="D4115" s="2" t="s">
        <v>3695</v>
      </c>
      <c r="E4115" s="3"/>
    </row>
    <row r="4116" spans="1:5" ht="24.75" customHeight="1">
      <c r="A4116" s="2">
        <v>4114</v>
      </c>
      <c r="B4116" s="2" t="str">
        <f>"黄志鸿"</f>
        <v>黄志鸿</v>
      </c>
      <c r="C4116" s="2" t="s">
        <v>3655</v>
      </c>
      <c r="D4116" s="2" t="s">
        <v>1560</v>
      </c>
      <c r="E4116" s="3"/>
    </row>
    <row r="4117" spans="1:5" ht="24.75" customHeight="1">
      <c r="A4117" s="2">
        <v>4115</v>
      </c>
      <c r="B4117" s="2" t="str">
        <f>"林诗苑"</f>
        <v>林诗苑</v>
      </c>
      <c r="C4117" s="2" t="s">
        <v>3655</v>
      </c>
      <c r="D4117" s="2" t="s">
        <v>3696</v>
      </c>
      <c r="E4117" s="3"/>
    </row>
    <row r="4118" spans="1:5" ht="24.75" customHeight="1">
      <c r="A4118" s="2">
        <v>4116</v>
      </c>
      <c r="B4118" s="2" t="str">
        <f>"王顺灵"</f>
        <v>王顺灵</v>
      </c>
      <c r="C4118" s="2" t="s">
        <v>3655</v>
      </c>
      <c r="D4118" s="2" t="s">
        <v>3697</v>
      </c>
      <c r="E4118" s="3"/>
    </row>
    <row r="4119" spans="1:5" ht="24.75" customHeight="1">
      <c r="A4119" s="2">
        <v>4117</v>
      </c>
      <c r="B4119" s="2" t="str">
        <f>"王晓珠"</f>
        <v>王晓珠</v>
      </c>
      <c r="C4119" s="2" t="s">
        <v>3655</v>
      </c>
      <c r="D4119" s="2" t="s">
        <v>3698</v>
      </c>
      <c r="E4119" s="3"/>
    </row>
    <row r="4120" spans="1:5" ht="24.75" customHeight="1">
      <c r="A4120" s="2">
        <v>4118</v>
      </c>
      <c r="B4120" s="2" t="str">
        <f>"符蓉"</f>
        <v>符蓉</v>
      </c>
      <c r="C4120" s="2" t="s">
        <v>3655</v>
      </c>
      <c r="D4120" s="2" t="s">
        <v>3656</v>
      </c>
      <c r="E4120" s="3"/>
    </row>
    <row r="4121" spans="1:5" ht="24.75" customHeight="1">
      <c r="A4121" s="2">
        <v>4119</v>
      </c>
      <c r="B4121" s="2" t="str">
        <f>"王梅琳"</f>
        <v>王梅琳</v>
      </c>
      <c r="C4121" s="2" t="s">
        <v>3655</v>
      </c>
      <c r="D4121" s="2" t="s">
        <v>3699</v>
      </c>
      <c r="E4121" s="3"/>
    </row>
    <row r="4122" spans="1:5" ht="24.75" customHeight="1">
      <c r="A4122" s="2">
        <v>4120</v>
      </c>
      <c r="B4122" s="2" t="str">
        <f>"付芊锟"</f>
        <v>付芊锟</v>
      </c>
      <c r="C4122" s="2" t="s">
        <v>3655</v>
      </c>
      <c r="D4122" s="2" t="s">
        <v>3700</v>
      </c>
      <c r="E4122" s="3"/>
    </row>
    <row r="4123" spans="1:5" ht="24.75" customHeight="1">
      <c r="A4123" s="2">
        <v>4121</v>
      </c>
      <c r="B4123" s="2" t="str">
        <f>"郑紫叶"</f>
        <v>郑紫叶</v>
      </c>
      <c r="C4123" s="2" t="s">
        <v>3655</v>
      </c>
      <c r="D4123" s="2" t="s">
        <v>3701</v>
      </c>
      <c r="E4123" s="3"/>
    </row>
    <row r="4124" spans="1:5" ht="24.75" customHeight="1">
      <c r="A4124" s="2">
        <v>4122</v>
      </c>
      <c r="B4124" s="2" t="str">
        <f>"符加方"</f>
        <v>符加方</v>
      </c>
      <c r="C4124" s="2" t="s">
        <v>3655</v>
      </c>
      <c r="D4124" s="2" t="s">
        <v>3702</v>
      </c>
      <c r="E4124" s="3"/>
    </row>
    <row r="4125" spans="1:5" ht="24.75" customHeight="1">
      <c r="A4125" s="2">
        <v>4123</v>
      </c>
      <c r="B4125" s="2" t="str">
        <f>"郭玉洁"</f>
        <v>郭玉洁</v>
      </c>
      <c r="C4125" s="2" t="s">
        <v>3655</v>
      </c>
      <c r="D4125" s="2" t="s">
        <v>3703</v>
      </c>
      <c r="E4125" s="3"/>
    </row>
    <row r="4126" spans="1:5" ht="24.75" customHeight="1">
      <c r="A4126" s="2">
        <v>4124</v>
      </c>
      <c r="B4126" s="2" t="str">
        <f>"漆文欣"</f>
        <v>漆文欣</v>
      </c>
      <c r="C4126" s="2" t="s">
        <v>3655</v>
      </c>
      <c r="D4126" s="2" t="s">
        <v>3704</v>
      </c>
      <c r="E4126" s="3"/>
    </row>
    <row r="4127" spans="1:5" ht="24.75" customHeight="1">
      <c r="A4127" s="2">
        <v>4125</v>
      </c>
      <c r="B4127" s="2" t="str">
        <f>"黄桦"</f>
        <v>黄桦</v>
      </c>
      <c r="C4127" s="2" t="s">
        <v>3655</v>
      </c>
      <c r="D4127" s="2" t="s">
        <v>3705</v>
      </c>
      <c r="E4127" s="3"/>
    </row>
    <row r="4128" spans="1:5" ht="24.75" customHeight="1">
      <c r="A4128" s="2">
        <v>4126</v>
      </c>
      <c r="B4128" s="2" t="str">
        <f>"于子贺"</f>
        <v>于子贺</v>
      </c>
      <c r="C4128" s="2" t="s">
        <v>3655</v>
      </c>
      <c r="D4128" s="2" t="s">
        <v>3706</v>
      </c>
      <c r="E4128" s="3"/>
    </row>
    <row r="4129" spans="1:5" ht="24.75" customHeight="1">
      <c r="A4129" s="2">
        <v>4127</v>
      </c>
      <c r="B4129" s="2" t="str">
        <f>"王李梅"</f>
        <v>王李梅</v>
      </c>
      <c r="C4129" s="2" t="s">
        <v>3655</v>
      </c>
      <c r="D4129" s="2" t="s">
        <v>3707</v>
      </c>
      <c r="E4129" s="3"/>
    </row>
    <row r="4130" spans="1:5" ht="24.75" customHeight="1">
      <c r="A4130" s="2">
        <v>4128</v>
      </c>
      <c r="B4130" s="2" t="str">
        <f>"王鹏"</f>
        <v>王鹏</v>
      </c>
      <c r="C4130" s="2" t="s">
        <v>3655</v>
      </c>
      <c r="D4130" s="2" t="s">
        <v>2255</v>
      </c>
      <c r="E4130" s="3"/>
    </row>
    <row r="4131" spans="1:5" ht="24.75" customHeight="1">
      <c r="A4131" s="2">
        <v>4129</v>
      </c>
      <c r="B4131" s="2" t="str">
        <f>"蒙巧凤"</f>
        <v>蒙巧凤</v>
      </c>
      <c r="C4131" s="2" t="s">
        <v>3655</v>
      </c>
      <c r="D4131" s="2" t="s">
        <v>3708</v>
      </c>
      <c r="E4131" s="3"/>
    </row>
    <row r="4132" spans="1:5" ht="24.75" customHeight="1">
      <c r="A4132" s="2">
        <v>4130</v>
      </c>
      <c r="B4132" s="2" t="str">
        <f>"符雪贝"</f>
        <v>符雪贝</v>
      </c>
      <c r="C4132" s="2" t="s">
        <v>3655</v>
      </c>
      <c r="D4132" s="2" t="s">
        <v>3709</v>
      </c>
      <c r="E4132" s="3"/>
    </row>
    <row r="4133" spans="1:5" ht="24.75" customHeight="1">
      <c r="A4133" s="2">
        <v>4131</v>
      </c>
      <c r="B4133" s="2" t="str">
        <f>"周彤"</f>
        <v>周彤</v>
      </c>
      <c r="C4133" s="2" t="s">
        <v>3655</v>
      </c>
      <c r="D4133" s="2" t="s">
        <v>3710</v>
      </c>
      <c r="E4133" s="3"/>
    </row>
    <row r="4134" spans="1:5" ht="24.75" customHeight="1">
      <c r="A4134" s="2">
        <v>4132</v>
      </c>
      <c r="B4134" s="2" t="str">
        <f>"吴瑛琪"</f>
        <v>吴瑛琪</v>
      </c>
      <c r="C4134" s="2" t="s">
        <v>3655</v>
      </c>
      <c r="D4134" s="2" t="s">
        <v>3711</v>
      </c>
      <c r="E4134" s="3"/>
    </row>
    <row r="4135" spans="1:5" ht="24.75" customHeight="1">
      <c r="A4135" s="2">
        <v>4133</v>
      </c>
      <c r="B4135" s="2" t="str">
        <f>"王杰"</f>
        <v>王杰</v>
      </c>
      <c r="C4135" s="2" t="s">
        <v>3655</v>
      </c>
      <c r="D4135" s="2" t="s">
        <v>3712</v>
      </c>
      <c r="E4135" s="3"/>
    </row>
    <row r="4136" spans="1:5" ht="24.75" customHeight="1">
      <c r="A4136" s="2">
        <v>4134</v>
      </c>
      <c r="B4136" s="2" t="str">
        <f>"王秀玲"</f>
        <v>王秀玲</v>
      </c>
      <c r="C4136" s="2" t="s">
        <v>3655</v>
      </c>
      <c r="D4136" s="2" t="s">
        <v>3713</v>
      </c>
      <c r="E4136" s="3"/>
    </row>
    <row r="4137" spans="1:5" ht="24.75" customHeight="1">
      <c r="A4137" s="2">
        <v>4135</v>
      </c>
      <c r="B4137" s="2" t="str">
        <f>"胥林爽"</f>
        <v>胥林爽</v>
      </c>
      <c r="C4137" s="2" t="s">
        <v>3655</v>
      </c>
      <c r="D4137" s="2" t="s">
        <v>3714</v>
      </c>
      <c r="E4137" s="3"/>
    </row>
    <row r="4138" spans="1:5" ht="24.75" customHeight="1">
      <c r="A4138" s="2">
        <v>4136</v>
      </c>
      <c r="B4138" s="2" t="str">
        <f>"邓小昌"</f>
        <v>邓小昌</v>
      </c>
      <c r="C4138" s="2" t="s">
        <v>3655</v>
      </c>
      <c r="D4138" s="2" t="s">
        <v>1520</v>
      </c>
      <c r="E4138" s="3"/>
    </row>
    <row r="4139" spans="1:5" ht="24.75" customHeight="1">
      <c r="A4139" s="2">
        <v>4137</v>
      </c>
      <c r="B4139" s="2" t="str">
        <f>"邓树娉"</f>
        <v>邓树娉</v>
      </c>
      <c r="C4139" s="2" t="s">
        <v>3655</v>
      </c>
      <c r="D4139" s="2" t="s">
        <v>3715</v>
      </c>
      <c r="E4139" s="3"/>
    </row>
    <row r="4140" spans="1:5" ht="24.75" customHeight="1">
      <c r="A4140" s="2">
        <v>4138</v>
      </c>
      <c r="B4140" s="2" t="str">
        <f>"韦传占"</f>
        <v>韦传占</v>
      </c>
      <c r="C4140" s="2" t="s">
        <v>3655</v>
      </c>
      <c r="D4140" s="2" t="s">
        <v>3716</v>
      </c>
      <c r="E4140" s="3"/>
    </row>
    <row r="4141" spans="1:5" ht="24.75" customHeight="1">
      <c r="A4141" s="2">
        <v>4139</v>
      </c>
      <c r="B4141" s="2" t="str">
        <f>"杨欣"</f>
        <v>杨欣</v>
      </c>
      <c r="C4141" s="2" t="s">
        <v>3655</v>
      </c>
      <c r="D4141" s="2" t="s">
        <v>3717</v>
      </c>
      <c r="E4141" s="3"/>
    </row>
    <row r="4142" spans="1:5" ht="24.75" customHeight="1">
      <c r="A4142" s="2">
        <v>4140</v>
      </c>
      <c r="B4142" s="2" t="str">
        <f>"邢丽婧"</f>
        <v>邢丽婧</v>
      </c>
      <c r="C4142" s="2" t="s">
        <v>3655</v>
      </c>
      <c r="D4142" s="2" t="s">
        <v>3718</v>
      </c>
      <c r="E4142" s="3"/>
    </row>
    <row r="4143" spans="1:5" ht="24.75" customHeight="1">
      <c r="A4143" s="2">
        <v>4141</v>
      </c>
      <c r="B4143" s="2" t="str">
        <f>"陈南安"</f>
        <v>陈南安</v>
      </c>
      <c r="C4143" s="2" t="s">
        <v>3655</v>
      </c>
      <c r="D4143" s="2" t="s">
        <v>3719</v>
      </c>
      <c r="E4143" s="3"/>
    </row>
    <row r="4144" spans="1:5" ht="24.75" customHeight="1">
      <c r="A4144" s="2">
        <v>4142</v>
      </c>
      <c r="B4144" s="2" t="str">
        <f>"陈焕阳"</f>
        <v>陈焕阳</v>
      </c>
      <c r="C4144" s="2" t="s">
        <v>3655</v>
      </c>
      <c r="D4144" s="2" t="s">
        <v>3720</v>
      </c>
      <c r="E4144" s="3"/>
    </row>
    <row r="4145" spans="1:5" ht="24.75" customHeight="1">
      <c r="A4145" s="2">
        <v>4143</v>
      </c>
      <c r="B4145" s="2" t="str">
        <f>"蔡洪宇"</f>
        <v>蔡洪宇</v>
      </c>
      <c r="C4145" s="2" t="s">
        <v>3655</v>
      </c>
      <c r="D4145" s="2" t="s">
        <v>3721</v>
      </c>
      <c r="E4145" s="3"/>
    </row>
    <row r="4146" spans="1:5" ht="24.75" customHeight="1">
      <c r="A4146" s="2">
        <v>4144</v>
      </c>
      <c r="B4146" s="2" t="str">
        <f>"于淼"</f>
        <v>于淼</v>
      </c>
      <c r="C4146" s="2" t="s">
        <v>3655</v>
      </c>
      <c r="D4146" s="2" t="s">
        <v>3722</v>
      </c>
      <c r="E4146" s="3"/>
    </row>
    <row r="4147" spans="1:5" ht="24.75" customHeight="1">
      <c r="A4147" s="2">
        <v>4145</v>
      </c>
      <c r="B4147" s="2" t="str">
        <f>"曾文园"</f>
        <v>曾文园</v>
      </c>
      <c r="C4147" s="2" t="s">
        <v>3655</v>
      </c>
      <c r="D4147" s="2" t="s">
        <v>3723</v>
      </c>
      <c r="E4147" s="3"/>
    </row>
    <row r="4148" spans="1:5" ht="24.75" customHeight="1">
      <c r="A4148" s="2">
        <v>4146</v>
      </c>
      <c r="B4148" s="2" t="str">
        <f>"苏应杰"</f>
        <v>苏应杰</v>
      </c>
      <c r="C4148" s="2" t="s">
        <v>3655</v>
      </c>
      <c r="D4148" s="2" t="s">
        <v>3724</v>
      </c>
      <c r="E4148" s="3"/>
    </row>
    <row r="4149" spans="1:5" ht="24.75" customHeight="1">
      <c r="A4149" s="2">
        <v>4147</v>
      </c>
      <c r="B4149" s="2" t="str">
        <f>"陈悦"</f>
        <v>陈悦</v>
      </c>
      <c r="C4149" s="2" t="s">
        <v>3655</v>
      </c>
      <c r="D4149" s="2" t="s">
        <v>3725</v>
      </c>
      <c r="E4149" s="3"/>
    </row>
    <row r="4150" spans="1:5" ht="24.75" customHeight="1">
      <c r="A4150" s="2">
        <v>4148</v>
      </c>
      <c r="B4150" s="2" t="str">
        <f>"林青岭"</f>
        <v>林青岭</v>
      </c>
      <c r="C4150" s="2" t="s">
        <v>3655</v>
      </c>
      <c r="D4150" s="2" t="s">
        <v>3726</v>
      </c>
      <c r="E4150" s="3"/>
    </row>
    <row r="4151" spans="1:5" ht="24.75" customHeight="1">
      <c r="A4151" s="2">
        <v>4149</v>
      </c>
      <c r="B4151" s="2" t="str">
        <f>"曾胤"</f>
        <v>曾胤</v>
      </c>
      <c r="C4151" s="2" t="s">
        <v>3655</v>
      </c>
      <c r="D4151" s="2" t="s">
        <v>3610</v>
      </c>
      <c r="E4151" s="3"/>
    </row>
    <row r="4152" spans="1:5" ht="24.75" customHeight="1">
      <c r="A4152" s="2">
        <v>4150</v>
      </c>
      <c r="B4152" s="2" t="str">
        <f>"符文荟"</f>
        <v>符文荟</v>
      </c>
      <c r="C4152" s="2" t="s">
        <v>3655</v>
      </c>
      <c r="D4152" s="2" t="s">
        <v>3727</v>
      </c>
      <c r="E4152" s="3"/>
    </row>
    <row r="4153" spans="1:5" ht="24.75" customHeight="1">
      <c r="A4153" s="2">
        <v>4151</v>
      </c>
      <c r="B4153" s="2" t="str">
        <f>"陈屯"</f>
        <v>陈屯</v>
      </c>
      <c r="C4153" s="2" t="s">
        <v>3655</v>
      </c>
      <c r="D4153" s="2" t="s">
        <v>3728</v>
      </c>
      <c r="E4153" s="3"/>
    </row>
    <row r="4154" spans="1:5" ht="24.75" customHeight="1">
      <c r="A4154" s="2">
        <v>4152</v>
      </c>
      <c r="B4154" s="2" t="str">
        <f>"林春"</f>
        <v>林春</v>
      </c>
      <c r="C4154" s="2" t="s">
        <v>3655</v>
      </c>
      <c r="D4154" s="2" t="s">
        <v>1335</v>
      </c>
      <c r="E4154" s="3"/>
    </row>
    <row r="4155" spans="1:5" ht="24.75" customHeight="1">
      <c r="A4155" s="2">
        <v>4153</v>
      </c>
      <c r="B4155" s="2" t="str">
        <f>"王思琦"</f>
        <v>王思琦</v>
      </c>
      <c r="C4155" s="2" t="s">
        <v>3655</v>
      </c>
      <c r="D4155" s="2" t="s">
        <v>3729</v>
      </c>
      <c r="E4155" s="3"/>
    </row>
    <row r="4156" spans="1:5" ht="24.75" customHeight="1">
      <c r="A4156" s="2">
        <v>4154</v>
      </c>
      <c r="B4156" s="2" t="str">
        <f>"纪诗诗"</f>
        <v>纪诗诗</v>
      </c>
      <c r="C4156" s="2" t="s">
        <v>3655</v>
      </c>
      <c r="D4156" s="2" t="s">
        <v>366</v>
      </c>
      <c r="E4156" s="3"/>
    </row>
    <row r="4157" spans="1:5" ht="24.75" customHeight="1">
      <c r="A4157" s="2">
        <v>4155</v>
      </c>
      <c r="B4157" s="2" t="str">
        <f>"罗嘉诚"</f>
        <v>罗嘉诚</v>
      </c>
      <c r="C4157" s="2" t="s">
        <v>3655</v>
      </c>
      <c r="D4157" s="2" t="s">
        <v>3730</v>
      </c>
      <c r="E4157" s="3"/>
    </row>
    <row r="4158" spans="1:5" ht="24.75" customHeight="1">
      <c r="A4158" s="2">
        <v>4156</v>
      </c>
      <c r="B4158" s="2" t="str">
        <f>"吴佩婷"</f>
        <v>吴佩婷</v>
      </c>
      <c r="C4158" s="2" t="s">
        <v>3655</v>
      </c>
      <c r="D4158" s="2" t="s">
        <v>1169</v>
      </c>
      <c r="E4158" s="3"/>
    </row>
    <row r="4159" spans="1:5" ht="24.75" customHeight="1">
      <c r="A4159" s="2">
        <v>4157</v>
      </c>
      <c r="B4159" s="2" t="str">
        <f>"符宠祝"</f>
        <v>符宠祝</v>
      </c>
      <c r="C4159" s="2" t="s">
        <v>3655</v>
      </c>
      <c r="D4159" s="2" t="s">
        <v>3731</v>
      </c>
      <c r="E4159" s="3"/>
    </row>
    <row r="4160" spans="1:5" ht="24.75" customHeight="1">
      <c r="A4160" s="2">
        <v>4158</v>
      </c>
      <c r="B4160" s="2" t="str">
        <f>"林娜"</f>
        <v>林娜</v>
      </c>
      <c r="C4160" s="2" t="s">
        <v>3655</v>
      </c>
      <c r="D4160" s="2" t="s">
        <v>3732</v>
      </c>
      <c r="E4160" s="3"/>
    </row>
    <row r="4161" spans="1:5" ht="24.75" customHeight="1">
      <c r="A4161" s="2">
        <v>4159</v>
      </c>
      <c r="B4161" s="2" t="str">
        <f>"李彦良"</f>
        <v>李彦良</v>
      </c>
      <c r="C4161" s="2" t="s">
        <v>3655</v>
      </c>
      <c r="D4161" s="2" t="s">
        <v>3733</v>
      </c>
      <c r="E4161" s="3"/>
    </row>
    <row r="4162" spans="1:5" ht="24.75" customHeight="1">
      <c r="A4162" s="2">
        <v>4160</v>
      </c>
      <c r="B4162" s="2" t="str">
        <f>"李莉梅"</f>
        <v>李莉梅</v>
      </c>
      <c r="C4162" s="2" t="s">
        <v>3655</v>
      </c>
      <c r="D4162" s="2" t="s">
        <v>3734</v>
      </c>
      <c r="E4162" s="3"/>
    </row>
    <row r="4163" spans="1:5" ht="24.75" customHeight="1">
      <c r="A4163" s="2">
        <v>4161</v>
      </c>
      <c r="B4163" s="2" t="str">
        <f>"林泳贝"</f>
        <v>林泳贝</v>
      </c>
      <c r="C4163" s="2" t="s">
        <v>3655</v>
      </c>
      <c r="D4163" s="2" t="s">
        <v>3735</v>
      </c>
      <c r="E4163" s="3"/>
    </row>
    <row r="4164" spans="1:5" ht="24.75" customHeight="1">
      <c r="A4164" s="2">
        <v>4162</v>
      </c>
      <c r="B4164" s="2" t="str">
        <f>"林丽霞"</f>
        <v>林丽霞</v>
      </c>
      <c r="C4164" s="2" t="s">
        <v>3655</v>
      </c>
      <c r="D4164" s="2" t="s">
        <v>3736</v>
      </c>
      <c r="E4164" s="3"/>
    </row>
    <row r="4165" spans="1:5" ht="24.75" customHeight="1">
      <c r="A4165" s="2">
        <v>4163</v>
      </c>
      <c r="B4165" s="2" t="str">
        <f>"王英杰"</f>
        <v>王英杰</v>
      </c>
      <c r="C4165" s="2" t="s">
        <v>3655</v>
      </c>
      <c r="D4165" s="2" t="s">
        <v>3737</v>
      </c>
      <c r="E4165" s="3"/>
    </row>
    <row r="4166" spans="1:5" ht="24.75" customHeight="1">
      <c r="A4166" s="2">
        <v>4164</v>
      </c>
      <c r="B4166" s="2" t="str">
        <f>"叶晓敏"</f>
        <v>叶晓敏</v>
      </c>
      <c r="C4166" s="2" t="s">
        <v>3655</v>
      </c>
      <c r="D4166" s="2" t="s">
        <v>3738</v>
      </c>
      <c r="E4166" s="3"/>
    </row>
    <row r="4167" spans="1:5" ht="24.75" customHeight="1">
      <c r="A4167" s="2">
        <v>4165</v>
      </c>
      <c r="B4167" s="2" t="str">
        <f>"卓世宏"</f>
        <v>卓世宏</v>
      </c>
      <c r="C4167" s="2" t="s">
        <v>3655</v>
      </c>
      <c r="D4167" s="2" t="s">
        <v>3739</v>
      </c>
      <c r="E4167" s="3"/>
    </row>
    <row r="4168" spans="1:5" ht="24.75" customHeight="1">
      <c r="A4168" s="2">
        <v>4166</v>
      </c>
      <c r="B4168" s="2" t="str">
        <f>"钟秋雁"</f>
        <v>钟秋雁</v>
      </c>
      <c r="C4168" s="2" t="s">
        <v>3655</v>
      </c>
      <c r="D4168" s="2" t="s">
        <v>3740</v>
      </c>
      <c r="E4168" s="3"/>
    </row>
    <row r="4169" spans="1:5" ht="24.75" customHeight="1">
      <c r="A4169" s="2">
        <v>4167</v>
      </c>
      <c r="B4169" s="2" t="str">
        <f>"王侨源"</f>
        <v>王侨源</v>
      </c>
      <c r="C4169" s="2" t="s">
        <v>3655</v>
      </c>
      <c r="D4169" s="2" t="s">
        <v>3741</v>
      </c>
      <c r="E4169" s="3"/>
    </row>
    <row r="4170" spans="1:5" ht="24.75" customHeight="1">
      <c r="A4170" s="2">
        <v>4168</v>
      </c>
      <c r="B4170" s="2" t="str">
        <f>"蔡秀珍"</f>
        <v>蔡秀珍</v>
      </c>
      <c r="C4170" s="2" t="s">
        <v>3655</v>
      </c>
      <c r="D4170" s="2" t="s">
        <v>3742</v>
      </c>
      <c r="E4170" s="3"/>
    </row>
    <row r="4171" spans="1:5" ht="24.75" customHeight="1">
      <c r="A4171" s="2">
        <v>4169</v>
      </c>
      <c r="B4171" s="2" t="str">
        <f>"秦娇嫩"</f>
        <v>秦娇嫩</v>
      </c>
      <c r="C4171" s="2" t="s">
        <v>3655</v>
      </c>
      <c r="D4171" s="2" t="s">
        <v>638</v>
      </c>
      <c r="E4171" s="3"/>
    </row>
    <row r="4172" spans="1:5" ht="24.75" customHeight="1">
      <c r="A4172" s="2">
        <v>4170</v>
      </c>
      <c r="B4172" s="2" t="str">
        <f>"李小晶"</f>
        <v>李小晶</v>
      </c>
      <c r="C4172" s="2" t="s">
        <v>3655</v>
      </c>
      <c r="D4172" s="2" t="s">
        <v>3743</v>
      </c>
      <c r="E4172" s="3"/>
    </row>
    <row r="4173" spans="1:5" ht="24.75" customHeight="1">
      <c r="A4173" s="2">
        <v>4171</v>
      </c>
      <c r="B4173" s="2" t="str">
        <f>"张怡峰"</f>
        <v>张怡峰</v>
      </c>
      <c r="C4173" s="2" t="s">
        <v>3655</v>
      </c>
      <c r="D4173" s="2" t="s">
        <v>3744</v>
      </c>
      <c r="E4173" s="3"/>
    </row>
    <row r="4174" spans="1:5" ht="24.75" customHeight="1">
      <c r="A4174" s="2">
        <v>4172</v>
      </c>
      <c r="B4174" s="2" t="str">
        <f>"钟君翰"</f>
        <v>钟君翰</v>
      </c>
      <c r="C4174" s="2" t="s">
        <v>3655</v>
      </c>
      <c r="D4174" s="2" t="s">
        <v>3745</v>
      </c>
      <c r="E4174" s="3"/>
    </row>
    <row r="4175" spans="1:5" ht="24.75" customHeight="1">
      <c r="A4175" s="2">
        <v>4173</v>
      </c>
      <c r="B4175" s="2" t="str">
        <f>"杨小爽"</f>
        <v>杨小爽</v>
      </c>
      <c r="C4175" s="2" t="s">
        <v>3746</v>
      </c>
      <c r="D4175" s="2" t="s">
        <v>3747</v>
      </c>
      <c r="E4175" s="3"/>
    </row>
    <row r="4176" spans="1:5" ht="24.75" customHeight="1">
      <c r="A4176" s="2">
        <v>4174</v>
      </c>
      <c r="B4176" s="2" t="str">
        <f>"陈志强"</f>
        <v>陈志强</v>
      </c>
      <c r="C4176" s="2" t="s">
        <v>3746</v>
      </c>
      <c r="D4176" s="2" t="s">
        <v>3748</v>
      </c>
      <c r="E4176" s="3"/>
    </row>
    <row r="4177" spans="1:5" ht="24.75" customHeight="1">
      <c r="A4177" s="2">
        <v>4175</v>
      </c>
      <c r="B4177" s="2" t="str">
        <f>"王德一"</f>
        <v>王德一</v>
      </c>
      <c r="C4177" s="2" t="s">
        <v>3746</v>
      </c>
      <c r="D4177" s="2" t="s">
        <v>3749</v>
      </c>
      <c r="E4177" s="3"/>
    </row>
    <row r="4178" spans="1:5" ht="24.75" customHeight="1">
      <c r="A4178" s="2">
        <v>4176</v>
      </c>
      <c r="B4178" s="2" t="str">
        <f>"陈学辉"</f>
        <v>陈学辉</v>
      </c>
      <c r="C4178" s="2" t="s">
        <v>3746</v>
      </c>
      <c r="D4178" s="2" t="s">
        <v>3750</v>
      </c>
      <c r="E4178" s="3"/>
    </row>
    <row r="4179" spans="1:5" ht="24.75" customHeight="1">
      <c r="A4179" s="2">
        <v>4177</v>
      </c>
      <c r="B4179" s="2" t="str">
        <f>"蒲欣悦"</f>
        <v>蒲欣悦</v>
      </c>
      <c r="C4179" s="2" t="s">
        <v>3746</v>
      </c>
      <c r="D4179" s="2" t="s">
        <v>3751</v>
      </c>
      <c r="E4179" s="3"/>
    </row>
    <row r="4180" spans="1:5" ht="24.75" customHeight="1">
      <c r="A4180" s="2">
        <v>4178</v>
      </c>
      <c r="B4180" s="2" t="str">
        <f>"李占皇"</f>
        <v>李占皇</v>
      </c>
      <c r="C4180" s="2" t="s">
        <v>3746</v>
      </c>
      <c r="D4180" s="2" t="s">
        <v>3752</v>
      </c>
      <c r="E4180" s="3"/>
    </row>
    <row r="4181" spans="1:5" ht="24.75" customHeight="1">
      <c r="A4181" s="2">
        <v>4179</v>
      </c>
      <c r="B4181" s="2" t="str">
        <f>"陈振锋"</f>
        <v>陈振锋</v>
      </c>
      <c r="C4181" s="2" t="s">
        <v>3746</v>
      </c>
      <c r="D4181" s="2" t="s">
        <v>3753</v>
      </c>
      <c r="E4181" s="3"/>
    </row>
    <row r="4182" spans="1:5" ht="24.75" customHeight="1">
      <c r="A4182" s="2">
        <v>4180</v>
      </c>
      <c r="B4182" s="2" t="str">
        <f>"蔡辉龙"</f>
        <v>蔡辉龙</v>
      </c>
      <c r="C4182" s="2" t="s">
        <v>3746</v>
      </c>
      <c r="D4182" s="2" t="s">
        <v>3754</v>
      </c>
      <c r="E4182" s="3"/>
    </row>
    <row r="4183" spans="1:5" ht="24.75" customHeight="1">
      <c r="A4183" s="2">
        <v>4181</v>
      </c>
      <c r="B4183" s="2" t="str">
        <f>"符浩"</f>
        <v>符浩</v>
      </c>
      <c r="C4183" s="2" t="s">
        <v>3746</v>
      </c>
      <c r="D4183" s="2" t="s">
        <v>3755</v>
      </c>
      <c r="E4183" s="3"/>
    </row>
    <row r="4184" spans="1:5" ht="24.75" customHeight="1">
      <c r="A4184" s="2">
        <v>4182</v>
      </c>
      <c r="B4184" s="2" t="str">
        <f>"王世祯"</f>
        <v>王世祯</v>
      </c>
      <c r="C4184" s="2" t="s">
        <v>3746</v>
      </c>
      <c r="D4184" s="2" t="s">
        <v>3756</v>
      </c>
      <c r="E4184" s="3"/>
    </row>
    <row r="4185" spans="1:5" ht="24.75" customHeight="1">
      <c r="A4185" s="2">
        <v>4183</v>
      </c>
      <c r="B4185" s="2" t="str">
        <f>"谭俊毅"</f>
        <v>谭俊毅</v>
      </c>
      <c r="C4185" s="2" t="s">
        <v>3746</v>
      </c>
      <c r="D4185" s="2" t="s">
        <v>3757</v>
      </c>
      <c r="E4185" s="3"/>
    </row>
    <row r="4186" spans="1:5" ht="24.75" customHeight="1">
      <c r="A4186" s="2">
        <v>4184</v>
      </c>
      <c r="B4186" s="2" t="str">
        <f>"史辉尹"</f>
        <v>史辉尹</v>
      </c>
      <c r="C4186" s="2" t="s">
        <v>3746</v>
      </c>
      <c r="D4186" s="2" t="s">
        <v>3758</v>
      </c>
      <c r="E4186" s="3"/>
    </row>
    <row r="4187" spans="1:5" ht="24.75" customHeight="1">
      <c r="A4187" s="2">
        <v>4185</v>
      </c>
      <c r="B4187" s="2" t="str">
        <f>"曾静怡"</f>
        <v>曾静怡</v>
      </c>
      <c r="C4187" s="2" t="s">
        <v>3746</v>
      </c>
      <c r="D4187" s="2" t="s">
        <v>3759</v>
      </c>
      <c r="E4187" s="3"/>
    </row>
    <row r="4188" spans="1:5" ht="24.75" customHeight="1">
      <c r="A4188" s="2">
        <v>4186</v>
      </c>
      <c r="B4188" s="2" t="str">
        <f>"符玉珏"</f>
        <v>符玉珏</v>
      </c>
      <c r="C4188" s="2" t="s">
        <v>3746</v>
      </c>
      <c r="D4188" s="2" t="s">
        <v>3760</v>
      </c>
      <c r="E4188" s="3"/>
    </row>
    <row r="4189" spans="1:5" ht="24.75" customHeight="1">
      <c r="A4189" s="2">
        <v>4187</v>
      </c>
      <c r="B4189" s="2" t="str">
        <f>"蔡佳璇"</f>
        <v>蔡佳璇</v>
      </c>
      <c r="C4189" s="2" t="s">
        <v>3746</v>
      </c>
      <c r="D4189" s="2" t="s">
        <v>3761</v>
      </c>
      <c r="E4189" s="3"/>
    </row>
    <row r="4190" spans="1:5" ht="24.75" customHeight="1">
      <c r="A4190" s="2">
        <v>4188</v>
      </c>
      <c r="B4190" s="2" t="str">
        <f>"符策力"</f>
        <v>符策力</v>
      </c>
      <c r="C4190" s="2" t="s">
        <v>3762</v>
      </c>
      <c r="D4190" s="2" t="s">
        <v>3763</v>
      </c>
      <c r="E4190" s="3"/>
    </row>
    <row r="4191" spans="1:5" ht="24.75" customHeight="1">
      <c r="A4191" s="2">
        <v>4189</v>
      </c>
      <c r="B4191" s="2" t="str">
        <f>"何才丁"</f>
        <v>何才丁</v>
      </c>
      <c r="C4191" s="2" t="s">
        <v>3762</v>
      </c>
      <c r="D4191" s="2" t="s">
        <v>638</v>
      </c>
      <c r="E4191" s="3"/>
    </row>
    <row r="4192" spans="1:5" ht="24.75" customHeight="1">
      <c r="A4192" s="2">
        <v>4190</v>
      </c>
      <c r="B4192" s="2" t="str">
        <f>"吴文滨"</f>
        <v>吴文滨</v>
      </c>
      <c r="C4192" s="2" t="s">
        <v>3762</v>
      </c>
      <c r="D4192" s="2" t="s">
        <v>3764</v>
      </c>
      <c r="E4192" s="3"/>
    </row>
    <row r="4193" spans="1:5" ht="24.75" customHeight="1">
      <c r="A4193" s="2">
        <v>4191</v>
      </c>
      <c r="B4193" s="2" t="str">
        <f>"符月娇"</f>
        <v>符月娇</v>
      </c>
      <c r="C4193" s="2" t="s">
        <v>3762</v>
      </c>
      <c r="D4193" s="2" t="s">
        <v>3765</v>
      </c>
      <c r="E4193" s="3"/>
    </row>
    <row r="4194" spans="1:5" ht="24.75" customHeight="1">
      <c r="A4194" s="2">
        <v>4192</v>
      </c>
      <c r="B4194" s="2" t="str">
        <f>"符琦艺"</f>
        <v>符琦艺</v>
      </c>
      <c r="C4194" s="2" t="s">
        <v>3762</v>
      </c>
      <c r="D4194" s="2" t="s">
        <v>3766</v>
      </c>
      <c r="E4194" s="3"/>
    </row>
    <row r="4195" spans="1:5" ht="24.75" customHeight="1">
      <c r="A4195" s="2">
        <v>4193</v>
      </c>
      <c r="B4195" s="2" t="str">
        <f>"郑雪全"</f>
        <v>郑雪全</v>
      </c>
      <c r="C4195" s="2" t="s">
        <v>3762</v>
      </c>
      <c r="D4195" s="2" t="s">
        <v>3767</v>
      </c>
      <c r="E4195" s="3"/>
    </row>
    <row r="4196" spans="1:5" ht="24.75" customHeight="1">
      <c r="A4196" s="2">
        <v>4194</v>
      </c>
      <c r="B4196" s="2" t="str">
        <f>"陈紫霞"</f>
        <v>陈紫霞</v>
      </c>
      <c r="C4196" s="2" t="s">
        <v>3762</v>
      </c>
      <c r="D4196" s="2" t="s">
        <v>3768</v>
      </c>
      <c r="E4196" s="3"/>
    </row>
    <row r="4197" spans="1:5" ht="24.75" customHeight="1">
      <c r="A4197" s="2">
        <v>4195</v>
      </c>
      <c r="B4197" s="2" t="str">
        <f>"徐世照"</f>
        <v>徐世照</v>
      </c>
      <c r="C4197" s="2" t="s">
        <v>3762</v>
      </c>
      <c r="D4197" s="2" t="s">
        <v>3769</v>
      </c>
      <c r="E4197" s="3"/>
    </row>
    <row r="4198" spans="1:5" ht="24.75" customHeight="1">
      <c r="A4198" s="2">
        <v>4196</v>
      </c>
      <c r="B4198" s="2" t="str">
        <f>"符惠予"</f>
        <v>符惠予</v>
      </c>
      <c r="C4198" s="2" t="s">
        <v>3762</v>
      </c>
      <c r="D4198" s="2" t="s">
        <v>3770</v>
      </c>
      <c r="E4198" s="3"/>
    </row>
    <row r="4199" spans="1:5" ht="24.75" customHeight="1">
      <c r="A4199" s="2">
        <v>4197</v>
      </c>
      <c r="B4199" s="2" t="str">
        <f>"杨艳萍"</f>
        <v>杨艳萍</v>
      </c>
      <c r="C4199" s="2" t="s">
        <v>3762</v>
      </c>
      <c r="D4199" s="2" t="s">
        <v>2941</v>
      </c>
      <c r="E4199" s="3"/>
    </row>
    <row r="4200" spans="1:5" ht="24.75" customHeight="1">
      <c r="A4200" s="2">
        <v>4198</v>
      </c>
      <c r="B4200" s="2" t="str">
        <f>"陈艺"</f>
        <v>陈艺</v>
      </c>
      <c r="C4200" s="2" t="s">
        <v>3762</v>
      </c>
      <c r="D4200" s="2" t="s">
        <v>3771</v>
      </c>
      <c r="E4200" s="3"/>
    </row>
    <row r="4201" spans="1:5" ht="24.75" customHeight="1">
      <c r="A4201" s="2">
        <v>4199</v>
      </c>
      <c r="B4201" s="2" t="str">
        <f>"陈小春"</f>
        <v>陈小春</v>
      </c>
      <c r="C4201" s="2" t="s">
        <v>3762</v>
      </c>
      <c r="D4201" s="2" t="s">
        <v>3772</v>
      </c>
      <c r="E4201" s="3"/>
    </row>
    <row r="4202" spans="1:5" ht="24.75" customHeight="1">
      <c r="A4202" s="2">
        <v>4200</v>
      </c>
      <c r="B4202" s="2" t="str">
        <f>"叶绵清"</f>
        <v>叶绵清</v>
      </c>
      <c r="C4202" s="2" t="s">
        <v>3762</v>
      </c>
      <c r="D4202" s="2" t="s">
        <v>3773</v>
      </c>
      <c r="E4202" s="3"/>
    </row>
    <row r="4203" spans="1:5" ht="24.75" customHeight="1">
      <c r="A4203" s="2">
        <v>4201</v>
      </c>
      <c r="B4203" s="2" t="str">
        <f>"顾逢杰"</f>
        <v>顾逢杰</v>
      </c>
      <c r="C4203" s="2" t="s">
        <v>3762</v>
      </c>
      <c r="D4203" s="2" t="s">
        <v>3774</v>
      </c>
      <c r="E4203" s="3"/>
    </row>
    <row r="4204" spans="1:5" ht="24.75" customHeight="1">
      <c r="A4204" s="2">
        <v>4202</v>
      </c>
      <c r="B4204" s="2" t="str">
        <f>"徐蓉"</f>
        <v>徐蓉</v>
      </c>
      <c r="C4204" s="2" t="s">
        <v>3762</v>
      </c>
      <c r="D4204" s="2" t="s">
        <v>3775</v>
      </c>
      <c r="E4204" s="3"/>
    </row>
    <row r="4205" spans="1:5" ht="24.75" customHeight="1">
      <c r="A4205" s="2">
        <v>4203</v>
      </c>
      <c r="B4205" s="2" t="str">
        <f>"符以全"</f>
        <v>符以全</v>
      </c>
      <c r="C4205" s="2" t="s">
        <v>3762</v>
      </c>
      <c r="D4205" s="2" t="s">
        <v>1450</v>
      </c>
      <c r="E4205" s="3"/>
    </row>
    <row r="4206" spans="1:5" ht="24.75" customHeight="1">
      <c r="A4206" s="2">
        <v>4204</v>
      </c>
      <c r="B4206" s="2" t="str">
        <f>"刘忆秀"</f>
        <v>刘忆秀</v>
      </c>
      <c r="C4206" s="2" t="s">
        <v>3762</v>
      </c>
      <c r="D4206" s="2" t="s">
        <v>3776</v>
      </c>
      <c r="E4206" s="3"/>
    </row>
    <row r="4207" spans="1:5" ht="24.75" customHeight="1">
      <c r="A4207" s="2">
        <v>4205</v>
      </c>
      <c r="B4207" s="2" t="str">
        <f>"吴海弟"</f>
        <v>吴海弟</v>
      </c>
      <c r="C4207" s="2" t="s">
        <v>3762</v>
      </c>
      <c r="D4207" s="2" t="s">
        <v>3777</v>
      </c>
      <c r="E4207" s="3"/>
    </row>
    <row r="4208" spans="1:5" ht="24.75" customHeight="1">
      <c r="A4208" s="2">
        <v>4206</v>
      </c>
      <c r="B4208" s="2" t="str">
        <f>"陈川花"</f>
        <v>陈川花</v>
      </c>
      <c r="C4208" s="2" t="s">
        <v>3762</v>
      </c>
      <c r="D4208" s="2" t="s">
        <v>3778</v>
      </c>
      <c r="E4208" s="3"/>
    </row>
    <row r="4209" spans="1:5" ht="24.75" customHeight="1">
      <c r="A4209" s="2">
        <v>4207</v>
      </c>
      <c r="B4209" s="2" t="str">
        <f>"梁如士"</f>
        <v>梁如士</v>
      </c>
      <c r="C4209" s="2" t="s">
        <v>3762</v>
      </c>
      <c r="D4209" s="2" t="s">
        <v>3779</v>
      </c>
      <c r="E4209" s="3"/>
    </row>
    <row r="4210" spans="1:5" ht="24.75" customHeight="1">
      <c r="A4210" s="2">
        <v>4208</v>
      </c>
      <c r="B4210" s="2" t="str">
        <f>"廖元霞"</f>
        <v>廖元霞</v>
      </c>
      <c r="C4210" s="2" t="s">
        <v>3762</v>
      </c>
      <c r="D4210" s="2" t="s">
        <v>3780</v>
      </c>
      <c r="E4210" s="3"/>
    </row>
    <row r="4211" spans="1:5" ht="24.75" customHeight="1">
      <c r="A4211" s="2">
        <v>4209</v>
      </c>
      <c r="B4211" s="2" t="str">
        <f>"周丽佳"</f>
        <v>周丽佳</v>
      </c>
      <c r="C4211" s="2" t="s">
        <v>3762</v>
      </c>
      <c r="D4211" s="2" t="s">
        <v>3781</v>
      </c>
      <c r="E4211" s="3"/>
    </row>
    <row r="4212" spans="1:5" ht="24.75" customHeight="1">
      <c r="A4212" s="2">
        <v>4210</v>
      </c>
      <c r="B4212" s="2" t="str">
        <f>"孙瑞丽"</f>
        <v>孙瑞丽</v>
      </c>
      <c r="C4212" s="2" t="s">
        <v>3762</v>
      </c>
      <c r="D4212" s="2" t="s">
        <v>3782</v>
      </c>
      <c r="E4212" s="3"/>
    </row>
    <row r="4213" spans="1:5" ht="24.75" customHeight="1">
      <c r="A4213" s="2">
        <v>4211</v>
      </c>
      <c r="B4213" s="2" t="str">
        <f>"蒲海英"</f>
        <v>蒲海英</v>
      </c>
      <c r="C4213" s="2" t="s">
        <v>3762</v>
      </c>
      <c r="D4213" s="2" t="s">
        <v>3783</v>
      </c>
      <c r="E4213" s="3"/>
    </row>
    <row r="4214" spans="1:5" ht="24.75" customHeight="1">
      <c r="A4214" s="2">
        <v>4212</v>
      </c>
      <c r="B4214" s="2" t="str">
        <f>"许嘉明"</f>
        <v>许嘉明</v>
      </c>
      <c r="C4214" s="2" t="s">
        <v>3762</v>
      </c>
      <c r="D4214" s="2" t="s">
        <v>1557</v>
      </c>
      <c r="E4214" s="3"/>
    </row>
    <row r="4215" spans="1:5" ht="24.75" customHeight="1">
      <c r="A4215" s="2">
        <v>4213</v>
      </c>
      <c r="B4215" s="2" t="str">
        <f>"杨传杰"</f>
        <v>杨传杰</v>
      </c>
      <c r="C4215" s="2" t="s">
        <v>3762</v>
      </c>
      <c r="D4215" s="2" t="s">
        <v>3784</v>
      </c>
      <c r="E4215" s="3"/>
    </row>
    <row r="4216" spans="1:5" ht="24.75" customHeight="1">
      <c r="A4216" s="2">
        <v>4214</v>
      </c>
      <c r="B4216" s="2" t="str">
        <f>"黎菊青"</f>
        <v>黎菊青</v>
      </c>
      <c r="C4216" s="2" t="s">
        <v>3762</v>
      </c>
      <c r="D4216" s="2" t="s">
        <v>3785</v>
      </c>
      <c r="E4216" s="3"/>
    </row>
    <row r="4217" spans="1:5" ht="24.75" customHeight="1">
      <c r="A4217" s="2">
        <v>4215</v>
      </c>
      <c r="B4217" s="2" t="str">
        <f>"曾子恒"</f>
        <v>曾子恒</v>
      </c>
      <c r="C4217" s="2" t="s">
        <v>3762</v>
      </c>
      <c r="D4217" s="2" t="s">
        <v>3786</v>
      </c>
      <c r="E4217" s="3"/>
    </row>
    <row r="4218" spans="1:5" ht="24.75" customHeight="1">
      <c r="A4218" s="2">
        <v>4216</v>
      </c>
      <c r="B4218" s="2" t="str">
        <f>"钟敏敏"</f>
        <v>钟敏敏</v>
      </c>
      <c r="C4218" s="2" t="s">
        <v>3762</v>
      </c>
      <c r="D4218" s="2" t="s">
        <v>1510</v>
      </c>
      <c r="E4218" s="3"/>
    </row>
    <row r="4219" spans="1:5" ht="24.75" customHeight="1">
      <c r="A4219" s="2">
        <v>4217</v>
      </c>
      <c r="B4219" s="2" t="str">
        <f>"洪莲"</f>
        <v>洪莲</v>
      </c>
      <c r="C4219" s="2" t="s">
        <v>3762</v>
      </c>
      <c r="D4219" s="2" t="s">
        <v>3787</v>
      </c>
      <c r="E4219" s="3"/>
    </row>
    <row r="4220" spans="1:5" ht="24.75" customHeight="1">
      <c r="A4220" s="2">
        <v>4218</v>
      </c>
      <c r="B4220" s="2" t="str">
        <f>"陈祖厚"</f>
        <v>陈祖厚</v>
      </c>
      <c r="C4220" s="2" t="s">
        <v>3762</v>
      </c>
      <c r="D4220" s="2" t="s">
        <v>3788</v>
      </c>
      <c r="E4220" s="3"/>
    </row>
    <row r="4221" spans="1:5" ht="24.75" customHeight="1">
      <c r="A4221" s="2">
        <v>4219</v>
      </c>
      <c r="B4221" s="2" t="str">
        <f>"陈军"</f>
        <v>陈军</v>
      </c>
      <c r="C4221" s="2" t="s">
        <v>3762</v>
      </c>
      <c r="D4221" s="2" t="s">
        <v>3789</v>
      </c>
      <c r="E4221" s="3"/>
    </row>
    <row r="4222" spans="1:5" ht="24.75" customHeight="1">
      <c r="A4222" s="2">
        <v>4220</v>
      </c>
      <c r="B4222" s="2" t="str">
        <f>"许为圣"</f>
        <v>许为圣</v>
      </c>
      <c r="C4222" s="2" t="s">
        <v>3762</v>
      </c>
      <c r="D4222" s="2" t="s">
        <v>3790</v>
      </c>
      <c r="E4222" s="3"/>
    </row>
    <row r="4223" spans="1:5" ht="24.75" customHeight="1">
      <c r="A4223" s="2">
        <v>4221</v>
      </c>
      <c r="B4223" s="2" t="str">
        <f>"王月明"</f>
        <v>王月明</v>
      </c>
      <c r="C4223" s="2" t="s">
        <v>3762</v>
      </c>
      <c r="D4223" s="2" t="s">
        <v>1987</v>
      </c>
      <c r="E4223" s="3"/>
    </row>
    <row r="4224" spans="1:5" ht="24.75" customHeight="1">
      <c r="A4224" s="2">
        <v>4222</v>
      </c>
      <c r="B4224" s="2" t="str">
        <f>"文良江"</f>
        <v>文良江</v>
      </c>
      <c r="C4224" s="2" t="s">
        <v>3762</v>
      </c>
      <c r="D4224" s="2" t="s">
        <v>2512</v>
      </c>
      <c r="E4224" s="3"/>
    </row>
    <row r="4225" spans="1:5" ht="24.75" customHeight="1">
      <c r="A4225" s="2">
        <v>4223</v>
      </c>
      <c r="B4225" s="2" t="str">
        <f>"符雪柔"</f>
        <v>符雪柔</v>
      </c>
      <c r="C4225" s="2" t="s">
        <v>3762</v>
      </c>
      <c r="D4225" s="2" t="s">
        <v>3791</v>
      </c>
      <c r="E4225" s="3"/>
    </row>
    <row r="4226" spans="1:5" ht="24.75" customHeight="1">
      <c r="A4226" s="2">
        <v>4224</v>
      </c>
      <c r="B4226" s="2" t="str">
        <f>"郑秀丽"</f>
        <v>郑秀丽</v>
      </c>
      <c r="C4226" s="2" t="s">
        <v>3762</v>
      </c>
      <c r="D4226" s="2" t="s">
        <v>3792</v>
      </c>
      <c r="E4226" s="3"/>
    </row>
    <row r="4227" spans="1:5" ht="24.75" customHeight="1">
      <c r="A4227" s="2">
        <v>4225</v>
      </c>
      <c r="B4227" s="2" t="str">
        <f>"冯菲菲"</f>
        <v>冯菲菲</v>
      </c>
      <c r="C4227" s="2" t="s">
        <v>3762</v>
      </c>
      <c r="D4227" s="2" t="s">
        <v>3793</v>
      </c>
      <c r="E4227" s="3"/>
    </row>
    <row r="4228" spans="1:5" ht="24.75" customHeight="1">
      <c r="A4228" s="2">
        <v>4226</v>
      </c>
      <c r="B4228" s="2" t="str">
        <f>"钟林鹏"</f>
        <v>钟林鹏</v>
      </c>
      <c r="C4228" s="2" t="s">
        <v>3762</v>
      </c>
      <c r="D4228" s="2" t="s">
        <v>3794</v>
      </c>
      <c r="E4228" s="3"/>
    </row>
    <row r="4229" spans="1:5" ht="24.75" customHeight="1">
      <c r="A4229" s="2">
        <v>4227</v>
      </c>
      <c r="B4229" s="2" t="str">
        <f>"康齐"</f>
        <v>康齐</v>
      </c>
      <c r="C4229" s="2" t="s">
        <v>3762</v>
      </c>
      <c r="D4229" s="2" t="s">
        <v>3795</v>
      </c>
      <c r="E4229" s="3"/>
    </row>
    <row r="4230" spans="1:5" ht="24.75" customHeight="1">
      <c r="A4230" s="2">
        <v>4228</v>
      </c>
      <c r="B4230" s="2" t="str">
        <f>"林发诚"</f>
        <v>林发诚</v>
      </c>
      <c r="C4230" s="2" t="s">
        <v>3762</v>
      </c>
      <c r="D4230" s="2" t="s">
        <v>1432</v>
      </c>
      <c r="E4230" s="3"/>
    </row>
    <row r="4231" spans="1:5" ht="24.75" customHeight="1">
      <c r="A4231" s="2">
        <v>4229</v>
      </c>
      <c r="B4231" s="2" t="str">
        <f>"王登"</f>
        <v>王登</v>
      </c>
      <c r="C4231" s="2" t="s">
        <v>3762</v>
      </c>
      <c r="D4231" s="2" t="s">
        <v>3796</v>
      </c>
      <c r="E4231" s="3"/>
    </row>
    <row r="4232" spans="1:5" ht="24.75" customHeight="1">
      <c r="A4232" s="2">
        <v>4230</v>
      </c>
      <c r="B4232" s="2" t="str">
        <f>"符有强"</f>
        <v>符有强</v>
      </c>
      <c r="C4232" s="2" t="s">
        <v>3762</v>
      </c>
      <c r="D4232" s="2" t="s">
        <v>3797</v>
      </c>
      <c r="E4232" s="3"/>
    </row>
    <row r="4233" spans="1:5" ht="24.75" customHeight="1">
      <c r="A4233" s="2">
        <v>4231</v>
      </c>
      <c r="B4233" s="2" t="str">
        <f>"钟妮"</f>
        <v>钟妮</v>
      </c>
      <c r="C4233" s="2" t="s">
        <v>3762</v>
      </c>
      <c r="D4233" s="2" t="s">
        <v>3798</v>
      </c>
      <c r="E4233" s="3"/>
    </row>
    <row r="4234" spans="1:5" ht="24.75" customHeight="1">
      <c r="A4234" s="2">
        <v>4232</v>
      </c>
      <c r="B4234" s="2" t="str">
        <f>"张浩远"</f>
        <v>张浩远</v>
      </c>
      <c r="C4234" s="2" t="s">
        <v>3762</v>
      </c>
      <c r="D4234" s="2" t="s">
        <v>3799</v>
      </c>
      <c r="E4234" s="3"/>
    </row>
    <row r="4235" spans="1:5" ht="24.75" customHeight="1">
      <c r="A4235" s="2">
        <v>4233</v>
      </c>
      <c r="B4235" s="2" t="str">
        <f>"蔡燕群"</f>
        <v>蔡燕群</v>
      </c>
      <c r="C4235" s="2" t="s">
        <v>3762</v>
      </c>
      <c r="D4235" s="2" t="s">
        <v>3156</v>
      </c>
      <c r="E4235" s="3"/>
    </row>
    <row r="4236" spans="1:5" ht="24.75" customHeight="1">
      <c r="A4236" s="2">
        <v>4234</v>
      </c>
      <c r="B4236" s="2" t="str">
        <f>"陈代炼"</f>
        <v>陈代炼</v>
      </c>
      <c r="C4236" s="2" t="s">
        <v>3762</v>
      </c>
      <c r="D4236" s="2" t="s">
        <v>3696</v>
      </c>
      <c r="E4236" s="3"/>
    </row>
    <row r="4237" spans="1:5" ht="24.75" customHeight="1">
      <c r="A4237" s="2">
        <v>4235</v>
      </c>
      <c r="B4237" s="2" t="str">
        <f>"张贵玲"</f>
        <v>张贵玲</v>
      </c>
      <c r="C4237" s="2" t="s">
        <v>3762</v>
      </c>
      <c r="D4237" s="2" t="s">
        <v>3800</v>
      </c>
      <c r="E4237" s="3"/>
    </row>
    <row r="4238" spans="1:5" ht="24.75" customHeight="1">
      <c r="A4238" s="2">
        <v>4236</v>
      </c>
      <c r="B4238" s="2" t="str">
        <f>"曾岳莲"</f>
        <v>曾岳莲</v>
      </c>
      <c r="C4238" s="2" t="s">
        <v>3762</v>
      </c>
      <c r="D4238" s="2" t="s">
        <v>3801</v>
      </c>
      <c r="E4238" s="3"/>
    </row>
    <row r="4239" spans="1:5" ht="24.75" customHeight="1">
      <c r="A4239" s="2">
        <v>4237</v>
      </c>
      <c r="B4239" s="2" t="str">
        <f>"符宏达"</f>
        <v>符宏达</v>
      </c>
      <c r="C4239" s="2" t="s">
        <v>3762</v>
      </c>
      <c r="D4239" s="2" t="s">
        <v>3802</v>
      </c>
      <c r="E4239" s="3"/>
    </row>
    <row r="4240" spans="1:5" ht="24.75" customHeight="1">
      <c r="A4240" s="2">
        <v>4238</v>
      </c>
      <c r="B4240" s="2" t="str">
        <f>"符叶飘"</f>
        <v>符叶飘</v>
      </c>
      <c r="C4240" s="2" t="s">
        <v>3762</v>
      </c>
      <c r="D4240" s="2" t="s">
        <v>3803</v>
      </c>
      <c r="E4240" s="3"/>
    </row>
    <row r="4241" spans="1:5" ht="24.75" customHeight="1">
      <c r="A4241" s="2">
        <v>4239</v>
      </c>
      <c r="B4241" s="2" t="str">
        <f>"符雪"</f>
        <v>符雪</v>
      </c>
      <c r="C4241" s="2" t="s">
        <v>3762</v>
      </c>
      <c r="D4241" s="2" t="s">
        <v>350</v>
      </c>
      <c r="E4241" s="3"/>
    </row>
    <row r="4242" spans="1:5" ht="24.75" customHeight="1">
      <c r="A4242" s="2">
        <v>4240</v>
      </c>
      <c r="B4242" s="2" t="str">
        <f>"何晓坡"</f>
        <v>何晓坡</v>
      </c>
      <c r="C4242" s="2" t="s">
        <v>3762</v>
      </c>
      <c r="D4242" s="2" t="s">
        <v>3804</v>
      </c>
      <c r="E4242" s="3"/>
    </row>
    <row r="4243" spans="1:5" ht="24.75" customHeight="1">
      <c r="A4243" s="2">
        <v>4241</v>
      </c>
      <c r="B4243" s="2" t="str">
        <f>"曾维成"</f>
        <v>曾维成</v>
      </c>
      <c r="C4243" s="2" t="s">
        <v>3762</v>
      </c>
      <c r="D4243" s="2" t="s">
        <v>3542</v>
      </c>
      <c r="E4243" s="3"/>
    </row>
    <row r="4244" spans="1:5" ht="24.75" customHeight="1">
      <c r="A4244" s="2">
        <v>4242</v>
      </c>
      <c r="B4244" s="2" t="str">
        <f>"李远"</f>
        <v>李远</v>
      </c>
      <c r="C4244" s="2" t="s">
        <v>3762</v>
      </c>
      <c r="D4244" s="2" t="s">
        <v>3805</v>
      </c>
      <c r="E4244" s="3"/>
    </row>
    <row r="4245" spans="1:5" ht="24.75" customHeight="1">
      <c r="A4245" s="2">
        <v>4243</v>
      </c>
      <c r="B4245" s="2" t="str">
        <f>"林家鸿"</f>
        <v>林家鸿</v>
      </c>
      <c r="C4245" s="2" t="s">
        <v>3762</v>
      </c>
      <c r="D4245" s="2" t="s">
        <v>3806</v>
      </c>
      <c r="E4245" s="3"/>
    </row>
    <row r="4246" spans="1:5" ht="24.75" customHeight="1">
      <c r="A4246" s="2">
        <v>4244</v>
      </c>
      <c r="B4246" s="2" t="str">
        <f>"罗钧"</f>
        <v>罗钧</v>
      </c>
      <c r="C4246" s="2" t="s">
        <v>3762</v>
      </c>
      <c r="D4246" s="2" t="s">
        <v>3807</v>
      </c>
      <c r="E4246" s="3"/>
    </row>
    <row r="4247" spans="1:5" ht="24.75" customHeight="1">
      <c r="A4247" s="2">
        <v>4245</v>
      </c>
      <c r="B4247" s="2" t="str">
        <f>"楼端芬"</f>
        <v>楼端芬</v>
      </c>
      <c r="C4247" s="2" t="s">
        <v>3762</v>
      </c>
      <c r="D4247" s="2" t="s">
        <v>3808</v>
      </c>
      <c r="E4247" s="3"/>
    </row>
    <row r="4248" spans="1:5" ht="24.75" customHeight="1">
      <c r="A4248" s="2">
        <v>4246</v>
      </c>
      <c r="B4248" s="2" t="str">
        <f>"黄芸"</f>
        <v>黄芸</v>
      </c>
      <c r="C4248" s="2" t="s">
        <v>3762</v>
      </c>
      <c r="D4248" s="2" t="s">
        <v>3809</v>
      </c>
      <c r="E4248" s="3"/>
    </row>
    <row r="4249" spans="1:5" ht="24.75" customHeight="1">
      <c r="A4249" s="2">
        <v>4247</v>
      </c>
      <c r="B4249" s="2" t="str">
        <f>"李金颖"</f>
        <v>李金颖</v>
      </c>
      <c r="C4249" s="2" t="s">
        <v>3762</v>
      </c>
      <c r="D4249" s="2" t="s">
        <v>3810</v>
      </c>
      <c r="E4249" s="3"/>
    </row>
    <row r="4250" spans="1:5" ht="24.75" customHeight="1">
      <c r="A4250" s="2">
        <v>4248</v>
      </c>
      <c r="B4250" s="2" t="str">
        <f>"陈才平"</f>
        <v>陈才平</v>
      </c>
      <c r="C4250" s="2" t="s">
        <v>3762</v>
      </c>
      <c r="D4250" s="2" t="s">
        <v>1134</v>
      </c>
      <c r="E4250" s="3"/>
    </row>
    <row r="4251" spans="1:5" ht="24.75" customHeight="1">
      <c r="A4251" s="2">
        <v>4249</v>
      </c>
      <c r="B4251" s="2" t="str">
        <f>"罗娟"</f>
        <v>罗娟</v>
      </c>
      <c r="C4251" s="2" t="s">
        <v>3762</v>
      </c>
      <c r="D4251" s="2" t="s">
        <v>3811</v>
      </c>
      <c r="E4251" s="3"/>
    </row>
    <row r="4252" spans="1:5" ht="24.75" customHeight="1">
      <c r="A4252" s="2">
        <v>4250</v>
      </c>
      <c r="B4252" s="2" t="str">
        <f>"李冬艳"</f>
        <v>李冬艳</v>
      </c>
      <c r="C4252" s="2" t="s">
        <v>3762</v>
      </c>
      <c r="D4252" s="2" t="s">
        <v>3812</v>
      </c>
      <c r="E4252" s="3"/>
    </row>
    <row r="4253" spans="1:5" ht="24.75" customHeight="1">
      <c r="A4253" s="2">
        <v>4251</v>
      </c>
      <c r="B4253" s="2" t="str">
        <f>"李尾莲"</f>
        <v>李尾莲</v>
      </c>
      <c r="C4253" s="2" t="s">
        <v>3762</v>
      </c>
      <c r="D4253" s="2" t="s">
        <v>3813</v>
      </c>
      <c r="E4253" s="3"/>
    </row>
    <row r="4254" spans="1:5" ht="24.75" customHeight="1">
      <c r="A4254" s="2">
        <v>4252</v>
      </c>
      <c r="B4254" s="2" t="str">
        <f>"殷聪聪"</f>
        <v>殷聪聪</v>
      </c>
      <c r="C4254" s="2" t="s">
        <v>3762</v>
      </c>
      <c r="D4254" s="2" t="s">
        <v>3814</v>
      </c>
      <c r="E4254" s="3"/>
    </row>
    <row r="4255" spans="1:5" ht="24.75" customHeight="1">
      <c r="A4255" s="2">
        <v>4253</v>
      </c>
      <c r="B4255" s="2" t="str">
        <f>"吴杰郎"</f>
        <v>吴杰郎</v>
      </c>
      <c r="C4255" s="2" t="s">
        <v>3762</v>
      </c>
      <c r="D4255" s="2" t="s">
        <v>3815</v>
      </c>
      <c r="E4255" s="3"/>
    </row>
    <row r="4256" spans="1:5" ht="24.75" customHeight="1">
      <c r="A4256" s="2">
        <v>4254</v>
      </c>
      <c r="B4256" s="2" t="str">
        <f>"王明宝"</f>
        <v>王明宝</v>
      </c>
      <c r="C4256" s="2" t="s">
        <v>3762</v>
      </c>
      <c r="D4256" s="2" t="s">
        <v>3816</v>
      </c>
      <c r="E4256" s="3"/>
    </row>
    <row r="4257" spans="1:5" ht="24.75" customHeight="1">
      <c r="A4257" s="2">
        <v>4255</v>
      </c>
      <c r="B4257" s="2" t="str">
        <f>"陈琼铭"</f>
        <v>陈琼铭</v>
      </c>
      <c r="C4257" s="2" t="s">
        <v>3762</v>
      </c>
      <c r="D4257" s="2" t="s">
        <v>2863</v>
      </c>
      <c r="E4257" s="3"/>
    </row>
    <row r="4258" spans="1:5" ht="24.75" customHeight="1">
      <c r="A4258" s="2">
        <v>4256</v>
      </c>
      <c r="B4258" s="2" t="str">
        <f>"符丽佩"</f>
        <v>符丽佩</v>
      </c>
      <c r="C4258" s="2" t="s">
        <v>3762</v>
      </c>
      <c r="D4258" s="2" t="s">
        <v>3817</v>
      </c>
      <c r="E4258" s="3"/>
    </row>
    <row r="4259" spans="1:5" ht="24.75" customHeight="1">
      <c r="A4259" s="2">
        <v>4257</v>
      </c>
      <c r="B4259" s="2" t="str">
        <f>"何啟山"</f>
        <v>何啟山</v>
      </c>
      <c r="C4259" s="2" t="s">
        <v>3762</v>
      </c>
      <c r="D4259" s="2" t="s">
        <v>3425</v>
      </c>
      <c r="E4259" s="3"/>
    </row>
    <row r="4260" spans="1:5" ht="24.75" customHeight="1">
      <c r="A4260" s="2">
        <v>4258</v>
      </c>
      <c r="B4260" s="2" t="str">
        <f>"冯心乔"</f>
        <v>冯心乔</v>
      </c>
      <c r="C4260" s="2" t="s">
        <v>3762</v>
      </c>
      <c r="D4260" s="2" t="s">
        <v>3818</v>
      </c>
      <c r="E4260" s="3"/>
    </row>
    <row r="4261" spans="1:5" ht="24.75" customHeight="1">
      <c r="A4261" s="2">
        <v>4259</v>
      </c>
      <c r="B4261" s="2" t="str">
        <f>"黄侨鉴"</f>
        <v>黄侨鉴</v>
      </c>
      <c r="C4261" s="2" t="s">
        <v>3762</v>
      </c>
      <c r="D4261" s="2" t="s">
        <v>3819</v>
      </c>
      <c r="E4261" s="3"/>
    </row>
    <row r="4262" spans="1:5" ht="24.75" customHeight="1">
      <c r="A4262" s="2">
        <v>4260</v>
      </c>
      <c r="B4262" s="2" t="str">
        <f>"梁湘菲"</f>
        <v>梁湘菲</v>
      </c>
      <c r="C4262" s="2" t="s">
        <v>3762</v>
      </c>
      <c r="D4262" s="2" t="s">
        <v>3820</v>
      </c>
      <c r="E4262" s="3"/>
    </row>
    <row r="4263" spans="1:5" ht="24.75" customHeight="1">
      <c r="A4263" s="2">
        <v>4261</v>
      </c>
      <c r="B4263" s="2" t="str">
        <f>"曾维伟"</f>
        <v>曾维伟</v>
      </c>
      <c r="C4263" s="2" t="s">
        <v>3762</v>
      </c>
      <c r="D4263" s="2" t="s">
        <v>3821</v>
      </c>
      <c r="E4263" s="3"/>
    </row>
    <row r="4264" spans="1:5" ht="24.75" customHeight="1">
      <c r="A4264" s="2">
        <v>4262</v>
      </c>
      <c r="B4264" s="2" t="str">
        <f>"林岗春"</f>
        <v>林岗春</v>
      </c>
      <c r="C4264" s="2" t="s">
        <v>3762</v>
      </c>
      <c r="D4264" s="2" t="s">
        <v>3822</v>
      </c>
      <c r="E4264" s="3"/>
    </row>
    <row r="4265" spans="1:5" ht="24.75" customHeight="1">
      <c r="A4265" s="2">
        <v>4263</v>
      </c>
      <c r="B4265" s="2" t="str">
        <f>"薛富强"</f>
        <v>薛富强</v>
      </c>
      <c r="C4265" s="2" t="s">
        <v>3762</v>
      </c>
      <c r="D4265" s="2" t="s">
        <v>3823</v>
      </c>
      <c r="E4265" s="3"/>
    </row>
    <row r="4266" spans="1:5" ht="24.75" customHeight="1">
      <c r="A4266" s="2">
        <v>4264</v>
      </c>
      <c r="B4266" s="2" t="str">
        <f>"黄振月"</f>
        <v>黄振月</v>
      </c>
      <c r="C4266" s="2" t="s">
        <v>3762</v>
      </c>
      <c r="D4266" s="2" t="s">
        <v>3824</v>
      </c>
      <c r="E4266" s="3"/>
    </row>
    <row r="4267" spans="1:5" ht="24.75" customHeight="1">
      <c r="A4267" s="2">
        <v>4265</v>
      </c>
      <c r="B4267" s="2" t="str">
        <f>"谢裕柳"</f>
        <v>谢裕柳</v>
      </c>
      <c r="C4267" s="2" t="s">
        <v>3762</v>
      </c>
      <c r="D4267" s="2" t="s">
        <v>136</v>
      </c>
      <c r="E4267" s="3"/>
    </row>
    <row r="4268" spans="1:5" ht="24.75" customHeight="1">
      <c r="A4268" s="2">
        <v>4266</v>
      </c>
      <c r="B4268" s="2" t="str">
        <f>"杨宏国"</f>
        <v>杨宏国</v>
      </c>
      <c r="C4268" s="2" t="s">
        <v>3762</v>
      </c>
      <c r="D4268" s="2" t="s">
        <v>3825</v>
      </c>
      <c r="E4268" s="3"/>
    </row>
    <row r="4269" spans="1:5" ht="24.75" customHeight="1">
      <c r="A4269" s="2">
        <v>4267</v>
      </c>
      <c r="B4269" s="2" t="str">
        <f>"朱有明"</f>
        <v>朱有明</v>
      </c>
      <c r="C4269" s="2" t="s">
        <v>3762</v>
      </c>
      <c r="D4269" s="2" t="s">
        <v>3826</v>
      </c>
      <c r="E4269" s="3"/>
    </row>
    <row r="4270" spans="1:5" ht="24.75" customHeight="1">
      <c r="A4270" s="2">
        <v>4268</v>
      </c>
      <c r="B4270" s="2" t="str">
        <f>"梁锦欢"</f>
        <v>梁锦欢</v>
      </c>
      <c r="C4270" s="2" t="s">
        <v>3762</v>
      </c>
      <c r="D4270" s="2" t="s">
        <v>3827</v>
      </c>
      <c r="E4270" s="3"/>
    </row>
    <row r="4271" spans="1:5" ht="24.75" customHeight="1">
      <c r="A4271" s="2">
        <v>4269</v>
      </c>
      <c r="B4271" s="2" t="str">
        <f>"王丽云"</f>
        <v>王丽云</v>
      </c>
      <c r="C4271" s="2" t="s">
        <v>3762</v>
      </c>
      <c r="D4271" s="2" t="s">
        <v>869</v>
      </c>
      <c r="E4271" s="3"/>
    </row>
    <row r="4272" spans="1:5" ht="24.75" customHeight="1">
      <c r="A4272" s="2">
        <v>4270</v>
      </c>
      <c r="B4272" s="2" t="str">
        <f>"陈多谋"</f>
        <v>陈多谋</v>
      </c>
      <c r="C4272" s="2" t="s">
        <v>3762</v>
      </c>
      <c r="D4272" s="2" t="s">
        <v>2594</v>
      </c>
      <c r="E4272" s="3"/>
    </row>
    <row r="4273" spans="1:5" ht="24.75" customHeight="1">
      <c r="A4273" s="2">
        <v>4271</v>
      </c>
      <c r="B4273" s="2" t="str">
        <f>"麦其龙"</f>
        <v>麦其龙</v>
      </c>
      <c r="C4273" s="2" t="s">
        <v>3762</v>
      </c>
      <c r="D4273" s="2" t="s">
        <v>1335</v>
      </c>
      <c r="E4273" s="3"/>
    </row>
    <row r="4274" spans="1:5" ht="24.75" customHeight="1">
      <c r="A4274" s="2">
        <v>4272</v>
      </c>
      <c r="B4274" s="2" t="str">
        <f>"廖景华"</f>
        <v>廖景华</v>
      </c>
      <c r="C4274" s="2" t="s">
        <v>3762</v>
      </c>
      <c r="D4274" s="2" t="s">
        <v>3828</v>
      </c>
      <c r="E4274" s="3"/>
    </row>
    <row r="4275" spans="1:5" ht="24.75" customHeight="1">
      <c r="A4275" s="2">
        <v>4273</v>
      </c>
      <c r="B4275" s="2" t="str">
        <f>"叶桂吟"</f>
        <v>叶桂吟</v>
      </c>
      <c r="C4275" s="2" t="s">
        <v>3762</v>
      </c>
      <c r="D4275" s="2" t="s">
        <v>3829</v>
      </c>
      <c r="E4275" s="3"/>
    </row>
    <row r="4276" spans="1:5" ht="24.75" customHeight="1">
      <c r="A4276" s="2">
        <v>4274</v>
      </c>
      <c r="B4276" s="2" t="str">
        <f>"楼庚栩"</f>
        <v>楼庚栩</v>
      </c>
      <c r="C4276" s="2" t="s">
        <v>3762</v>
      </c>
      <c r="D4276" s="2" t="s">
        <v>3830</v>
      </c>
      <c r="E4276" s="3"/>
    </row>
    <row r="4277" spans="1:5" ht="24.75" customHeight="1">
      <c r="A4277" s="2">
        <v>4275</v>
      </c>
      <c r="B4277" s="2" t="str">
        <f>"王怡琛"</f>
        <v>王怡琛</v>
      </c>
      <c r="C4277" s="2" t="s">
        <v>3762</v>
      </c>
      <c r="D4277" s="2" t="s">
        <v>1178</v>
      </c>
      <c r="E4277" s="3"/>
    </row>
    <row r="4278" spans="1:5" ht="24.75" customHeight="1">
      <c r="A4278" s="2">
        <v>4276</v>
      </c>
      <c r="B4278" s="2" t="str">
        <f>"叶仁芬"</f>
        <v>叶仁芬</v>
      </c>
      <c r="C4278" s="2" t="s">
        <v>3762</v>
      </c>
      <c r="D4278" s="2" t="s">
        <v>3831</v>
      </c>
      <c r="E4278" s="3"/>
    </row>
    <row r="4279" spans="1:5" ht="24.75" customHeight="1">
      <c r="A4279" s="2">
        <v>4277</v>
      </c>
      <c r="B4279" s="2" t="str">
        <f>"薛开纳"</f>
        <v>薛开纳</v>
      </c>
      <c r="C4279" s="2" t="s">
        <v>3762</v>
      </c>
      <c r="D4279" s="2" t="s">
        <v>3832</v>
      </c>
      <c r="E4279" s="3"/>
    </row>
    <row r="4280" spans="1:5" ht="24.75" customHeight="1">
      <c r="A4280" s="2">
        <v>4278</v>
      </c>
      <c r="B4280" s="2" t="str">
        <f>"黄祉丹"</f>
        <v>黄祉丹</v>
      </c>
      <c r="C4280" s="2" t="s">
        <v>3762</v>
      </c>
      <c r="D4280" s="2" t="s">
        <v>3833</v>
      </c>
      <c r="E4280" s="3"/>
    </row>
    <row r="4281" spans="1:5" ht="24.75" customHeight="1">
      <c r="A4281" s="2">
        <v>4279</v>
      </c>
      <c r="B4281" s="2" t="str">
        <f>"朱建彩"</f>
        <v>朱建彩</v>
      </c>
      <c r="C4281" s="2" t="s">
        <v>3762</v>
      </c>
      <c r="D4281" s="2" t="s">
        <v>3834</v>
      </c>
      <c r="E4281" s="3"/>
    </row>
    <row r="4282" spans="1:5" ht="24.75" customHeight="1">
      <c r="A4282" s="2">
        <v>4280</v>
      </c>
      <c r="B4282" s="2" t="str">
        <f>"林美媛"</f>
        <v>林美媛</v>
      </c>
      <c r="C4282" s="2" t="s">
        <v>3762</v>
      </c>
      <c r="D4282" s="2" t="s">
        <v>3835</v>
      </c>
      <c r="E4282" s="3"/>
    </row>
    <row r="4283" spans="1:5" ht="24.75" customHeight="1">
      <c r="A4283" s="2">
        <v>4281</v>
      </c>
      <c r="B4283" s="2" t="str">
        <f>"朱含倩"</f>
        <v>朱含倩</v>
      </c>
      <c r="C4283" s="2" t="s">
        <v>3762</v>
      </c>
      <c r="D4283" s="2" t="s">
        <v>3836</v>
      </c>
      <c r="E4283" s="3"/>
    </row>
    <row r="4284" spans="1:5" ht="24.75" customHeight="1">
      <c r="A4284" s="2">
        <v>4282</v>
      </c>
      <c r="B4284" s="2" t="str">
        <f>"吴婧雅"</f>
        <v>吴婧雅</v>
      </c>
      <c r="C4284" s="2" t="s">
        <v>3762</v>
      </c>
      <c r="D4284" s="2" t="s">
        <v>3837</v>
      </c>
      <c r="E4284" s="3"/>
    </row>
    <row r="4285" spans="1:5" ht="24.75" customHeight="1">
      <c r="A4285" s="2">
        <v>4283</v>
      </c>
      <c r="B4285" s="2" t="str">
        <f>"羊学女"</f>
        <v>羊学女</v>
      </c>
      <c r="C4285" s="2" t="s">
        <v>3762</v>
      </c>
      <c r="D4285" s="2" t="s">
        <v>3838</v>
      </c>
      <c r="E4285" s="3"/>
    </row>
    <row r="4286" spans="1:5" ht="24.75" customHeight="1">
      <c r="A4286" s="2">
        <v>4284</v>
      </c>
      <c r="B4286" s="2" t="str">
        <f>"文怡"</f>
        <v>文怡</v>
      </c>
      <c r="C4286" s="2" t="s">
        <v>3839</v>
      </c>
      <c r="D4286" s="2" t="s">
        <v>522</v>
      </c>
      <c r="E4286" s="3"/>
    </row>
    <row r="4287" spans="1:5" ht="24.75" customHeight="1">
      <c r="A4287" s="2">
        <v>4285</v>
      </c>
      <c r="B4287" s="2" t="str">
        <f>"陈章叶"</f>
        <v>陈章叶</v>
      </c>
      <c r="C4287" s="2" t="s">
        <v>3839</v>
      </c>
      <c r="D4287" s="2" t="s">
        <v>3840</v>
      </c>
      <c r="E4287" s="3"/>
    </row>
    <row r="4288" spans="1:5" ht="24.75" customHeight="1">
      <c r="A4288" s="2">
        <v>4286</v>
      </c>
      <c r="B4288" s="2" t="str">
        <f>"唐锡秋"</f>
        <v>唐锡秋</v>
      </c>
      <c r="C4288" s="2" t="s">
        <v>3839</v>
      </c>
      <c r="D4288" s="2" t="s">
        <v>153</v>
      </c>
      <c r="E4288" s="3"/>
    </row>
    <row r="4289" spans="1:5" ht="24.75" customHeight="1">
      <c r="A4289" s="2">
        <v>4287</v>
      </c>
      <c r="B4289" s="2" t="str">
        <f>"符凤娥"</f>
        <v>符凤娥</v>
      </c>
      <c r="C4289" s="2" t="s">
        <v>3839</v>
      </c>
      <c r="D4289" s="2" t="s">
        <v>3841</v>
      </c>
      <c r="E4289" s="3"/>
    </row>
    <row r="4290" spans="1:5" ht="24.75" customHeight="1">
      <c r="A4290" s="2">
        <v>4288</v>
      </c>
      <c r="B4290" s="2" t="str">
        <f>"杨凯"</f>
        <v>杨凯</v>
      </c>
      <c r="C4290" s="2" t="s">
        <v>3839</v>
      </c>
      <c r="D4290" s="2" t="s">
        <v>3842</v>
      </c>
      <c r="E4290" s="3"/>
    </row>
    <row r="4291" spans="1:5" ht="24.75" customHeight="1">
      <c r="A4291" s="2">
        <v>4289</v>
      </c>
      <c r="B4291" s="2" t="str">
        <f>"符永绕"</f>
        <v>符永绕</v>
      </c>
      <c r="C4291" s="2" t="s">
        <v>3839</v>
      </c>
      <c r="D4291" s="2" t="s">
        <v>3843</v>
      </c>
      <c r="E4291" s="3"/>
    </row>
    <row r="4292" spans="1:5" ht="24.75" customHeight="1">
      <c r="A4292" s="2">
        <v>4290</v>
      </c>
      <c r="B4292" s="2" t="str">
        <f>"曾凤"</f>
        <v>曾凤</v>
      </c>
      <c r="C4292" s="2" t="s">
        <v>3839</v>
      </c>
      <c r="D4292" s="2" t="s">
        <v>3844</v>
      </c>
      <c r="E4292" s="3"/>
    </row>
    <row r="4293" spans="1:5" ht="24.75" customHeight="1">
      <c r="A4293" s="2">
        <v>4291</v>
      </c>
      <c r="B4293" s="2" t="str">
        <f>"孙青"</f>
        <v>孙青</v>
      </c>
      <c r="C4293" s="2" t="s">
        <v>3839</v>
      </c>
      <c r="D4293" s="2" t="s">
        <v>3845</v>
      </c>
      <c r="E4293" s="3"/>
    </row>
    <row r="4294" spans="1:5" ht="24.75" customHeight="1">
      <c r="A4294" s="2">
        <v>4292</v>
      </c>
      <c r="B4294" s="2" t="str">
        <f>"谢桃兑"</f>
        <v>谢桃兑</v>
      </c>
      <c r="C4294" s="2" t="s">
        <v>3839</v>
      </c>
      <c r="D4294" s="2" t="s">
        <v>3846</v>
      </c>
      <c r="E4294" s="3"/>
    </row>
    <row r="4295" spans="1:5" ht="24.75" customHeight="1">
      <c r="A4295" s="2">
        <v>4293</v>
      </c>
      <c r="B4295" s="2" t="str">
        <f>"李慧慧"</f>
        <v>李慧慧</v>
      </c>
      <c r="C4295" s="2" t="s">
        <v>3839</v>
      </c>
      <c r="D4295" s="2" t="s">
        <v>3847</v>
      </c>
      <c r="E4295" s="3"/>
    </row>
    <row r="4296" spans="1:5" ht="24.75" customHeight="1">
      <c r="A4296" s="2">
        <v>4294</v>
      </c>
      <c r="B4296" s="2" t="str">
        <f>"蔡泽翔"</f>
        <v>蔡泽翔</v>
      </c>
      <c r="C4296" s="2" t="s">
        <v>3839</v>
      </c>
      <c r="D4296" s="2" t="s">
        <v>284</v>
      </c>
      <c r="E4296" s="3"/>
    </row>
    <row r="4297" spans="1:5" ht="24.75" customHeight="1">
      <c r="A4297" s="2">
        <v>4295</v>
      </c>
      <c r="B4297" s="2" t="str">
        <f>"陈元波"</f>
        <v>陈元波</v>
      </c>
      <c r="C4297" s="2" t="s">
        <v>3839</v>
      </c>
      <c r="D4297" s="2" t="s">
        <v>1783</v>
      </c>
      <c r="E4297" s="3"/>
    </row>
    <row r="4298" spans="1:5" ht="24.75" customHeight="1">
      <c r="A4298" s="2">
        <v>4296</v>
      </c>
      <c r="B4298" s="2" t="str">
        <f>"唐祥妃"</f>
        <v>唐祥妃</v>
      </c>
      <c r="C4298" s="2" t="s">
        <v>3839</v>
      </c>
      <c r="D4298" s="2" t="s">
        <v>3848</v>
      </c>
      <c r="E4298" s="3"/>
    </row>
    <row r="4299" spans="1:5" ht="24.75" customHeight="1">
      <c r="A4299" s="2">
        <v>4297</v>
      </c>
      <c r="B4299" s="2" t="str">
        <f>"冯敏"</f>
        <v>冯敏</v>
      </c>
      <c r="C4299" s="2" t="s">
        <v>3839</v>
      </c>
      <c r="D4299" s="2" t="s">
        <v>91</v>
      </c>
      <c r="E4299" s="3"/>
    </row>
    <row r="4300" spans="1:5" ht="24.75" customHeight="1">
      <c r="A4300" s="2">
        <v>4298</v>
      </c>
      <c r="B4300" s="2" t="str">
        <f>"王劲"</f>
        <v>王劲</v>
      </c>
      <c r="C4300" s="2" t="s">
        <v>3839</v>
      </c>
      <c r="D4300" s="2" t="s">
        <v>3849</v>
      </c>
      <c r="E4300" s="3"/>
    </row>
    <row r="4301" spans="1:5" ht="24.75" customHeight="1">
      <c r="A4301" s="2">
        <v>4299</v>
      </c>
      <c r="B4301" s="2" t="str">
        <f>"黎美春"</f>
        <v>黎美春</v>
      </c>
      <c r="C4301" s="2" t="s">
        <v>3839</v>
      </c>
      <c r="D4301" s="2" t="s">
        <v>2984</v>
      </c>
      <c r="E4301" s="3"/>
    </row>
    <row r="4302" spans="1:5" ht="24.75" customHeight="1">
      <c r="A4302" s="2">
        <v>4300</v>
      </c>
      <c r="B4302" s="2" t="str">
        <f>"李後锦"</f>
        <v>李後锦</v>
      </c>
      <c r="C4302" s="2" t="s">
        <v>3839</v>
      </c>
      <c r="D4302" s="2" t="s">
        <v>3850</v>
      </c>
      <c r="E4302" s="3"/>
    </row>
    <row r="4303" spans="1:5" ht="24.75" customHeight="1">
      <c r="A4303" s="2">
        <v>4301</v>
      </c>
      <c r="B4303" s="2" t="str">
        <f>"陈道玉"</f>
        <v>陈道玉</v>
      </c>
      <c r="C4303" s="2" t="s">
        <v>3839</v>
      </c>
      <c r="D4303" s="2" t="s">
        <v>3851</v>
      </c>
      <c r="E4303" s="3"/>
    </row>
    <row r="4304" spans="1:5" ht="24.75" customHeight="1">
      <c r="A4304" s="2">
        <v>4302</v>
      </c>
      <c r="B4304" s="2" t="str">
        <f>"郭雪雅"</f>
        <v>郭雪雅</v>
      </c>
      <c r="C4304" s="2" t="s">
        <v>3839</v>
      </c>
      <c r="D4304" s="2" t="s">
        <v>440</v>
      </c>
      <c r="E4304" s="3"/>
    </row>
    <row r="4305" spans="1:5" ht="24.75" customHeight="1">
      <c r="A4305" s="2">
        <v>4303</v>
      </c>
      <c r="B4305" s="2" t="str">
        <f>"关蒂莲"</f>
        <v>关蒂莲</v>
      </c>
      <c r="C4305" s="2" t="s">
        <v>3839</v>
      </c>
      <c r="D4305" s="2" t="s">
        <v>3852</v>
      </c>
      <c r="E4305" s="3"/>
    </row>
    <row r="4306" spans="1:5" ht="24.75" customHeight="1">
      <c r="A4306" s="2">
        <v>4304</v>
      </c>
      <c r="B4306" s="2" t="str">
        <f>"李美健"</f>
        <v>李美健</v>
      </c>
      <c r="C4306" s="2" t="s">
        <v>3839</v>
      </c>
      <c r="D4306" s="2" t="s">
        <v>1502</v>
      </c>
      <c r="E4306" s="3"/>
    </row>
    <row r="4307" spans="1:5" ht="24.75" customHeight="1">
      <c r="A4307" s="2">
        <v>4305</v>
      </c>
      <c r="B4307" s="2" t="str">
        <f>"唐秋莲"</f>
        <v>唐秋莲</v>
      </c>
      <c r="C4307" s="2" t="s">
        <v>3839</v>
      </c>
      <c r="D4307" s="2" t="s">
        <v>3853</v>
      </c>
      <c r="E4307" s="3"/>
    </row>
    <row r="4308" spans="1:5" ht="24.75" customHeight="1">
      <c r="A4308" s="2">
        <v>4306</v>
      </c>
      <c r="B4308" s="2" t="str">
        <f>"刘少寒"</f>
        <v>刘少寒</v>
      </c>
      <c r="C4308" s="2" t="s">
        <v>3839</v>
      </c>
      <c r="D4308" s="2" t="s">
        <v>3854</v>
      </c>
      <c r="E4308" s="3"/>
    </row>
    <row r="4309" spans="1:5" ht="24.75" customHeight="1">
      <c r="A4309" s="2">
        <v>4307</v>
      </c>
      <c r="B4309" s="2" t="str">
        <f>"吴梦玉"</f>
        <v>吴梦玉</v>
      </c>
      <c r="C4309" s="2" t="s">
        <v>3839</v>
      </c>
      <c r="D4309" s="2" t="s">
        <v>3855</v>
      </c>
      <c r="E4309" s="3"/>
    </row>
    <row r="4310" spans="1:5" ht="24.75" customHeight="1">
      <c r="A4310" s="2">
        <v>4308</v>
      </c>
      <c r="B4310" s="2" t="str">
        <f>"孙晨豪"</f>
        <v>孙晨豪</v>
      </c>
      <c r="C4310" s="2" t="s">
        <v>3839</v>
      </c>
      <c r="D4310" s="2" t="s">
        <v>3856</v>
      </c>
      <c r="E4310" s="3"/>
    </row>
    <row r="4311" spans="1:5" ht="24.75" customHeight="1">
      <c r="A4311" s="2">
        <v>4309</v>
      </c>
      <c r="B4311" s="2" t="str">
        <f>"黄添慧"</f>
        <v>黄添慧</v>
      </c>
      <c r="C4311" s="2" t="s">
        <v>3839</v>
      </c>
      <c r="D4311" s="2" t="s">
        <v>3857</v>
      </c>
      <c r="E4311" s="3"/>
    </row>
    <row r="4312" spans="1:5" ht="24.75" customHeight="1">
      <c r="A4312" s="2">
        <v>4310</v>
      </c>
      <c r="B4312" s="2" t="str">
        <f>"王金春"</f>
        <v>王金春</v>
      </c>
      <c r="C4312" s="2" t="s">
        <v>3839</v>
      </c>
      <c r="D4312" s="2" t="s">
        <v>3858</v>
      </c>
      <c r="E4312" s="3"/>
    </row>
    <row r="4313" spans="1:5" ht="24.75" customHeight="1">
      <c r="A4313" s="2">
        <v>4311</v>
      </c>
      <c r="B4313" s="2" t="str">
        <f>"杜桢"</f>
        <v>杜桢</v>
      </c>
      <c r="C4313" s="2" t="s">
        <v>3839</v>
      </c>
      <c r="D4313" s="2" t="s">
        <v>1812</v>
      </c>
      <c r="E4313" s="3"/>
    </row>
    <row r="4314" spans="1:5" ht="24.75" customHeight="1">
      <c r="A4314" s="2">
        <v>4312</v>
      </c>
      <c r="B4314" s="2" t="str">
        <f>"王思思"</f>
        <v>王思思</v>
      </c>
      <c r="C4314" s="2" t="s">
        <v>3839</v>
      </c>
      <c r="D4314" s="2" t="s">
        <v>1974</v>
      </c>
      <c r="E4314" s="3"/>
    </row>
    <row r="4315" spans="1:5" ht="24.75" customHeight="1">
      <c r="A4315" s="2">
        <v>4313</v>
      </c>
      <c r="B4315" s="2" t="str">
        <f>"黄梦"</f>
        <v>黄梦</v>
      </c>
      <c r="C4315" s="2" t="s">
        <v>3839</v>
      </c>
      <c r="D4315" s="2" t="s">
        <v>1753</v>
      </c>
      <c r="E4315" s="3"/>
    </row>
    <row r="4316" spans="1:5" ht="24.75" customHeight="1">
      <c r="A4316" s="2">
        <v>4314</v>
      </c>
      <c r="B4316" s="2" t="str">
        <f>"冯学哲"</f>
        <v>冯学哲</v>
      </c>
      <c r="C4316" s="2" t="s">
        <v>3839</v>
      </c>
      <c r="D4316" s="2" t="s">
        <v>2018</v>
      </c>
      <c r="E4316" s="3"/>
    </row>
    <row r="4317" spans="1:5" ht="24.75" customHeight="1">
      <c r="A4317" s="2">
        <v>4315</v>
      </c>
      <c r="B4317" s="2" t="str">
        <f>"蒙丽艳"</f>
        <v>蒙丽艳</v>
      </c>
      <c r="C4317" s="2" t="s">
        <v>3839</v>
      </c>
      <c r="D4317" s="2" t="s">
        <v>3859</v>
      </c>
      <c r="E4317" s="3"/>
    </row>
    <row r="4318" spans="1:5" ht="24.75" customHeight="1">
      <c r="A4318" s="2">
        <v>4316</v>
      </c>
      <c r="B4318" s="2" t="str">
        <f>"陈一翠"</f>
        <v>陈一翠</v>
      </c>
      <c r="C4318" s="2" t="s">
        <v>3839</v>
      </c>
      <c r="D4318" s="2" t="s">
        <v>1126</v>
      </c>
      <c r="E4318" s="3"/>
    </row>
    <row r="4319" spans="1:5" ht="24.75" customHeight="1">
      <c r="A4319" s="2">
        <v>4317</v>
      </c>
      <c r="B4319" s="2" t="str">
        <f>"赵师静"</f>
        <v>赵师静</v>
      </c>
      <c r="C4319" s="2" t="s">
        <v>3839</v>
      </c>
      <c r="D4319" s="2" t="s">
        <v>3860</v>
      </c>
      <c r="E4319" s="3"/>
    </row>
    <row r="4320" spans="1:5" ht="24.75" customHeight="1">
      <c r="A4320" s="2">
        <v>4318</v>
      </c>
      <c r="B4320" s="2" t="str">
        <f>"徐木交"</f>
        <v>徐木交</v>
      </c>
      <c r="C4320" s="2" t="s">
        <v>3839</v>
      </c>
      <c r="D4320" s="2" t="s">
        <v>3861</v>
      </c>
      <c r="E4320" s="3"/>
    </row>
    <row r="4321" spans="1:5" ht="24.75" customHeight="1">
      <c r="A4321" s="2">
        <v>4319</v>
      </c>
      <c r="B4321" s="2" t="str">
        <f>"李莉芬"</f>
        <v>李莉芬</v>
      </c>
      <c r="C4321" s="2" t="s">
        <v>3839</v>
      </c>
      <c r="D4321" s="2" t="s">
        <v>1223</v>
      </c>
      <c r="E4321" s="3"/>
    </row>
    <row r="4322" spans="1:5" ht="24.75" customHeight="1">
      <c r="A4322" s="2">
        <v>4320</v>
      </c>
      <c r="B4322" s="2" t="str">
        <f>"范妙莉"</f>
        <v>范妙莉</v>
      </c>
      <c r="C4322" s="2" t="s">
        <v>3839</v>
      </c>
      <c r="D4322" s="2" t="s">
        <v>3020</v>
      </c>
      <c r="E4322" s="3"/>
    </row>
    <row r="4323" spans="1:5" ht="24.75" customHeight="1">
      <c r="A4323" s="2">
        <v>4321</v>
      </c>
      <c r="B4323" s="2" t="str">
        <f>"叶保纯"</f>
        <v>叶保纯</v>
      </c>
      <c r="C4323" s="2" t="s">
        <v>3839</v>
      </c>
      <c r="D4323" s="2" t="s">
        <v>2325</v>
      </c>
      <c r="E4323" s="3"/>
    </row>
    <row r="4324" spans="1:5" ht="24.75" customHeight="1">
      <c r="A4324" s="2">
        <v>4322</v>
      </c>
      <c r="B4324" s="2" t="str">
        <f>"郑暖丽"</f>
        <v>郑暖丽</v>
      </c>
      <c r="C4324" s="2" t="s">
        <v>3839</v>
      </c>
      <c r="D4324" s="2" t="s">
        <v>3862</v>
      </c>
      <c r="E4324" s="3"/>
    </row>
    <row r="4325" spans="1:5" ht="24.75" customHeight="1">
      <c r="A4325" s="2">
        <v>4323</v>
      </c>
      <c r="B4325" s="2" t="str">
        <f>"符晓达"</f>
        <v>符晓达</v>
      </c>
      <c r="C4325" s="2" t="s">
        <v>3839</v>
      </c>
      <c r="D4325" s="2" t="s">
        <v>3863</v>
      </c>
      <c r="E4325" s="3"/>
    </row>
    <row r="4326" spans="1:5" ht="24.75" customHeight="1">
      <c r="A4326" s="2">
        <v>4324</v>
      </c>
      <c r="B4326" s="2" t="str">
        <f>"黄威"</f>
        <v>黄威</v>
      </c>
      <c r="C4326" s="2" t="s">
        <v>3839</v>
      </c>
      <c r="D4326" s="2" t="s">
        <v>3864</v>
      </c>
      <c r="E4326" s="3"/>
    </row>
    <row r="4327" spans="1:5" ht="24.75" customHeight="1">
      <c r="A4327" s="2">
        <v>4325</v>
      </c>
      <c r="B4327" s="2" t="str">
        <f>"王生泽"</f>
        <v>王生泽</v>
      </c>
      <c r="C4327" s="2" t="s">
        <v>3839</v>
      </c>
      <c r="D4327" s="2" t="s">
        <v>3865</v>
      </c>
      <c r="E4327" s="3"/>
    </row>
    <row r="4328" spans="1:5" ht="24.75" customHeight="1">
      <c r="A4328" s="2">
        <v>4326</v>
      </c>
      <c r="B4328" s="2" t="str">
        <f>"曾焕璧"</f>
        <v>曾焕璧</v>
      </c>
      <c r="C4328" s="2" t="s">
        <v>3839</v>
      </c>
      <c r="D4328" s="2" t="s">
        <v>3866</v>
      </c>
      <c r="E4328" s="3"/>
    </row>
    <row r="4329" spans="1:5" ht="24.75" customHeight="1">
      <c r="A4329" s="2">
        <v>4327</v>
      </c>
      <c r="B4329" s="2" t="str">
        <f>"符丽平"</f>
        <v>符丽平</v>
      </c>
      <c r="C4329" s="2" t="s">
        <v>3839</v>
      </c>
      <c r="D4329" s="2" t="s">
        <v>1075</v>
      </c>
      <c r="E4329" s="3"/>
    </row>
    <row r="4330" spans="1:5" ht="24.75" customHeight="1">
      <c r="A4330" s="2">
        <v>4328</v>
      </c>
      <c r="B4330" s="2" t="str">
        <f>"卜华青"</f>
        <v>卜华青</v>
      </c>
      <c r="C4330" s="2" t="s">
        <v>3839</v>
      </c>
      <c r="D4330" s="2" t="s">
        <v>3867</v>
      </c>
      <c r="E4330" s="3"/>
    </row>
    <row r="4331" spans="1:5" ht="24.75" customHeight="1">
      <c r="A4331" s="2">
        <v>4329</v>
      </c>
      <c r="B4331" s="2" t="str">
        <f>"潘子婧"</f>
        <v>潘子婧</v>
      </c>
      <c r="C4331" s="2" t="s">
        <v>3839</v>
      </c>
      <c r="D4331" s="2" t="s">
        <v>3868</v>
      </c>
      <c r="E4331" s="3"/>
    </row>
    <row r="4332" spans="1:5" ht="24.75" customHeight="1">
      <c r="A4332" s="2">
        <v>4330</v>
      </c>
      <c r="B4332" s="2" t="str">
        <f>"文登俊"</f>
        <v>文登俊</v>
      </c>
      <c r="C4332" s="2" t="s">
        <v>3839</v>
      </c>
      <c r="D4332" s="2" t="s">
        <v>3869</v>
      </c>
      <c r="E4332" s="3"/>
    </row>
    <row r="4333" spans="1:5" ht="24.75" customHeight="1">
      <c r="A4333" s="2">
        <v>4331</v>
      </c>
      <c r="B4333" s="2" t="str">
        <f>"谭翮"</f>
        <v>谭翮</v>
      </c>
      <c r="C4333" s="2" t="s">
        <v>3839</v>
      </c>
      <c r="D4333" s="2" t="s">
        <v>3870</v>
      </c>
      <c r="E4333" s="3"/>
    </row>
    <row r="4334" spans="1:5" ht="24.75" customHeight="1">
      <c r="A4334" s="2">
        <v>4332</v>
      </c>
      <c r="B4334" s="2" t="str">
        <f>"李帆"</f>
        <v>李帆</v>
      </c>
      <c r="C4334" s="2" t="s">
        <v>3839</v>
      </c>
      <c r="D4334" s="2" t="s">
        <v>3871</v>
      </c>
      <c r="E4334" s="3"/>
    </row>
    <row r="4335" spans="1:5" ht="24.75" customHeight="1">
      <c r="A4335" s="2">
        <v>4333</v>
      </c>
      <c r="B4335" s="2" t="str">
        <f>"羊名欢"</f>
        <v>羊名欢</v>
      </c>
      <c r="C4335" s="2" t="s">
        <v>3839</v>
      </c>
      <c r="D4335" s="2" t="s">
        <v>248</v>
      </c>
      <c r="E4335" s="3"/>
    </row>
    <row r="4336" spans="1:5" ht="24.75" customHeight="1">
      <c r="A4336" s="2">
        <v>4334</v>
      </c>
      <c r="B4336" s="2" t="str">
        <f>"曾理娟"</f>
        <v>曾理娟</v>
      </c>
      <c r="C4336" s="2" t="s">
        <v>3839</v>
      </c>
      <c r="D4336" s="2" t="s">
        <v>47</v>
      </c>
      <c r="E4336" s="3"/>
    </row>
    <row r="4337" spans="1:5" ht="24.75" customHeight="1">
      <c r="A4337" s="2">
        <v>4335</v>
      </c>
      <c r="B4337" s="2" t="str">
        <f>"周伟亮"</f>
        <v>周伟亮</v>
      </c>
      <c r="C4337" s="2" t="s">
        <v>3839</v>
      </c>
      <c r="D4337" s="2" t="s">
        <v>1495</v>
      </c>
      <c r="E4337" s="3"/>
    </row>
    <row r="4338" spans="1:5" ht="24.75" customHeight="1">
      <c r="A4338" s="2">
        <v>4336</v>
      </c>
      <c r="B4338" s="2" t="str">
        <f>"陈天宝"</f>
        <v>陈天宝</v>
      </c>
      <c r="C4338" s="2" t="s">
        <v>3839</v>
      </c>
      <c r="D4338" s="2" t="s">
        <v>3872</v>
      </c>
      <c r="E4338" s="3"/>
    </row>
    <row r="4339" spans="1:5" ht="24.75" customHeight="1">
      <c r="A4339" s="2">
        <v>4337</v>
      </c>
      <c r="B4339" s="2" t="str">
        <f>"邢维纲"</f>
        <v>邢维纲</v>
      </c>
      <c r="C4339" s="2" t="s">
        <v>3839</v>
      </c>
      <c r="D4339" s="2" t="s">
        <v>3873</v>
      </c>
      <c r="E4339" s="3"/>
    </row>
    <row r="4340" spans="1:5" ht="24.75" customHeight="1">
      <c r="A4340" s="2">
        <v>4338</v>
      </c>
      <c r="B4340" s="2" t="str">
        <f>"黄雁玲"</f>
        <v>黄雁玲</v>
      </c>
      <c r="C4340" s="2" t="s">
        <v>3839</v>
      </c>
      <c r="D4340" s="2" t="s">
        <v>3874</v>
      </c>
      <c r="E4340" s="3"/>
    </row>
    <row r="4341" spans="1:5" ht="24.75" customHeight="1">
      <c r="A4341" s="2">
        <v>4339</v>
      </c>
      <c r="B4341" s="2" t="str">
        <f>"李文敏"</f>
        <v>李文敏</v>
      </c>
      <c r="C4341" s="2" t="s">
        <v>3839</v>
      </c>
      <c r="D4341" s="2" t="s">
        <v>3875</v>
      </c>
      <c r="E4341" s="3"/>
    </row>
    <row r="4342" spans="1:5" ht="24.75" customHeight="1">
      <c r="A4342" s="2">
        <v>4340</v>
      </c>
      <c r="B4342" s="2" t="str">
        <f>"冯冬春"</f>
        <v>冯冬春</v>
      </c>
      <c r="C4342" s="2" t="s">
        <v>3839</v>
      </c>
      <c r="D4342" s="2" t="s">
        <v>3876</v>
      </c>
      <c r="E4342" s="3"/>
    </row>
    <row r="4343" spans="1:5" ht="24.75" customHeight="1">
      <c r="A4343" s="2">
        <v>4341</v>
      </c>
      <c r="B4343" s="2" t="str">
        <f>"文影影"</f>
        <v>文影影</v>
      </c>
      <c r="C4343" s="2" t="s">
        <v>3839</v>
      </c>
      <c r="D4343" s="2" t="s">
        <v>3586</v>
      </c>
      <c r="E4343" s="3"/>
    </row>
    <row r="4344" spans="1:5" ht="24.75" customHeight="1">
      <c r="A4344" s="2">
        <v>4342</v>
      </c>
      <c r="B4344" s="2" t="str">
        <f>"李菁"</f>
        <v>李菁</v>
      </c>
      <c r="C4344" s="2" t="s">
        <v>3839</v>
      </c>
      <c r="D4344" s="2" t="s">
        <v>3877</v>
      </c>
      <c r="E4344" s="3"/>
    </row>
    <row r="4345" spans="1:5" ht="24.75" customHeight="1">
      <c r="A4345" s="2">
        <v>4343</v>
      </c>
      <c r="B4345" s="2" t="str">
        <f>"李玫玲"</f>
        <v>李玫玲</v>
      </c>
      <c r="C4345" s="2" t="s">
        <v>3839</v>
      </c>
      <c r="D4345" s="2" t="s">
        <v>1151</v>
      </c>
      <c r="E4345" s="3"/>
    </row>
    <row r="4346" spans="1:5" ht="24.75" customHeight="1">
      <c r="A4346" s="2">
        <v>4344</v>
      </c>
      <c r="B4346" s="2" t="str">
        <f>"韦敏玲"</f>
        <v>韦敏玲</v>
      </c>
      <c r="C4346" s="2" t="s">
        <v>3839</v>
      </c>
      <c r="D4346" s="2" t="s">
        <v>3878</v>
      </c>
      <c r="E4346" s="3"/>
    </row>
    <row r="4347" spans="1:5" ht="24.75" customHeight="1">
      <c r="A4347" s="2">
        <v>4345</v>
      </c>
      <c r="B4347" s="2" t="str">
        <f>"刘彤彤"</f>
        <v>刘彤彤</v>
      </c>
      <c r="C4347" s="2" t="s">
        <v>3839</v>
      </c>
      <c r="D4347" s="2" t="s">
        <v>3235</v>
      </c>
      <c r="E4347" s="3"/>
    </row>
    <row r="4348" spans="1:5" ht="24.75" customHeight="1">
      <c r="A4348" s="2">
        <v>4346</v>
      </c>
      <c r="B4348" s="2" t="str">
        <f>"徐彩玲"</f>
        <v>徐彩玲</v>
      </c>
      <c r="C4348" s="2" t="s">
        <v>3839</v>
      </c>
      <c r="D4348" s="2" t="s">
        <v>3879</v>
      </c>
      <c r="E4348" s="3"/>
    </row>
    <row r="4349" spans="1:5" ht="24.75" customHeight="1">
      <c r="A4349" s="2">
        <v>4347</v>
      </c>
      <c r="B4349" s="2" t="str">
        <f>"陈佳佳"</f>
        <v>陈佳佳</v>
      </c>
      <c r="C4349" s="2" t="s">
        <v>3839</v>
      </c>
      <c r="D4349" s="2" t="s">
        <v>3880</v>
      </c>
      <c r="E4349" s="3"/>
    </row>
    <row r="4350" spans="1:5" ht="24.75" customHeight="1">
      <c r="A4350" s="2">
        <v>4348</v>
      </c>
      <c r="B4350" s="2" t="str">
        <f>"王军"</f>
        <v>王军</v>
      </c>
      <c r="C4350" s="2" t="s">
        <v>3839</v>
      </c>
      <c r="D4350" s="2" t="s">
        <v>2682</v>
      </c>
      <c r="E4350" s="3"/>
    </row>
    <row r="4351" spans="1:5" ht="24.75" customHeight="1">
      <c r="A4351" s="2">
        <v>4349</v>
      </c>
      <c r="B4351" s="2" t="str">
        <f>"陈华玲"</f>
        <v>陈华玲</v>
      </c>
      <c r="C4351" s="2" t="s">
        <v>3839</v>
      </c>
      <c r="D4351" s="2" t="s">
        <v>3881</v>
      </c>
      <c r="E4351" s="3"/>
    </row>
    <row r="4352" spans="1:5" ht="24.75" customHeight="1">
      <c r="A4352" s="2">
        <v>4350</v>
      </c>
      <c r="B4352" s="2" t="str">
        <f>"邢开岱"</f>
        <v>邢开岱</v>
      </c>
      <c r="C4352" s="2" t="s">
        <v>3839</v>
      </c>
      <c r="D4352" s="2" t="s">
        <v>3882</v>
      </c>
      <c r="E4352" s="3"/>
    </row>
    <row r="4353" spans="1:5" ht="24.75" customHeight="1">
      <c r="A4353" s="2">
        <v>4351</v>
      </c>
      <c r="B4353" s="2" t="str">
        <f>"符馨予"</f>
        <v>符馨予</v>
      </c>
      <c r="C4353" s="2" t="s">
        <v>3839</v>
      </c>
      <c r="D4353" s="2" t="s">
        <v>3883</v>
      </c>
      <c r="E4353" s="3"/>
    </row>
    <row r="4354" spans="1:5" ht="24.75" customHeight="1">
      <c r="A4354" s="2">
        <v>4352</v>
      </c>
      <c r="B4354" s="2" t="str">
        <f>"廖小燕"</f>
        <v>廖小燕</v>
      </c>
      <c r="C4354" s="2" t="s">
        <v>3839</v>
      </c>
      <c r="D4354" s="2" t="s">
        <v>3884</v>
      </c>
      <c r="E4354" s="3"/>
    </row>
    <row r="4355" spans="1:5" ht="24.75" customHeight="1">
      <c r="A4355" s="2">
        <v>4353</v>
      </c>
      <c r="B4355" s="2" t="str">
        <f>"张希卓"</f>
        <v>张希卓</v>
      </c>
      <c r="C4355" s="2" t="s">
        <v>3839</v>
      </c>
      <c r="D4355" s="2" t="s">
        <v>3885</v>
      </c>
      <c r="E4355" s="3"/>
    </row>
    <row r="4356" spans="1:5" ht="24.75" customHeight="1">
      <c r="A4356" s="2">
        <v>4354</v>
      </c>
      <c r="B4356" s="2" t="str">
        <f>"吴彩云"</f>
        <v>吴彩云</v>
      </c>
      <c r="C4356" s="2" t="s">
        <v>3839</v>
      </c>
      <c r="D4356" s="2" t="s">
        <v>3886</v>
      </c>
      <c r="E4356" s="3"/>
    </row>
    <row r="4357" spans="1:5" ht="24.75" customHeight="1">
      <c r="A4357" s="2">
        <v>4355</v>
      </c>
      <c r="B4357" s="2" t="str">
        <f>"唐晶晶"</f>
        <v>唐晶晶</v>
      </c>
      <c r="C4357" s="2" t="s">
        <v>3839</v>
      </c>
      <c r="D4357" s="2" t="s">
        <v>3887</v>
      </c>
      <c r="E4357" s="3"/>
    </row>
    <row r="4358" spans="1:5" ht="24.75" customHeight="1">
      <c r="A4358" s="2">
        <v>4356</v>
      </c>
      <c r="B4358" s="2" t="str">
        <f>"黎冬梅"</f>
        <v>黎冬梅</v>
      </c>
      <c r="C4358" s="2" t="s">
        <v>3839</v>
      </c>
      <c r="D4358" s="2" t="s">
        <v>3513</v>
      </c>
      <c r="E4358" s="3"/>
    </row>
    <row r="4359" spans="1:5" ht="24.75" customHeight="1">
      <c r="A4359" s="2">
        <v>4357</v>
      </c>
      <c r="B4359" s="2" t="str">
        <f>"符琦雅"</f>
        <v>符琦雅</v>
      </c>
      <c r="C4359" s="2" t="s">
        <v>3839</v>
      </c>
      <c r="D4359" s="2" t="s">
        <v>3888</v>
      </c>
      <c r="E4359" s="3"/>
    </row>
    <row r="4360" spans="1:5" ht="24.75" customHeight="1">
      <c r="A4360" s="2">
        <v>4358</v>
      </c>
      <c r="B4360" s="2" t="str">
        <f>"彭怡"</f>
        <v>彭怡</v>
      </c>
      <c r="C4360" s="2" t="s">
        <v>3839</v>
      </c>
      <c r="D4360" s="2" t="s">
        <v>3889</v>
      </c>
      <c r="E4360" s="3"/>
    </row>
    <row r="4361" spans="1:5" ht="24.75" customHeight="1">
      <c r="A4361" s="2">
        <v>4359</v>
      </c>
      <c r="B4361" s="2" t="str">
        <f>"董嬉娉"</f>
        <v>董嬉娉</v>
      </c>
      <c r="C4361" s="2" t="s">
        <v>3839</v>
      </c>
      <c r="D4361" s="2" t="s">
        <v>1490</v>
      </c>
      <c r="E4361" s="3"/>
    </row>
    <row r="4362" spans="1:5" ht="24.75" customHeight="1">
      <c r="A4362" s="2">
        <v>4360</v>
      </c>
      <c r="B4362" s="2" t="str">
        <f>"李伟"</f>
        <v>李伟</v>
      </c>
      <c r="C4362" s="2" t="s">
        <v>3839</v>
      </c>
      <c r="D4362" s="2" t="s">
        <v>3890</v>
      </c>
      <c r="E4362" s="3"/>
    </row>
    <row r="4363" spans="1:5" ht="24.75" customHeight="1">
      <c r="A4363" s="2">
        <v>4361</v>
      </c>
      <c r="B4363" s="2" t="str">
        <f>"洪道隆"</f>
        <v>洪道隆</v>
      </c>
      <c r="C4363" s="2" t="s">
        <v>3839</v>
      </c>
      <c r="D4363" s="2" t="s">
        <v>3826</v>
      </c>
      <c r="E4363" s="3"/>
    </row>
    <row r="4364" spans="1:5" ht="24.75" customHeight="1">
      <c r="A4364" s="2">
        <v>4362</v>
      </c>
      <c r="B4364" s="2" t="str">
        <f>"陈景"</f>
        <v>陈景</v>
      </c>
      <c r="C4364" s="2" t="s">
        <v>3839</v>
      </c>
      <c r="D4364" s="2" t="s">
        <v>3891</v>
      </c>
      <c r="E4364" s="3"/>
    </row>
    <row r="4365" spans="1:5" ht="24.75" customHeight="1">
      <c r="A4365" s="2">
        <v>4363</v>
      </c>
      <c r="B4365" s="2" t="str">
        <f>"梁昌彪"</f>
        <v>梁昌彪</v>
      </c>
      <c r="C4365" s="2" t="s">
        <v>3839</v>
      </c>
      <c r="D4365" s="2" t="s">
        <v>3892</v>
      </c>
      <c r="E4365" s="3"/>
    </row>
    <row r="4366" spans="1:5" ht="24.75" customHeight="1">
      <c r="A4366" s="2">
        <v>4364</v>
      </c>
      <c r="B4366" s="2" t="str">
        <f>"吴原先"</f>
        <v>吴原先</v>
      </c>
      <c r="C4366" s="2" t="s">
        <v>3839</v>
      </c>
      <c r="D4366" s="2" t="s">
        <v>3893</v>
      </c>
      <c r="E4366" s="3"/>
    </row>
    <row r="4367" spans="1:5" ht="24.75" customHeight="1">
      <c r="A4367" s="2">
        <v>4365</v>
      </c>
      <c r="B4367" s="2" t="str">
        <f>"陈荣平"</f>
        <v>陈荣平</v>
      </c>
      <c r="C4367" s="2" t="s">
        <v>3839</v>
      </c>
      <c r="D4367" s="2" t="s">
        <v>3894</v>
      </c>
      <c r="E4367" s="3"/>
    </row>
    <row r="4368" spans="1:5" ht="24.75" customHeight="1">
      <c r="A4368" s="2">
        <v>4366</v>
      </c>
      <c r="B4368" s="2" t="str">
        <f>"符彩形"</f>
        <v>符彩形</v>
      </c>
      <c r="C4368" s="2" t="s">
        <v>3839</v>
      </c>
      <c r="D4368" s="2" t="s">
        <v>3895</v>
      </c>
      <c r="E4368" s="3"/>
    </row>
    <row r="4369" spans="1:5" ht="24.75" customHeight="1">
      <c r="A4369" s="2">
        <v>4367</v>
      </c>
      <c r="B4369" s="2" t="str">
        <f>"徐安琪"</f>
        <v>徐安琪</v>
      </c>
      <c r="C4369" s="2" t="s">
        <v>3839</v>
      </c>
      <c r="D4369" s="2" t="s">
        <v>3896</v>
      </c>
      <c r="E4369" s="3"/>
    </row>
    <row r="4370" spans="1:5" ht="24.75" customHeight="1">
      <c r="A4370" s="2">
        <v>4368</v>
      </c>
      <c r="B4370" s="2" t="str">
        <f>"王永秋"</f>
        <v>王永秋</v>
      </c>
      <c r="C4370" s="2" t="s">
        <v>3839</v>
      </c>
      <c r="D4370" s="2" t="s">
        <v>3897</v>
      </c>
      <c r="E4370" s="3"/>
    </row>
    <row r="4371" spans="1:5" ht="24.75" customHeight="1">
      <c r="A4371" s="2">
        <v>4369</v>
      </c>
      <c r="B4371" s="2" t="str">
        <f>"王兰"</f>
        <v>王兰</v>
      </c>
      <c r="C4371" s="2" t="s">
        <v>3839</v>
      </c>
      <c r="D4371" s="2" t="s">
        <v>3898</v>
      </c>
      <c r="E4371" s="3"/>
    </row>
    <row r="4372" spans="1:5" ht="24.75" customHeight="1">
      <c r="A4372" s="2">
        <v>4370</v>
      </c>
      <c r="B4372" s="2" t="str">
        <f>"郭晓琪"</f>
        <v>郭晓琪</v>
      </c>
      <c r="C4372" s="2" t="s">
        <v>3839</v>
      </c>
      <c r="D4372" s="2" t="s">
        <v>3899</v>
      </c>
      <c r="E4372" s="3"/>
    </row>
    <row r="4373" spans="1:5" ht="24.75" customHeight="1">
      <c r="A4373" s="2">
        <v>4371</v>
      </c>
      <c r="B4373" s="2" t="str">
        <f>"郑义尹"</f>
        <v>郑义尹</v>
      </c>
      <c r="C4373" s="2" t="s">
        <v>3839</v>
      </c>
      <c r="D4373" s="2" t="s">
        <v>3900</v>
      </c>
      <c r="E4373" s="3"/>
    </row>
    <row r="4374" spans="1:5" ht="24.75" customHeight="1">
      <c r="A4374" s="2">
        <v>4372</v>
      </c>
      <c r="B4374" s="2" t="str">
        <f>"王蝶"</f>
        <v>王蝶</v>
      </c>
      <c r="C4374" s="2" t="s">
        <v>3839</v>
      </c>
      <c r="D4374" s="2" t="s">
        <v>3901</v>
      </c>
      <c r="E4374" s="3"/>
    </row>
    <row r="4375" spans="1:5" ht="24.75" customHeight="1">
      <c r="A4375" s="2">
        <v>4373</v>
      </c>
      <c r="B4375" s="2" t="str">
        <f>"邱相儒"</f>
        <v>邱相儒</v>
      </c>
      <c r="C4375" s="2" t="s">
        <v>3839</v>
      </c>
      <c r="D4375" s="2" t="s">
        <v>3902</v>
      </c>
      <c r="E4375" s="3"/>
    </row>
    <row r="4376" spans="1:5" ht="24.75" customHeight="1">
      <c r="A4376" s="2">
        <v>4374</v>
      </c>
      <c r="B4376" s="2" t="str">
        <f>"王东丽"</f>
        <v>王东丽</v>
      </c>
      <c r="C4376" s="2" t="s">
        <v>3839</v>
      </c>
      <c r="D4376" s="2" t="s">
        <v>3903</v>
      </c>
      <c r="E4376" s="3"/>
    </row>
    <row r="4377" spans="1:5" ht="24.75" customHeight="1">
      <c r="A4377" s="2">
        <v>4375</v>
      </c>
      <c r="B4377" s="2" t="str">
        <f>"邢雅韵"</f>
        <v>邢雅韵</v>
      </c>
      <c r="C4377" s="2" t="s">
        <v>3839</v>
      </c>
      <c r="D4377" s="2" t="s">
        <v>943</v>
      </c>
      <c r="E4377" s="3"/>
    </row>
    <row r="4378" spans="1:5" ht="24.75" customHeight="1">
      <c r="A4378" s="2">
        <v>4376</v>
      </c>
      <c r="B4378" s="2" t="str">
        <f>"刘晓蕾"</f>
        <v>刘晓蕾</v>
      </c>
      <c r="C4378" s="2" t="s">
        <v>3839</v>
      </c>
      <c r="D4378" s="2" t="s">
        <v>3045</v>
      </c>
      <c r="E4378" s="3"/>
    </row>
    <row r="4379" spans="1:5" ht="24.75" customHeight="1">
      <c r="A4379" s="2">
        <v>4377</v>
      </c>
      <c r="B4379" s="2" t="str">
        <f>"卢岳丽"</f>
        <v>卢岳丽</v>
      </c>
      <c r="C4379" s="2" t="s">
        <v>3839</v>
      </c>
      <c r="D4379" s="2" t="s">
        <v>3904</v>
      </c>
      <c r="E4379" s="3"/>
    </row>
    <row r="4380" spans="1:5" ht="24.75" customHeight="1">
      <c r="A4380" s="2">
        <v>4378</v>
      </c>
      <c r="B4380" s="2" t="str">
        <f>"张淑贞"</f>
        <v>张淑贞</v>
      </c>
      <c r="C4380" s="2" t="s">
        <v>3839</v>
      </c>
      <c r="D4380" s="2" t="s">
        <v>3905</v>
      </c>
      <c r="E4380" s="3"/>
    </row>
    <row r="4381" spans="1:5" ht="24.75" customHeight="1">
      <c r="A4381" s="2">
        <v>4379</v>
      </c>
      <c r="B4381" s="2" t="str">
        <f>"陈东"</f>
        <v>陈东</v>
      </c>
      <c r="C4381" s="2" t="s">
        <v>3839</v>
      </c>
      <c r="D4381" s="2" t="s">
        <v>3906</v>
      </c>
      <c r="E4381" s="3"/>
    </row>
    <row r="4382" spans="1:5" ht="24.75" customHeight="1">
      <c r="A4382" s="2">
        <v>4380</v>
      </c>
      <c r="B4382" s="2" t="str">
        <f>"李双吉"</f>
        <v>李双吉</v>
      </c>
      <c r="C4382" s="2" t="s">
        <v>3839</v>
      </c>
      <c r="D4382" s="2" t="s">
        <v>3907</v>
      </c>
      <c r="E4382" s="3"/>
    </row>
    <row r="4383" spans="1:5" ht="24.75" customHeight="1">
      <c r="A4383" s="2">
        <v>4381</v>
      </c>
      <c r="B4383" s="2" t="str">
        <f>"符连妍"</f>
        <v>符连妍</v>
      </c>
      <c r="C4383" s="2" t="s">
        <v>3839</v>
      </c>
      <c r="D4383" s="2" t="s">
        <v>3908</v>
      </c>
      <c r="E4383" s="3"/>
    </row>
    <row r="4384" spans="1:5" ht="24.75" customHeight="1">
      <c r="A4384" s="2">
        <v>4382</v>
      </c>
      <c r="B4384" s="2" t="str">
        <f>"曾莹"</f>
        <v>曾莹</v>
      </c>
      <c r="C4384" s="2" t="s">
        <v>3839</v>
      </c>
      <c r="D4384" s="2" t="s">
        <v>3909</v>
      </c>
      <c r="E4384" s="3"/>
    </row>
    <row r="4385" spans="1:5" ht="24.75" customHeight="1">
      <c r="A4385" s="2">
        <v>4383</v>
      </c>
      <c r="B4385" s="2" t="str">
        <f>"李唯维"</f>
        <v>李唯维</v>
      </c>
      <c r="C4385" s="2" t="s">
        <v>3839</v>
      </c>
      <c r="D4385" s="2" t="s">
        <v>3910</v>
      </c>
      <c r="E4385" s="3"/>
    </row>
    <row r="4386" spans="1:5" ht="24.75" customHeight="1">
      <c r="A4386" s="2">
        <v>4384</v>
      </c>
      <c r="B4386" s="2" t="str">
        <f>"吴国强"</f>
        <v>吴国强</v>
      </c>
      <c r="C4386" s="2" t="s">
        <v>3839</v>
      </c>
      <c r="D4386" s="2" t="s">
        <v>3911</v>
      </c>
      <c r="E4386" s="3"/>
    </row>
    <row r="4387" spans="1:5" ht="24.75" customHeight="1">
      <c r="A4387" s="2">
        <v>4385</v>
      </c>
      <c r="B4387" s="2" t="str">
        <f>"罗娟"</f>
        <v>罗娟</v>
      </c>
      <c r="C4387" s="2" t="s">
        <v>3839</v>
      </c>
      <c r="D4387" s="2" t="s">
        <v>3912</v>
      </c>
      <c r="E4387" s="3"/>
    </row>
    <row r="4388" spans="1:5" ht="24.75" customHeight="1">
      <c r="A4388" s="2">
        <v>4386</v>
      </c>
      <c r="B4388" s="2" t="str">
        <f>"石慧雅"</f>
        <v>石慧雅</v>
      </c>
      <c r="C4388" s="2" t="s">
        <v>3839</v>
      </c>
      <c r="D4388" s="2" t="s">
        <v>3913</v>
      </c>
      <c r="E4388" s="3"/>
    </row>
    <row r="4389" spans="1:5" ht="24.75" customHeight="1">
      <c r="A4389" s="2">
        <v>4387</v>
      </c>
      <c r="B4389" s="2" t="str">
        <f>"康真艺"</f>
        <v>康真艺</v>
      </c>
      <c r="C4389" s="2" t="s">
        <v>3839</v>
      </c>
      <c r="D4389" s="2" t="s">
        <v>3914</v>
      </c>
      <c r="E4389" s="3"/>
    </row>
    <row r="4390" spans="1:5" ht="24.75" customHeight="1">
      <c r="A4390" s="2">
        <v>4388</v>
      </c>
      <c r="B4390" s="2" t="str">
        <f>"韩谢英"</f>
        <v>韩谢英</v>
      </c>
      <c r="C4390" s="2" t="s">
        <v>3839</v>
      </c>
      <c r="D4390" s="2" t="s">
        <v>3915</v>
      </c>
      <c r="E4390" s="3"/>
    </row>
    <row r="4391" spans="1:5" ht="24.75" customHeight="1">
      <c r="A4391" s="2">
        <v>4389</v>
      </c>
      <c r="B4391" s="2" t="str">
        <f>"周洪宇"</f>
        <v>周洪宇</v>
      </c>
      <c r="C4391" s="2" t="s">
        <v>3839</v>
      </c>
      <c r="D4391" s="2" t="s">
        <v>1112</v>
      </c>
      <c r="E4391" s="3"/>
    </row>
    <row r="4392" spans="1:5" ht="24.75" customHeight="1">
      <c r="A4392" s="2">
        <v>4390</v>
      </c>
      <c r="B4392" s="2" t="str">
        <f>"刘虹燕"</f>
        <v>刘虹燕</v>
      </c>
      <c r="C4392" s="2" t="s">
        <v>3839</v>
      </c>
      <c r="D4392" s="2" t="s">
        <v>3916</v>
      </c>
      <c r="E4392" s="3"/>
    </row>
    <row r="4393" spans="1:5" ht="24.75" customHeight="1">
      <c r="A4393" s="2">
        <v>4391</v>
      </c>
      <c r="B4393" s="2" t="str">
        <f>"黄世莲"</f>
        <v>黄世莲</v>
      </c>
      <c r="C4393" s="2" t="s">
        <v>3839</v>
      </c>
      <c r="D4393" s="2" t="s">
        <v>3880</v>
      </c>
      <c r="E4393" s="3"/>
    </row>
    <row r="4394" spans="1:5" ht="24.75" customHeight="1">
      <c r="A4394" s="2">
        <v>4392</v>
      </c>
      <c r="B4394" s="2" t="str">
        <f>"杨玉萍"</f>
        <v>杨玉萍</v>
      </c>
      <c r="C4394" s="2" t="s">
        <v>3839</v>
      </c>
      <c r="D4394" s="2" t="s">
        <v>3917</v>
      </c>
      <c r="E4394" s="3"/>
    </row>
    <row r="4395" spans="1:5" ht="24.75" customHeight="1">
      <c r="A4395" s="2">
        <v>4393</v>
      </c>
      <c r="B4395" s="2" t="str">
        <f>"符崇玲"</f>
        <v>符崇玲</v>
      </c>
      <c r="C4395" s="2" t="s">
        <v>3839</v>
      </c>
      <c r="D4395" s="2" t="s">
        <v>3918</v>
      </c>
      <c r="E4395" s="3"/>
    </row>
    <row r="4396" spans="1:5" ht="24.75" customHeight="1">
      <c r="A4396" s="2">
        <v>4394</v>
      </c>
      <c r="B4396" s="2" t="str">
        <f>"李瑶瑶"</f>
        <v>李瑶瑶</v>
      </c>
      <c r="C4396" s="2" t="s">
        <v>3839</v>
      </c>
      <c r="D4396" s="2" t="s">
        <v>3919</v>
      </c>
      <c r="E4396" s="3"/>
    </row>
    <row r="4397" spans="1:5" ht="24.75" customHeight="1">
      <c r="A4397" s="2">
        <v>4395</v>
      </c>
      <c r="B4397" s="2" t="str">
        <f>"叶造民"</f>
        <v>叶造民</v>
      </c>
      <c r="C4397" s="2" t="s">
        <v>3839</v>
      </c>
      <c r="D4397" s="2" t="s">
        <v>3920</v>
      </c>
      <c r="E4397" s="3"/>
    </row>
    <row r="4398" spans="1:5" ht="24.75" customHeight="1">
      <c r="A4398" s="2">
        <v>4396</v>
      </c>
      <c r="B4398" s="2" t="str">
        <f>"张文兵"</f>
        <v>张文兵</v>
      </c>
      <c r="C4398" s="2" t="s">
        <v>3839</v>
      </c>
      <c r="D4398" s="2" t="s">
        <v>3921</v>
      </c>
      <c r="E4398" s="3"/>
    </row>
    <row r="4399" spans="1:5" ht="24.75" customHeight="1">
      <c r="A4399" s="2">
        <v>4397</v>
      </c>
      <c r="B4399" s="2" t="str">
        <f>"冯良婧"</f>
        <v>冯良婧</v>
      </c>
      <c r="C4399" s="2" t="s">
        <v>3839</v>
      </c>
      <c r="D4399" s="2" t="s">
        <v>3922</v>
      </c>
      <c r="E4399" s="3"/>
    </row>
    <row r="4400" spans="1:5" ht="24.75" customHeight="1">
      <c r="A4400" s="2">
        <v>4398</v>
      </c>
      <c r="B4400" s="2" t="str">
        <f>"叶留君"</f>
        <v>叶留君</v>
      </c>
      <c r="C4400" s="2" t="s">
        <v>3839</v>
      </c>
      <c r="D4400" s="2" t="s">
        <v>3923</v>
      </c>
      <c r="E4400" s="3"/>
    </row>
    <row r="4401" spans="1:5" ht="24.75" customHeight="1">
      <c r="A4401" s="2">
        <v>4399</v>
      </c>
      <c r="B4401" s="2" t="str">
        <f>"张勇"</f>
        <v>张勇</v>
      </c>
      <c r="C4401" s="2" t="s">
        <v>3839</v>
      </c>
      <c r="D4401" s="2" t="s">
        <v>3924</v>
      </c>
      <c r="E4401" s="3"/>
    </row>
    <row r="4402" spans="1:5" ht="24.75" customHeight="1">
      <c r="A4402" s="2">
        <v>4400</v>
      </c>
      <c r="B4402" s="2" t="str">
        <f>"吴万惠"</f>
        <v>吴万惠</v>
      </c>
      <c r="C4402" s="2" t="s">
        <v>3839</v>
      </c>
      <c r="D4402" s="2" t="s">
        <v>3925</v>
      </c>
      <c r="E4402" s="3"/>
    </row>
    <row r="4403" spans="1:5" ht="24.75" customHeight="1">
      <c r="A4403" s="2">
        <v>4401</v>
      </c>
      <c r="B4403" s="2" t="str">
        <f>"程鹏"</f>
        <v>程鹏</v>
      </c>
      <c r="C4403" s="2" t="s">
        <v>3839</v>
      </c>
      <c r="D4403" s="2" t="s">
        <v>1806</v>
      </c>
      <c r="E4403" s="3"/>
    </row>
    <row r="4404" spans="1:5" ht="24.75" customHeight="1">
      <c r="A4404" s="2">
        <v>4402</v>
      </c>
      <c r="B4404" s="2" t="str">
        <f>"何小月"</f>
        <v>何小月</v>
      </c>
      <c r="C4404" s="2" t="s">
        <v>3839</v>
      </c>
      <c r="D4404" s="2" t="s">
        <v>3926</v>
      </c>
      <c r="E4404" s="3"/>
    </row>
    <row r="4405" spans="1:5" ht="24.75" customHeight="1">
      <c r="A4405" s="2">
        <v>4403</v>
      </c>
      <c r="B4405" s="2" t="str">
        <f>"曾庆顺"</f>
        <v>曾庆顺</v>
      </c>
      <c r="C4405" s="2" t="s">
        <v>3839</v>
      </c>
      <c r="D4405" s="2" t="s">
        <v>787</v>
      </c>
      <c r="E4405" s="3"/>
    </row>
    <row r="4406" spans="1:5" ht="24.75" customHeight="1">
      <c r="A4406" s="2">
        <v>4404</v>
      </c>
      <c r="B4406" s="2" t="str">
        <f>"孙弟"</f>
        <v>孙弟</v>
      </c>
      <c r="C4406" s="2" t="s">
        <v>3839</v>
      </c>
      <c r="D4406" s="2" t="s">
        <v>3223</v>
      </c>
      <c r="E4406" s="3"/>
    </row>
    <row r="4407" spans="1:5" ht="24.75" customHeight="1">
      <c r="A4407" s="2">
        <v>4405</v>
      </c>
      <c r="B4407" s="2" t="str">
        <f>"梁晓晨"</f>
        <v>梁晓晨</v>
      </c>
      <c r="C4407" s="2" t="s">
        <v>3839</v>
      </c>
      <c r="D4407" s="2" t="s">
        <v>3927</v>
      </c>
      <c r="E4407" s="3"/>
    </row>
    <row r="4408" spans="1:5" ht="24.75" customHeight="1">
      <c r="A4408" s="2">
        <v>4406</v>
      </c>
      <c r="B4408" s="2" t="str">
        <f>"吴巨猷"</f>
        <v>吴巨猷</v>
      </c>
      <c r="C4408" s="2" t="s">
        <v>3839</v>
      </c>
      <c r="D4408" s="2" t="s">
        <v>3928</v>
      </c>
      <c r="E4408" s="3"/>
    </row>
    <row r="4409" spans="1:5" ht="24.75" customHeight="1">
      <c r="A4409" s="2">
        <v>4407</v>
      </c>
      <c r="B4409" s="2" t="str">
        <f>"符桂馨"</f>
        <v>符桂馨</v>
      </c>
      <c r="C4409" s="2" t="s">
        <v>3839</v>
      </c>
      <c r="D4409" s="2" t="s">
        <v>3929</v>
      </c>
      <c r="E4409" s="3"/>
    </row>
    <row r="4410" spans="1:5" ht="24.75" customHeight="1">
      <c r="A4410" s="2">
        <v>4408</v>
      </c>
      <c r="B4410" s="2" t="str">
        <f>"谢永君"</f>
        <v>谢永君</v>
      </c>
      <c r="C4410" s="2" t="s">
        <v>3839</v>
      </c>
      <c r="D4410" s="2" t="s">
        <v>1610</v>
      </c>
      <c r="E4410" s="3"/>
    </row>
    <row r="4411" spans="1:5" ht="24.75" customHeight="1">
      <c r="A4411" s="2">
        <v>4409</v>
      </c>
      <c r="B4411" s="2" t="str">
        <f>"吕丽萍"</f>
        <v>吕丽萍</v>
      </c>
      <c r="C4411" s="2" t="s">
        <v>3839</v>
      </c>
      <c r="D4411" s="2" t="s">
        <v>3930</v>
      </c>
      <c r="E4411" s="3"/>
    </row>
    <row r="4412" spans="1:5" ht="24.75" customHeight="1">
      <c r="A4412" s="2">
        <v>4410</v>
      </c>
      <c r="B4412" s="2" t="str">
        <f>"郑若珍"</f>
        <v>郑若珍</v>
      </c>
      <c r="C4412" s="2" t="s">
        <v>3839</v>
      </c>
      <c r="D4412" s="2" t="s">
        <v>69</v>
      </c>
      <c r="E4412" s="3"/>
    </row>
    <row r="4413" spans="1:5" ht="24.75" customHeight="1">
      <c r="A4413" s="2">
        <v>4411</v>
      </c>
      <c r="B4413" s="2" t="str">
        <f>"任世丽"</f>
        <v>任世丽</v>
      </c>
      <c r="C4413" s="2" t="s">
        <v>3839</v>
      </c>
      <c r="D4413" s="2" t="s">
        <v>3792</v>
      </c>
      <c r="E4413" s="3"/>
    </row>
    <row r="4414" spans="1:5" ht="24.75" customHeight="1">
      <c r="A4414" s="2">
        <v>4412</v>
      </c>
      <c r="B4414" s="2" t="str">
        <f>"温国伟"</f>
        <v>温国伟</v>
      </c>
      <c r="C4414" s="2" t="s">
        <v>3839</v>
      </c>
      <c r="D4414" s="2" t="s">
        <v>3931</v>
      </c>
      <c r="E4414" s="3"/>
    </row>
    <row r="4415" spans="1:5" ht="24.75" customHeight="1">
      <c r="A4415" s="2">
        <v>4413</v>
      </c>
      <c r="B4415" s="2" t="str">
        <f>"陈业海"</f>
        <v>陈业海</v>
      </c>
      <c r="C4415" s="2" t="s">
        <v>3839</v>
      </c>
      <c r="D4415" s="2" t="s">
        <v>3932</v>
      </c>
      <c r="E4415" s="3"/>
    </row>
    <row r="4416" spans="1:5" ht="24.75" customHeight="1">
      <c r="A4416" s="2">
        <v>4414</v>
      </c>
      <c r="B4416" s="2" t="str">
        <f>"符宝艺"</f>
        <v>符宝艺</v>
      </c>
      <c r="C4416" s="2" t="s">
        <v>3839</v>
      </c>
      <c r="D4416" s="2" t="s">
        <v>3933</v>
      </c>
      <c r="E4416" s="3"/>
    </row>
    <row r="4417" spans="1:5" ht="24.75" customHeight="1">
      <c r="A4417" s="2">
        <v>4415</v>
      </c>
      <c r="B4417" s="2" t="str">
        <f>"王海丹"</f>
        <v>王海丹</v>
      </c>
      <c r="C4417" s="2" t="s">
        <v>3839</v>
      </c>
      <c r="D4417" s="2" t="s">
        <v>3934</v>
      </c>
      <c r="E4417" s="3"/>
    </row>
    <row r="4418" spans="1:5" ht="24.75" customHeight="1">
      <c r="A4418" s="2">
        <v>4416</v>
      </c>
      <c r="B4418" s="2" t="str">
        <f>"陈涵"</f>
        <v>陈涵</v>
      </c>
      <c r="C4418" s="2" t="s">
        <v>3839</v>
      </c>
      <c r="D4418" s="2" t="s">
        <v>3935</v>
      </c>
      <c r="E4418" s="3"/>
    </row>
    <row r="4419" spans="1:5" ht="24.75" customHeight="1">
      <c r="A4419" s="2">
        <v>4417</v>
      </c>
      <c r="B4419" s="2" t="str">
        <f>"王彩欣"</f>
        <v>王彩欣</v>
      </c>
      <c r="C4419" s="2" t="s">
        <v>3839</v>
      </c>
      <c r="D4419" s="2" t="s">
        <v>3936</v>
      </c>
      <c r="E4419" s="3"/>
    </row>
    <row r="4420" spans="1:5" ht="24.75" customHeight="1">
      <c r="A4420" s="2">
        <v>4418</v>
      </c>
      <c r="B4420" s="2" t="str">
        <f>"彭传倬"</f>
        <v>彭传倬</v>
      </c>
      <c r="C4420" s="2" t="s">
        <v>3839</v>
      </c>
      <c r="D4420" s="2" t="s">
        <v>3937</v>
      </c>
      <c r="E4420" s="3"/>
    </row>
    <row r="4421" spans="1:5" ht="24.75" customHeight="1">
      <c r="A4421" s="2">
        <v>4419</v>
      </c>
      <c r="B4421" s="2" t="str">
        <f>"欧晓微"</f>
        <v>欧晓微</v>
      </c>
      <c r="C4421" s="2" t="s">
        <v>3839</v>
      </c>
      <c r="D4421" s="2" t="s">
        <v>3938</v>
      </c>
      <c r="E4421" s="3"/>
    </row>
    <row r="4422" spans="1:5" ht="24.75" customHeight="1">
      <c r="A4422" s="2">
        <v>4420</v>
      </c>
      <c r="B4422" s="2" t="str">
        <f>"李朝伦"</f>
        <v>李朝伦</v>
      </c>
      <c r="C4422" s="2" t="s">
        <v>3839</v>
      </c>
      <c r="D4422" s="2" t="s">
        <v>3939</v>
      </c>
      <c r="E4422" s="3"/>
    </row>
    <row r="4423" spans="1:5" ht="24.75" customHeight="1">
      <c r="A4423" s="2">
        <v>4421</v>
      </c>
      <c r="B4423" s="2" t="str">
        <f>"韩莉"</f>
        <v>韩莉</v>
      </c>
      <c r="C4423" s="2" t="s">
        <v>3839</v>
      </c>
      <c r="D4423" s="2" t="s">
        <v>3940</v>
      </c>
      <c r="E4423" s="3"/>
    </row>
    <row r="4424" spans="1:5" ht="24.75" customHeight="1">
      <c r="A4424" s="2">
        <v>4422</v>
      </c>
      <c r="B4424" s="2" t="str">
        <f>"余业娟"</f>
        <v>余业娟</v>
      </c>
      <c r="C4424" s="2" t="s">
        <v>3839</v>
      </c>
      <c r="D4424" s="2" t="s">
        <v>3941</v>
      </c>
      <c r="E4424" s="3"/>
    </row>
    <row r="4425" spans="1:5" ht="24.75" customHeight="1">
      <c r="A4425" s="2">
        <v>4423</v>
      </c>
      <c r="B4425" s="2" t="str">
        <f>"尹朝霞"</f>
        <v>尹朝霞</v>
      </c>
      <c r="C4425" s="2" t="s">
        <v>3839</v>
      </c>
      <c r="D4425" s="2" t="s">
        <v>3942</v>
      </c>
      <c r="E4425" s="3"/>
    </row>
    <row r="4426" spans="1:5" ht="24.75" customHeight="1">
      <c r="A4426" s="2">
        <v>4424</v>
      </c>
      <c r="B4426" s="2" t="str">
        <f>"何平"</f>
        <v>何平</v>
      </c>
      <c r="C4426" s="2" t="s">
        <v>3839</v>
      </c>
      <c r="D4426" s="2" t="s">
        <v>3943</v>
      </c>
      <c r="E4426" s="3"/>
    </row>
    <row r="4427" spans="1:5" ht="24.75" customHeight="1">
      <c r="A4427" s="2">
        <v>4425</v>
      </c>
      <c r="B4427" s="2" t="str">
        <f>"杨嘉旗"</f>
        <v>杨嘉旗</v>
      </c>
      <c r="C4427" s="2" t="s">
        <v>3839</v>
      </c>
      <c r="D4427" s="2" t="s">
        <v>3944</v>
      </c>
      <c r="E4427" s="3"/>
    </row>
    <row r="4428" spans="1:5" ht="24.75" customHeight="1">
      <c r="A4428" s="2">
        <v>4426</v>
      </c>
      <c r="B4428" s="2" t="str">
        <f>"陈美琴"</f>
        <v>陈美琴</v>
      </c>
      <c r="C4428" s="2" t="s">
        <v>3839</v>
      </c>
      <c r="D4428" s="2" t="s">
        <v>3945</v>
      </c>
      <c r="E4428" s="3"/>
    </row>
    <row r="4429" spans="1:5" ht="24.75" customHeight="1">
      <c r="A4429" s="2">
        <v>4427</v>
      </c>
      <c r="B4429" s="2" t="str">
        <f>"周安炀"</f>
        <v>周安炀</v>
      </c>
      <c r="C4429" s="2" t="s">
        <v>3839</v>
      </c>
      <c r="D4429" s="2" t="s">
        <v>3946</v>
      </c>
      <c r="E4429" s="3"/>
    </row>
    <row r="4430" spans="1:5" ht="24.75" customHeight="1">
      <c r="A4430" s="2">
        <v>4428</v>
      </c>
      <c r="B4430" s="2" t="str">
        <f>"黄慧萍"</f>
        <v>黄慧萍</v>
      </c>
      <c r="C4430" s="2" t="s">
        <v>3839</v>
      </c>
      <c r="D4430" s="2" t="s">
        <v>3947</v>
      </c>
      <c r="E4430" s="3"/>
    </row>
    <row r="4431" spans="1:5" ht="24.75" customHeight="1">
      <c r="A4431" s="2">
        <v>4429</v>
      </c>
      <c r="B4431" s="2" t="str">
        <f>"黄凯"</f>
        <v>黄凯</v>
      </c>
      <c r="C4431" s="2" t="s">
        <v>3839</v>
      </c>
      <c r="D4431" s="2" t="s">
        <v>1552</v>
      </c>
      <c r="E4431" s="3"/>
    </row>
    <row r="4432" spans="1:5" ht="24.75" customHeight="1">
      <c r="A4432" s="2">
        <v>4430</v>
      </c>
      <c r="B4432" s="2" t="str">
        <f>"毛琬璆"</f>
        <v>毛琬璆</v>
      </c>
      <c r="C4432" s="2" t="s">
        <v>3839</v>
      </c>
      <c r="D4432" s="2" t="s">
        <v>3948</v>
      </c>
      <c r="E4432" s="3"/>
    </row>
    <row r="4433" spans="1:5" ht="24.75" customHeight="1">
      <c r="A4433" s="2">
        <v>4431</v>
      </c>
      <c r="B4433" s="2" t="str">
        <f>"许燕平"</f>
        <v>许燕平</v>
      </c>
      <c r="C4433" s="2" t="s">
        <v>3839</v>
      </c>
      <c r="D4433" s="2" t="s">
        <v>3949</v>
      </c>
      <c r="E4433" s="3"/>
    </row>
    <row r="4434" spans="1:5" ht="24.75" customHeight="1">
      <c r="A4434" s="2">
        <v>4432</v>
      </c>
      <c r="B4434" s="2" t="str">
        <f>"林沁妍"</f>
        <v>林沁妍</v>
      </c>
      <c r="C4434" s="2" t="s">
        <v>3839</v>
      </c>
      <c r="D4434" s="2" t="s">
        <v>501</v>
      </c>
      <c r="E4434" s="3"/>
    </row>
    <row r="4435" spans="1:5" ht="24.75" customHeight="1">
      <c r="A4435" s="2">
        <v>4433</v>
      </c>
      <c r="B4435" s="2" t="str">
        <f>"曾文娴"</f>
        <v>曾文娴</v>
      </c>
      <c r="C4435" s="2" t="s">
        <v>3839</v>
      </c>
      <c r="D4435" s="2" t="s">
        <v>1002</v>
      </c>
      <c r="E4435" s="3"/>
    </row>
    <row r="4436" spans="1:5" ht="24.75" customHeight="1">
      <c r="A4436" s="2">
        <v>4434</v>
      </c>
      <c r="B4436" s="2" t="str">
        <f>"王小倩"</f>
        <v>王小倩</v>
      </c>
      <c r="C4436" s="2" t="s">
        <v>3839</v>
      </c>
      <c r="D4436" s="2" t="s">
        <v>3950</v>
      </c>
      <c r="E4436" s="3"/>
    </row>
    <row r="4437" spans="1:5" ht="24.75" customHeight="1">
      <c r="A4437" s="2">
        <v>4435</v>
      </c>
      <c r="B4437" s="2" t="str">
        <f>"徐斯桦"</f>
        <v>徐斯桦</v>
      </c>
      <c r="C4437" s="2" t="s">
        <v>3839</v>
      </c>
      <c r="D4437" s="2" t="s">
        <v>3951</v>
      </c>
      <c r="E4437" s="3"/>
    </row>
    <row r="4438" spans="1:5" ht="24.75" customHeight="1">
      <c r="A4438" s="2">
        <v>4436</v>
      </c>
      <c r="B4438" s="2" t="str">
        <f>"陈永钦"</f>
        <v>陈永钦</v>
      </c>
      <c r="C4438" s="2" t="s">
        <v>3839</v>
      </c>
      <c r="D4438" s="2" t="s">
        <v>3952</v>
      </c>
      <c r="E4438" s="3"/>
    </row>
    <row r="4439" spans="1:5" ht="24.75" customHeight="1">
      <c r="A4439" s="2">
        <v>4437</v>
      </c>
      <c r="B4439" s="2" t="str">
        <f>"符夏妍"</f>
        <v>符夏妍</v>
      </c>
      <c r="C4439" s="2" t="s">
        <v>3839</v>
      </c>
      <c r="D4439" s="2" t="s">
        <v>1356</v>
      </c>
      <c r="E4439" s="3"/>
    </row>
    <row r="4440" spans="1:5" ht="24.75" customHeight="1">
      <c r="A4440" s="2">
        <v>4438</v>
      </c>
      <c r="B4440" s="2" t="str">
        <f>"王海运"</f>
        <v>王海运</v>
      </c>
      <c r="C4440" s="2" t="s">
        <v>3839</v>
      </c>
      <c r="D4440" s="2" t="s">
        <v>3953</v>
      </c>
      <c r="E4440" s="3"/>
    </row>
    <row r="4441" spans="1:5" ht="24.75" customHeight="1">
      <c r="A4441" s="2">
        <v>4439</v>
      </c>
      <c r="B4441" s="2" t="str">
        <f>"王冠美"</f>
        <v>王冠美</v>
      </c>
      <c r="C4441" s="2" t="s">
        <v>3839</v>
      </c>
      <c r="D4441" s="2" t="s">
        <v>3954</v>
      </c>
      <c r="E4441" s="3"/>
    </row>
    <row r="4442" spans="1:5" ht="24.75" customHeight="1">
      <c r="A4442" s="2">
        <v>4440</v>
      </c>
      <c r="B4442" s="2" t="str">
        <f>"李文静"</f>
        <v>李文静</v>
      </c>
      <c r="C4442" s="2" t="s">
        <v>3839</v>
      </c>
      <c r="D4442" s="2" t="s">
        <v>3955</v>
      </c>
      <c r="E4442" s="3"/>
    </row>
    <row r="4443" spans="1:5" ht="24.75" customHeight="1">
      <c r="A4443" s="2">
        <v>4441</v>
      </c>
      <c r="B4443" s="2" t="str">
        <f>"吴思琪"</f>
        <v>吴思琪</v>
      </c>
      <c r="C4443" s="2" t="s">
        <v>3839</v>
      </c>
      <c r="D4443" s="2" t="s">
        <v>3956</v>
      </c>
      <c r="E4443" s="3"/>
    </row>
    <row r="4444" spans="1:5" ht="24.75" customHeight="1">
      <c r="A4444" s="2">
        <v>4442</v>
      </c>
      <c r="B4444" s="2" t="str">
        <f>"黄永明"</f>
        <v>黄永明</v>
      </c>
      <c r="C4444" s="2" t="s">
        <v>3839</v>
      </c>
      <c r="D4444" s="2" t="s">
        <v>3957</v>
      </c>
      <c r="E4444" s="3"/>
    </row>
    <row r="4445" spans="1:5" ht="24.75" customHeight="1">
      <c r="A4445" s="2">
        <v>4443</v>
      </c>
      <c r="B4445" s="2" t="str">
        <f>"符科登"</f>
        <v>符科登</v>
      </c>
      <c r="C4445" s="2" t="s">
        <v>3839</v>
      </c>
      <c r="D4445" s="2" t="s">
        <v>3958</v>
      </c>
      <c r="E4445" s="3"/>
    </row>
    <row r="4446" spans="1:5" ht="24.75" customHeight="1">
      <c r="A4446" s="2">
        <v>4444</v>
      </c>
      <c r="B4446" s="2" t="str">
        <f>"王汝菁"</f>
        <v>王汝菁</v>
      </c>
      <c r="C4446" s="2" t="s">
        <v>3839</v>
      </c>
      <c r="D4446" s="2" t="s">
        <v>888</v>
      </c>
      <c r="E4446" s="3"/>
    </row>
    <row r="4447" spans="1:5" ht="24.75" customHeight="1">
      <c r="A4447" s="2">
        <v>4445</v>
      </c>
      <c r="B4447" s="2" t="str">
        <f>"郑海玲"</f>
        <v>郑海玲</v>
      </c>
      <c r="C4447" s="2" t="s">
        <v>3839</v>
      </c>
      <c r="D4447" s="2" t="s">
        <v>398</v>
      </c>
      <c r="E4447" s="3"/>
    </row>
    <row r="4448" spans="1:5" ht="24.75" customHeight="1">
      <c r="A4448" s="2">
        <v>4446</v>
      </c>
      <c r="B4448" s="2" t="str">
        <f>"温婷婷"</f>
        <v>温婷婷</v>
      </c>
      <c r="C4448" s="2" t="s">
        <v>3839</v>
      </c>
      <c r="D4448" s="2" t="s">
        <v>3234</v>
      </c>
      <c r="E4448" s="3"/>
    </row>
    <row r="4449" spans="1:5" ht="24.75" customHeight="1">
      <c r="A4449" s="2">
        <v>4447</v>
      </c>
      <c r="B4449" s="2" t="str">
        <f>"夏浩刚"</f>
        <v>夏浩刚</v>
      </c>
      <c r="C4449" s="2" t="s">
        <v>3839</v>
      </c>
      <c r="D4449" s="2" t="s">
        <v>3959</v>
      </c>
      <c r="E4449" s="3"/>
    </row>
    <row r="4450" spans="1:5" ht="24.75" customHeight="1">
      <c r="A4450" s="2">
        <v>4448</v>
      </c>
      <c r="B4450" s="2" t="str">
        <f>"吴小庆"</f>
        <v>吴小庆</v>
      </c>
      <c r="C4450" s="2" t="s">
        <v>3839</v>
      </c>
      <c r="D4450" s="2" t="s">
        <v>3960</v>
      </c>
      <c r="E4450" s="3"/>
    </row>
    <row r="4451" spans="1:5" ht="24.75" customHeight="1">
      <c r="A4451" s="2">
        <v>4449</v>
      </c>
      <c r="B4451" s="2" t="str">
        <f>"黎肇前"</f>
        <v>黎肇前</v>
      </c>
      <c r="C4451" s="2" t="s">
        <v>3839</v>
      </c>
      <c r="D4451" s="2" t="s">
        <v>1624</v>
      </c>
      <c r="E4451" s="3"/>
    </row>
    <row r="4452" spans="1:5" ht="24.75" customHeight="1">
      <c r="A4452" s="2">
        <v>4450</v>
      </c>
      <c r="B4452" s="2" t="str">
        <f>"郭美玲"</f>
        <v>郭美玲</v>
      </c>
      <c r="C4452" s="2" t="s">
        <v>3839</v>
      </c>
      <c r="D4452" s="2" t="s">
        <v>3961</v>
      </c>
      <c r="E4452" s="3"/>
    </row>
    <row r="4453" spans="1:5" ht="24.75" customHeight="1">
      <c r="A4453" s="2">
        <v>4451</v>
      </c>
      <c r="B4453" s="2" t="str">
        <f>"符玉珍"</f>
        <v>符玉珍</v>
      </c>
      <c r="C4453" s="2" t="s">
        <v>3839</v>
      </c>
      <c r="D4453" s="2" t="s">
        <v>3962</v>
      </c>
      <c r="E4453" s="3"/>
    </row>
    <row r="4454" spans="1:5" ht="24.75" customHeight="1">
      <c r="A4454" s="2">
        <v>4452</v>
      </c>
      <c r="B4454" s="2" t="str">
        <f>"黎儒妍"</f>
        <v>黎儒妍</v>
      </c>
      <c r="C4454" s="2" t="s">
        <v>3839</v>
      </c>
      <c r="D4454" s="2" t="s">
        <v>3963</v>
      </c>
      <c r="E4454" s="3"/>
    </row>
    <row r="4455" spans="1:5" ht="24.75" customHeight="1">
      <c r="A4455" s="2">
        <v>4453</v>
      </c>
      <c r="B4455" s="2" t="str">
        <f>"云妃"</f>
        <v>云妃</v>
      </c>
      <c r="C4455" s="2" t="s">
        <v>3839</v>
      </c>
      <c r="D4455" s="2" t="s">
        <v>3964</v>
      </c>
      <c r="E4455" s="3"/>
    </row>
    <row r="4456" spans="1:5" ht="24.75" customHeight="1">
      <c r="A4456" s="2">
        <v>4454</v>
      </c>
      <c r="B4456" s="2" t="str">
        <f>"陈慧翔"</f>
        <v>陈慧翔</v>
      </c>
      <c r="C4456" s="2" t="s">
        <v>3839</v>
      </c>
      <c r="D4456" s="2" t="s">
        <v>3965</v>
      </c>
      <c r="E4456" s="3"/>
    </row>
    <row r="4457" spans="1:5" ht="24.75" customHeight="1">
      <c r="A4457" s="2">
        <v>4455</v>
      </c>
      <c r="B4457" s="2" t="str">
        <f>"黄俊玲"</f>
        <v>黄俊玲</v>
      </c>
      <c r="C4457" s="2" t="s">
        <v>3839</v>
      </c>
      <c r="D4457" s="2" t="s">
        <v>3966</v>
      </c>
      <c r="E4457" s="3"/>
    </row>
    <row r="4458" spans="1:5" ht="24.75" customHeight="1">
      <c r="A4458" s="2">
        <v>4456</v>
      </c>
      <c r="B4458" s="2" t="str">
        <f>"金世琴"</f>
        <v>金世琴</v>
      </c>
      <c r="C4458" s="2" t="s">
        <v>3839</v>
      </c>
      <c r="D4458" s="2" t="s">
        <v>3967</v>
      </c>
      <c r="E4458" s="3"/>
    </row>
    <row r="4459" spans="1:5" ht="24.75" customHeight="1">
      <c r="A4459" s="2">
        <v>4457</v>
      </c>
      <c r="B4459" s="2" t="str">
        <f>"羊积万"</f>
        <v>羊积万</v>
      </c>
      <c r="C4459" s="2" t="s">
        <v>3839</v>
      </c>
      <c r="D4459" s="2" t="s">
        <v>3968</v>
      </c>
      <c r="E4459" s="3"/>
    </row>
    <row r="4460" spans="1:5" ht="24.75" customHeight="1">
      <c r="A4460" s="2">
        <v>4458</v>
      </c>
      <c r="B4460" s="2" t="str">
        <f>"洪二妹"</f>
        <v>洪二妹</v>
      </c>
      <c r="C4460" s="2" t="s">
        <v>3839</v>
      </c>
      <c r="D4460" s="2" t="s">
        <v>3969</v>
      </c>
      <c r="E4460" s="3"/>
    </row>
    <row r="4461" spans="1:5" ht="24.75" customHeight="1">
      <c r="A4461" s="2">
        <v>4459</v>
      </c>
      <c r="B4461" s="2" t="str">
        <f>"张雅"</f>
        <v>张雅</v>
      </c>
      <c r="C4461" s="2" t="s">
        <v>3839</v>
      </c>
      <c r="D4461" s="2" t="s">
        <v>3970</v>
      </c>
      <c r="E4461" s="3"/>
    </row>
    <row r="4462" spans="1:5" ht="24.75" customHeight="1">
      <c r="A4462" s="2">
        <v>4460</v>
      </c>
      <c r="B4462" s="2" t="str">
        <f>"王梅芳"</f>
        <v>王梅芳</v>
      </c>
      <c r="C4462" s="2" t="s">
        <v>3839</v>
      </c>
      <c r="D4462" s="2" t="s">
        <v>182</v>
      </c>
      <c r="E4462" s="3"/>
    </row>
    <row r="4463" spans="1:5" ht="24.75" customHeight="1">
      <c r="A4463" s="2">
        <v>4461</v>
      </c>
      <c r="B4463" s="2" t="str">
        <f>"时钰"</f>
        <v>时钰</v>
      </c>
      <c r="C4463" s="2" t="s">
        <v>3839</v>
      </c>
      <c r="D4463" s="2" t="s">
        <v>3971</v>
      </c>
      <c r="E4463" s="3"/>
    </row>
    <row r="4464" spans="1:5" ht="24.75" customHeight="1">
      <c r="A4464" s="2">
        <v>4462</v>
      </c>
      <c r="B4464" s="2" t="str">
        <f>"钱晨"</f>
        <v>钱晨</v>
      </c>
      <c r="C4464" s="2" t="s">
        <v>3839</v>
      </c>
      <c r="D4464" s="2" t="s">
        <v>3972</v>
      </c>
      <c r="E4464" s="3"/>
    </row>
    <row r="4465" spans="1:5" ht="24.75" customHeight="1">
      <c r="A4465" s="2">
        <v>4463</v>
      </c>
      <c r="B4465" s="2" t="str">
        <f>"林志泽"</f>
        <v>林志泽</v>
      </c>
      <c r="C4465" s="2" t="s">
        <v>3839</v>
      </c>
      <c r="D4465" s="2" t="s">
        <v>2526</v>
      </c>
      <c r="E4465" s="3"/>
    </row>
    <row r="4466" spans="1:5" ht="24.75" customHeight="1">
      <c r="A4466" s="2">
        <v>4464</v>
      </c>
      <c r="B4466" s="2" t="str">
        <f>"陈旭"</f>
        <v>陈旭</v>
      </c>
      <c r="C4466" s="2" t="s">
        <v>3839</v>
      </c>
      <c r="D4466" s="2" t="s">
        <v>3973</v>
      </c>
      <c r="E4466" s="3"/>
    </row>
    <row r="4467" spans="1:5" ht="24.75" customHeight="1">
      <c r="A4467" s="2">
        <v>4465</v>
      </c>
      <c r="B4467" s="2" t="str">
        <f>"王胜"</f>
        <v>王胜</v>
      </c>
      <c r="C4467" s="2" t="s">
        <v>3839</v>
      </c>
      <c r="D4467" s="2" t="s">
        <v>3974</v>
      </c>
      <c r="E4467" s="3"/>
    </row>
    <row r="4468" spans="1:5" ht="24.75" customHeight="1">
      <c r="A4468" s="2">
        <v>4466</v>
      </c>
      <c r="B4468" s="2" t="str">
        <f>"施伟婷"</f>
        <v>施伟婷</v>
      </c>
      <c r="C4468" s="2" t="s">
        <v>3839</v>
      </c>
      <c r="D4468" s="2" t="s">
        <v>3975</v>
      </c>
      <c r="E4468" s="3"/>
    </row>
    <row r="4469" spans="1:5" ht="24.75" customHeight="1">
      <c r="A4469" s="2">
        <v>4467</v>
      </c>
      <c r="B4469" s="2" t="str">
        <f>"郑德美"</f>
        <v>郑德美</v>
      </c>
      <c r="C4469" s="2" t="s">
        <v>3839</v>
      </c>
      <c r="D4469" s="2" t="s">
        <v>3976</v>
      </c>
      <c r="E4469" s="3"/>
    </row>
    <row r="4470" spans="1:5" ht="24.75" customHeight="1">
      <c r="A4470" s="2">
        <v>4468</v>
      </c>
      <c r="B4470" s="2" t="str">
        <f>"程欣"</f>
        <v>程欣</v>
      </c>
      <c r="C4470" s="2" t="s">
        <v>3839</v>
      </c>
      <c r="D4470" s="2" t="s">
        <v>3977</v>
      </c>
      <c r="E4470" s="3"/>
    </row>
    <row r="4471" spans="1:5" ht="24.75" customHeight="1">
      <c r="A4471" s="2">
        <v>4469</v>
      </c>
      <c r="B4471" s="2" t="str">
        <f>"谢道锋"</f>
        <v>谢道锋</v>
      </c>
      <c r="C4471" s="2" t="s">
        <v>3839</v>
      </c>
      <c r="D4471" s="2" t="s">
        <v>3978</v>
      </c>
      <c r="E4471" s="3"/>
    </row>
    <row r="4472" spans="1:5" ht="24.75" customHeight="1">
      <c r="A4472" s="2">
        <v>4470</v>
      </c>
      <c r="B4472" s="2" t="str">
        <f>"吴高禄"</f>
        <v>吴高禄</v>
      </c>
      <c r="C4472" s="2" t="s">
        <v>3839</v>
      </c>
      <c r="D4472" s="2" t="s">
        <v>3979</v>
      </c>
      <c r="E4472" s="3"/>
    </row>
    <row r="4473" spans="1:5" ht="24.75" customHeight="1">
      <c r="A4473" s="2">
        <v>4471</v>
      </c>
      <c r="B4473" s="2" t="str">
        <f>"梁振威"</f>
        <v>梁振威</v>
      </c>
      <c r="C4473" s="2" t="s">
        <v>3839</v>
      </c>
      <c r="D4473" s="2" t="s">
        <v>3980</v>
      </c>
      <c r="E4473" s="3"/>
    </row>
    <row r="4474" spans="1:5" ht="24.75" customHeight="1">
      <c r="A4474" s="2">
        <v>4472</v>
      </c>
      <c r="B4474" s="2" t="str">
        <f>"麦兆文"</f>
        <v>麦兆文</v>
      </c>
      <c r="C4474" s="2" t="s">
        <v>3839</v>
      </c>
      <c r="D4474" s="2" t="s">
        <v>3981</v>
      </c>
      <c r="E4474" s="3"/>
    </row>
    <row r="4475" spans="1:5" ht="24.75" customHeight="1">
      <c r="A4475" s="2">
        <v>4473</v>
      </c>
      <c r="B4475" s="2" t="str">
        <f>"符燕程"</f>
        <v>符燕程</v>
      </c>
      <c r="C4475" s="2" t="s">
        <v>3839</v>
      </c>
      <c r="D4475" s="2" t="s">
        <v>3982</v>
      </c>
      <c r="E4475" s="3"/>
    </row>
    <row r="4476" spans="1:5" ht="24.75" customHeight="1">
      <c r="A4476" s="2">
        <v>4474</v>
      </c>
      <c r="B4476" s="2" t="str">
        <f>"陈磊"</f>
        <v>陈磊</v>
      </c>
      <c r="C4476" s="2" t="s">
        <v>3839</v>
      </c>
      <c r="D4476" s="2" t="s">
        <v>3983</v>
      </c>
      <c r="E4476" s="3"/>
    </row>
    <row r="4477" spans="1:5" ht="24.75" customHeight="1">
      <c r="A4477" s="2">
        <v>4475</v>
      </c>
      <c r="B4477" s="2" t="str">
        <f>"曾伟峭"</f>
        <v>曾伟峭</v>
      </c>
      <c r="C4477" s="2" t="s">
        <v>3839</v>
      </c>
      <c r="D4477" s="2" t="s">
        <v>3984</v>
      </c>
      <c r="E4477" s="3"/>
    </row>
    <row r="4478" spans="1:5" ht="24.75" customHeight="1">
      <c r="A4478" s="2">
        <v>4476</v>
      </c>
      <c r="B4478" s="2" t="str">
        <f>"唐元园"</f>
        <v>唐元园</v>
      </c>
      <c r="C4478" s="2" t="s">
        <v>3839</v>
      </c>
      <c r="D4478" s="2" t="s">
        <v>3985</v>
      </c>
      <c r="E4478" s="3"/>
    </row>
    <row r="4479" spans="1:5" ht="24.75" customHeight="1">
      <c r="A4479" s="2">
        <v>4477</v>
      </c>
      <c r="B4479" s="2" t="str">
        <f>"王艺霏"</f>
        <v>王艺霏</v>
      </c>
      <c r="C4479" s="2" t="s">
        <v>3839</v>
      </c>
      <c r="D4479" s="2" t="s">
        <v>3986</v>
      </c>
      <c r="E4479" s="3"/>
    </row>
    <row r="4480" spans="1:5" ht="24.75" customHeight="1">
      <c r="A4480" s="2">
        <v>4478</v>
      </c>
      <c r="B4480" s="2" t="str">
        <f>"陈少侬"</f>
        <v>陈少侬</v>
      </c>
      <c r="C4480" s="2" t="s">
        <v>3839</v>
      </c>
      <c r="D4480" s="2" t="s">
        <v>2668</v>
      </c>
      <c r="E4480" s="3"/>
    </row>
    <row r="4481" spans="1:5" ht="24.75" customHeight="1">
      <c r="A4481" s="2">
        <v>4479</v>
      </c>
      <c r="B4481" s="2" t="str">
        <f>"李位威"</f>
        <v>李位威</v>
      </c>
      <c r="C4481" s="2" t="s">
        <v>3839</v>
      </c>
      <c r="D4481" s="2" t="s">
        <v>3987</v>
      </c>
      <c r="E4481" s="3"/>
    </row>
    <row r="4482" spans="1:5" ht="24.75" customHeight="1">
      <c r="A4482" s="2">
        <v>4480</v>
      </c>
      <c r="B4482" s="2" t="str">
        <f>"吴勇培"</f>
        <v>吴勇培</v>
      </c>
      <c r="C4482" s="2" t="s">
        <v>3839</v>
      </c>
      <c r="D4482" s="2" t="s">
        <v>1209</v>
      </c>
      <c r="E4482" s="3"/>
    </row>
    <row r="4483" spans="1:5" ht="24.75" customHeight="1">
      <c r="A4483" s="2">
        <v>4481</v>
      </c>
      <c r="B4483" s="2" t="str">
        <f>"柯瑜"</f>
        <v>柯瑜</v>
      </c>
      <c r="C4483" s="2" t="s">
        <v>3839</v>
      </c>
      <c r="D4483" s="2" t="s">
        <v>3988</v>
      </c>
      <c r="E4483" s="3"/>
    </row>
    <row r="4484" spans="1:5" ht="24.75" customHeight="1">
      <c r="A4484" s="2">
        <v>4482</v>
      </c>
      <c r="B4484" s="2" t="str">
        <f>"陆珊"</f>
        <v>陆珊</v>
      </c>
      <c r="C4484" s="2" t="s">
        <v>3839</v>
      </c>
      <c r="D4484" s="2" t="s">
        <v>3989</v>
      </c>
      <c r="E4484" s="3"/>
    </row>
    <row r="4485" spans="1:5" ht="24.75" customHeight="1">
      <c r="A4485" s="2">
        <v>4483</v>
      </c>
      <c r="B4485" s="2" t="str">
        <f>"郑琳"</f>
        <v>郑琳</v>
      </c>
      <c r="C4485" s="2" t="s">
        <v>3839</v>
      </c>
      <c r="D4485" s="2" t="s">
        <v>3990</v>
      </c>
      <c r="E4485" s="3"/>
    </row>
    <row r="4486" spans="1:5" ht="24.75" customHeight="1">
      <c r="A4486" s="2">
        <v>4484</v>
      </c>
      <c r="B4486" s="2" t="str">
        <f>"陆娟"</f>
        <v>陆娟</v>
      </c>
      <c r="C4486" s="2" t="s">
        <v>3839</v>
      </c>
      <c r="D4486" s="2" t="s">
        <v>3991</v>
      </c>
      <c r="E4486" s="3"/>
    </row>
    <row r="4487" spans="1:5" ht="24.75" customHeight="1">
      <c r="A4487" s="2">
        <v>4485</v>
      </c>
      <c r="B4487" s="2" t="str">
        <f>"陈章慧"</f>
        <v>陈章慧</v>
      </c>
      <c r="C4487" s="2" t="s">
        <v>3839</v>
      </c>
      <c r="D4487" s="2" t="s">
        <v>3992</v>
      </c>
      <c r="E4487" s="3"/>
    </row>
    <row r="4488" spans="1:5" ht="24.75" customHeight="1">
      <c r="A4488" s="2">
        <v>4486</v>
      </c>
      <c r="B4488" s="2" t="str">
        <f>"陈绵霖"</f>
        <v>陈绵霖</v>
      </c>
      <c r="C4488" s="2" t="s">
        <v>3839</v>
      </c>
      <c r="D4488" s="2" t="s">
        <v>1327</v>
      </c>
      <c r="E4488" s="3"/>
    </row>
    <row r="4489" spans="1:5" ht="24.75" customHeight="1">
      <c r="A4489" s="2">
        <v>4487</v>
      </c>
      <c r="B4489" s="2" t="str">
        <f>"冯佳慧"</f>
        <v>冯佳慧</v>
      </c>
      <c r="C4489" s="2" t="s">
        <v>3839</v>
      </c>
      <c r="D4489" s="2" t="s">
        <v>1264</v>
      </c>
      <c r="E4489" s="3"/>
    </row>
    <row r="4490" spans="1:5" ht="24.75" customHeight="1">
      <c r="A4490" s="2">
        <v>4488</v>
      </c>
      <c r="B4490" s="2" t="str">
        <f>"黎锴"</f>
        <v>黎锴</v>
      </c>
      <c r="C4490" s="2" t="s">
        <v>3839</v>
      </c>
      <c r="D4490" s="2" t="s">
        <v>3993</v>
      </c>
      <c r="E4490" s="3"/>
    </row>
    <row r="4491" spans="1:5" ht="24.75" customHeight="1">
      <c r="A4491" s="2">
        <v>4489</v>
      </c>
      <c r="B4491" s="2" t="str">
        <f>"麦淑庆"</f>
        <v>麦淑庆</v>
      </c>
      <c r="C4491" s="2" t="s">
        <v>3839</v>
      </c>
      <c r="D4491" s="2" t="s">
        <v>3994</v>
      </c>
      <c r="E4491" s="3"/>
    </row>
    <row r="4492" spans="1:5" ht="24.75" customHeight="1">
      <c r="A4492" s="2">
        <v>4490</v>
      </c>
      <c r="B4492" s="2" t="str">
        <f>"符美娟"</f>
        <v>符美娟</v>
      </c>
      <c r="C4492" s="2" t="s">
        <v>3839</v>
      </c>
      <c r="D4492" s="2" t="s">
        <v>3995</v>
      </c>
      <c r="E4492" s="3"/>
    </row>
    <row r="4493" spans="1:5" ht="24.75" customHeight="1">
      <c r="A4493" s="2">
        <v>4491</v>
      </c>
      <c r="B4493" s="2" t="str">
        <f>"文森婷"</f>
        <v>文森婷</v>
      </c>
      <c r="C4493" s="2" t="s">
        <v>3839</v>
      </c>
      <c r="D4493" s="2" t="s">
        <v>3586</v>
      </c>
      <c r="E4493" s="3"/>
    </row>
    <row r="4494" spans="1:5" ht="24.75" customHeight="1">
      <c r="A4494" s="2">
        <v>4492</v>
      </c>
      <c r="B4494" s="2" t="str">
        <f>"金耀全"</f>
        <v>金耀全</v>
      </c>
      <c r="C4494" s="2" t="s">
        <v>3839</v>
      </c>
      <c r="D4494" s="2" t="s">
        <v>3996</v>
      </c>
      <c r="E4494" s="3"/>
    </row>
    <row r="4495" spans="1:5" ht="24.75" customHeight="1">
      <c r="A4495" s="2">
        <v>4493</v>
      </c>
      <c r="B4495" s="2" t="str">
        <f>"王合婵"</f>
        <v>王合婵</v>
      </c>
      <c r="C4495" s="2" t="s">
        <v>3839</v>
      </c>
      <c r="D4495" s="2" t="s">
        <v>3997</v>
      </c>
      <c r="E4495" s="3"/>
    </row>
    <row r="4496" spans="1:5" ht="24.75" customHeight="1">
      <c r="A4496" s="2">
        <v>4494</v>
      </c>
      <c r="B4496" s="2" t="str">
        <f>"黄琼娇"</f>
        <v>黄琼娇</v>
      </c>
      <c r="C4496" s="2" t="s">
        <v>3839</v>
      </c>
      <c r="D4496" s="2" t="s">
        <v>3998</v>
      </c>
      <c r="E4496" s="3"/>
    </row>
    <row r="4497" spans="1:5" ht="24.75" customHeight="1">
      <c r="A4497" s="2">
        <v>4495</v>
      </c>
      <c r="B4497" s="2" t="str">
        <f>"李丹"</f>
        <v>李丹</v>
      </c>
      <c r="C4497" s="2" t="s">
        <v>3839</v>
      </c>
      <c r="D4497" s="2" t="s">
        <v>3999</v>
      </c>
      <c r="E4497" s="3"/>
    </row>
    <row r="4498" spans="1:5" ht="24.75" customHeight="1">
      <c r="A4498" s="2">
        <v>4496</v>
      </c>
      <c r="B4498" s="2" t="str">
        <f>"陈美娇"</f>
        <v>陈美娇</v>
      </c>
      <c r="C4498" s="2" t="s">
        <v>3839</v>
      </c>
      <c r="D4498" s="2" t="s">
        <v>4000</v>
      </c>
      <c r="E4498" s="3"/>
    </row>
    <row r="4499" spans="1:5" ht="24.75" customHeight="1">
      <c r="A4499" s="2">
        <v>4497</v>
      </c>
      <c r="B4499" s="2" t="str">
        <f>"郑庭学"</f>
        <v>郑庭学</v>
      </c>
      <c r="C4499" s="2" t="s">
        <v>3839</v>
      </c>
      <c r="D4499" s="2" t="s">
        <v>4001</v>
      </c>
      <c r="E4499" s="3"/>
    </row>
    <row r="4500" spans="1:5" ht="24.75" customHeight="1">
      <c r="A4500" s="2">
        <v>4498</v>
      </c>
      <c r="B4500" s="2" t="str">
        <f>"林忠邦"</f>
        <v>林忠邦</v>
      </c>
      <c r="C4500" s="2" t="s">
        <v>3839</v>
      </c>
      <c r="D4500" s="2" t="s">
        <v>1699</v>
      </c>
      <c r="E4500" s="3"/>
    </row>
    <row r="4501" spans="1:5" ht="24.75" customHeight="1">
      <c r="A4501" s="2">
        <v>4499</v>
      </c>
      <c r="B4501" s="2" t="str">
        <f>"林升敏"</f>
        <v>林升敏</v>
      </c>
      <c r="C4501" s="2" t="s">
        <v>3839</v>
      </c>
      <c r="D4501" s="2" t="s">
        <v>2231</v>
      </c>
      <c r="E4501" s="3"/>
    </row>
    <row r="4502" spans="1:5" ht="24.75" customHeight="1">
      <c r="A4502" s="2">
        <v>4500</v>
      </c>
      <c r="B4502" s="2" t="str">
        <f>"吴京奕"</f>
        <v>吴京奕</v>
      </c>
      <c r="C4502" s="2" t="s">
        <v>3839</v>
      </c>
      <c r="D4502" s="2" t="s">
        <v>3758</v>
      </c>
      <c r="E4502" s="3"/>
    </row>
    <row r="4503" spans="1:5" ht="24.75" customHeight="1">
      <c r="A4503" s="2">
        <v>4501</v>
      </c>
      <c r="B4503" s="2" t="str">
        <f>"羊钰"</f>
        <v>羊钰</v>
      </c>
      <c r="C4503" s="2" t="s">
        <v>3839</v>
      </c>
      <c r="D4503" s="2" t="s">
        <v>4002</v>
      </c>
      <c r="E4503" s="3"/>
    </row>
    <row r="4504" spans="1:5" ht="24.75" customHeight="1">
      <c r="A4504" s="2">
        <v>4502</v>
      </c>
      <c r="B4504" s="2" t="str">
        <f>"李花女"</f>
        <v>李花女</v>
      </c>
      <c r="C4504" s="2" t="s">
        <v>3839</v>
      </c>
      <c r="D4504" s="2" t="s">
        <v>4003</v>
      </c>
      <c r="E4504" s="3"/>
    </row>
    <row r="4505" spans="1:5" ht="24.75" customHeight="1">
      <c r="A4505" s="2">
        <v>4503</v>
      </c>
      <c r="B4505" s="2" t="str">
        <f>"潘玉英"</f>
        <v>潘玉英</v>
      </c>
      <c r="C4505" s="2" t="s">
        <v>3839</v>
      </c>
      <c r="D4505" s="2" t="s">
        <v>1502</v>
      </c>
      <c r="E4505" s="3"/>
    </row>
    <row r="4506" spans="1:5" ht="24.75" customHeight="1">
      <c r="A4506" s="2">
        <v>4504</v>
      </c>
      <c r="B4506" s="2" t="str">
        <f>"何应莉"</f>
        <v>何应莉</v>
      </c>
      <c r="C4506" s="2" t="s">
        <v>3839</v>
      </c>
      <c r="D4506" s="2" t="s">
        <v>4004</v>
      </c>
      <c r="E4506" s="3"/>
    </row>
    <row r="4507" spans="1:5" ht="24.75" customHeight="1">
      <c r="A4507" s="2">
        <v>4505</v>
      </c>
      <c r="B4507" s="2" t="str">
        <f>"胡焕芳"</f>
        <v>胡焕芳</v>
      </c>
      <c r="C4507" s="2" t="s">
        <v>3839</v>
      </c>
      <c r="D4507" s="2" t="s">
        <v>4005</v>
      </c>
      <c r="E4507" s="3"/>
    </row>
    <row r="4508" spans="1:5" ht="24.75" customHeight="1">
      <c r="A4508" s="2">
        <v>4506</v>
      </c>
      <c r="B4508" s="2" t="str">
        <f>"罗乐"</f>
        <v>罗乐</v>
      </c>
      <c r="C4508" s="2" t="s">
        <v>3839</v>
      </c>
      <c r="D4508" s="2" t="s">
        <v>4006</v>
      </c>
      <c r="E4508" s="3"/>
    </row>
    <row r="4509" spans="1:5" ht="24.75" customHeight="1">
      <c r="A4509" s="2">
        <v>4507</v>
      </c>
      <c r="B4509" s="2" t="str">
        <f>"王星霖"</f>
        <v>王星霖</v>
      </c>
      <c r="C4509" s="2" t="s">
        <v>3839</v>
      </c>
      <c r="D4509" s="2" t="s">
        <v>4007</v>
      </c>
      <c r="E4509" s="3"/>
    </row>
    <row r="4510" spans="1:5" ht="24.75" customHeight="1">
      <c r="A4510" s="2">
        <v>4508</v>
      </c>
      <c r="B4510" s="2" t="str">
        <f>"杨阳"</f>
        <v>杨阳</v>
      </c>
      <c r="C4510" s="2" t="s">
        <v>3839</v>
      </c>
      <c r="D4510" s="2" t="s">
        <v>4008</v>
      </c>
      <c r="E4510" s="3"/>
    </row>
    <row r="4511" spans="1:5" ht="24.75" customHeight="1">
      <c r="A4511" s="2">
        <v>4509</v>
      </c>
      <c r="B4511" s="2" t="str">
        <f>"张锡朝"</f>
        <v>张锡朝</v>
      </c>
      <c r="C4511" s="2" t="s">
        <v>3839</v>
      </c>
      <c r="D4511" s="2" t="s">
        <v>3414</v>
      </c>
      <c r="E4511" s="3"/>
    </row>
    <row r="4512" spans="1:5" ht="24.75" customHeight="1">
      <c r="A4512" s="2">
        <v>4510</v>
      </c>
      <c r="B4512" s="2" t="str">
        <f>"王英安"</f>
        <v>王英安</v>
      </c>
      <c r="C4512" s="2" t="s">
        <v>3839</v>
      </c>
      <c r="D4512" s="2" t="s">
        <v>1122</v>
      </c>
      <c r="E4512" s="3"/>
    </row>
    <row r="4513" spans="1:5" ht="24.75" customHeight="1">
      <c r="A4513" s="2">
        <v>4511</v>
      </c>
      <c r="B4513" s="2" t="str">
        <f>"谢小妹"</f>
        <v>谢小妹</v>
      </c>
      <c r="C4513" s="2" t="s">
        <v>3839</v>
      </c>
      <c r="D4513" s="2" t="s">
        <v>4009</v>
      </c>
      <c r="E4513" s="3"/>
    </row>
    <row r="4514" spans="1:5" ht="24.75" customHeight="1">
      <c r="A4514" s="2">
        <v>4512</v>
      </c>
      <c r="B4514" s="2" t="str">
        <f>"戴小花"</f>
        <v>戴小花</v>
      </c>
      <c r="C4514" s="2" t="s">
        <v>3839</v>
      </c>
      <c r="D4514" s="2" t="s">
        <v>4010</v>
      </c>
      <c r="E4514" s="3"/>
    </row>
    <row r="4515" spans="1:5" ht="24.75" customHeight="1">
      <c r="A4515" s="2">
        <v>4513</v>
      </c>
      <c r="B4515" s="2" t="str">
        <f>"林栋颗"</f>
        <v>林栋颗</v>
      </c>
      <c r="C4515" s="2" t="s">
        <v>3839</v>
      </c>
      <c r="D4515" s="2" t="s">
        <v>4011</v>
      </c>
      <c r="E4515" s="3"/>
    </row>
    <row r="4516" spans="1:5" ht="24.75" customHeight="1">
      <c r="A4516" s="2">
        <v>4514</v>
      </c>
      <c r="B4516" s="2" t="str">
        <f>"邓金花"</f>
        <v>邓金花</v>
      </c>
      <c r="C4516" s="2" t="s">
        <v>3839</v>
      </c>
      <c r="D4516" s="2" t="s">
        <v>4012</v>
      </c>
      <c r="E4516" s="3"/>
    </row>
    <row r="4517" spans="1:5" ht="24.75" customHeight="1">
      <c r="A4517" s="2">
        <v>4515</v>
      </c>
      <c r="B4517" s="2" t="str">
        <f>"何林艺"</f>
        <v>何林艺</v>
      </c>
      <c r="C4517" s="2" t="s">
        <v>3839</v>
      </c>
      <c r="D4517" s="2" t="s">
        <v>211</v>
      </c>
      <c r="E4517" s="3"/>
    </row>
    <row r="4518" spans="1:5" ht="24.75" customHeight="1">
      <c r="A4518" s="2">
        <v>4516</v>
      </c>
      <c r="B4518" s="2" t="str">
        <f>"唐培植"</f>
        <v>唐培植</v>
      </c>
      <c r="C4518" s="2" t="s">
        <v>3839</v>
      </c>
      <c r="D4518" s="2" t="s">
        <v>1532</v>
      </c>
      <c r="E4518" s="3"/>
    </row>
    <row r="4519" spans="1:5" ht="24.75" customHeight="1">
      <c r="A4519" s="2">
        <v>4517</v>
      </c>
      <c r="B4519" s="2" t="str">
        <f>"姜冠宇"</f>
        <v>姜冠宇</v>
      </c>
      <c r="C4519" s="2" t="s">
        <v>3839</v>
      </c>
      <c r="D4519" s="2" t="s">
        <v>4013</v>
      </c>
      <c r="E4519" s="3"/>
    </row>
    <row r="4520" spans="1:5" ht="24.75" customHeight="1">
      <c r="A4520" s="2">
        <v>4518</v>
      </c>
      <c r="B4520" s="2" t="str">
        <f>"蒙博妹"</f>
        <v>蒙博妹</v>
      </c>
      <c r="C4520" s="2" t="s">
        <v>3839</v>
      </c>
      <c r="D4520" s="2" t="s">
        <v>4014</v>
      </c>
      <c r="E4520" s="3"/>
    </row>
    <row r="4521" spans="1:5" ht="24.75" customHeight="1">
      <c r="A4521" s="2">
        <v>4519</v>
      </c>
      <c r="B4521" s="2" t="str">
        <f>"王祈鹏"</f>
        <v>王祈鹏</v>
      </c>
      <c r="C4521" s="2" t="s">
        <v>3839</v>
      </c>
      <c r="D4521" s="2" t="s">
        <v>268</v>
      </c>
      <c r="E4521" s="3"/>
    </row>
    <row r="4522" spans="1:5" ht="24.75" customHeight="1">
      <c r="A4522" s="2">
        <v>4520</v>
      </c>
      <c r="B4522" s="2" t="str">
        <f>"周水环"</f>
        <v>周水环</v>
      </c>
      <c r="C4522" s="2" t="s">
        <v>3839</v>
      </c>
      <c r="D4522" s="2" t="s">
        <v>4015</v>
      </c>
      <c r="E4522" s="3"/>
    </row>
    <row r="4523" spans="1:5" ht="24.75" customHeight="1">
      <c r="A4523" s="2">
        <v>4521</v>
      </c>
      <c r="B4523" s="2" t="str">
        <f>"谢盼盼"</f>
        <v>谢盼盼</v>
      </c>
      <c r="C4523" s="2" t="s">
        <v>3839</v>
      </c>
      <c r="D4523" s="2" t="s">
        <v>576</v>
      </c>
      <c r="E4523" s="3"/>
    </row>
    <row r="4524" spans="1:5" ht="24.75" customHeight="1">
      <c r="A4524" s="2">
        <v>4522</v>
      </c>
      <c r="B4524" s="2" t="str">
        <f>"羊秀桃"</f>
        <v>羊秀桃</v>
      </c>
      <c r="C4524" s="2" t="s">
        <v>3839</v>
      </c>
      <c r="D4524" s="2" t="s">
        <v>4016</v>
      </c>
      <c r="E4524" s="3"/>
    </row>
    <row r="4525" spans="1:5" ht="24.75" customHeight="1">
      <c r="A4525" s="2">
        <v>4523</v>
      </c>
      <c r="B4525" s="2" t="str">
        <f>"张雅"</f>
        <v>张雅</v>
      </c>
      <c r="C4525" s="2" t="s">
        <v>3839</v>
      </c>
      <c r="D4525" s="2" t="s">
        <v>4017</v>
      </c>
      <c r="E4525" s="3"/>
    </row>
    <row r="4526" spans="1:5" ht="24.75" customHeight="1">
      <c r="A4526" s="2">
        <v>4524</v>
      </c>
      <c r="B4526" s="2" t="str">
        <f>"李莉"</f>
        <v>李莉</v>
      </c>
      <c r="C4526" s="2" t="s">
        <v>3839</v>
      </c>
      <c r="D4526" s="2" t="s">
        <v>4018</v>
      </c>
      <c r="E4526" s="3"/>
    </row>
    <row r="4527" spans="1:5" ht="24.75" customHeight="1">
      <c r="A4527" s="2">
        <v>4525</v>
      </c>
      <c r="B4527" s="2" t="str">
        <f>"林晓凤"</f>
        <v>林晓凤</v>
      </c>
      <c r="C4527" s="2" t="s">
        <v>3839</v>
      </c>
      <c r="D4527" s="2" t="s">
        <v>4019</v>
      </c>
      <c r="E4527" s="3"/>
    </row>
    <row r="4528" spans="1:5" ht="24.75" customHeight="1">
      <c r="A4528" s="2">
        <v>4526</v>
      </c>
      <c r="B4528" s="2" t="str">
        <f>"李玉株"</f>
        <v>李玉株</v>
      </c>
      <c r="C4528" s="2" t="s">
        <v>3839</v>
      </c>
      <c r="D4528" s="2" t="s">
        <v>4020</v>
      </c>
      <c r="E4528" s="3"/>
    </row>
    <row r="4529" spans="1:5" ht="24.75" customHeight="1">
      <c r="A4529" s="2">
        <v>4527</v>
      </c>
      <c r="B4529" s="2" t="str">
        <f>"林克彬"</f>
        <v>林克彬</v>
      </c>
      <c r="C4529" s="2" t="s">
        <v>3839</v>
      </c>
      <c r="D4529" s="2" t="s">
        <v>4021</v>
      </c>
      <c r="E4529" s="3"/>
    </row>
    <row r="4530" spans="1:5" ht="24.75" customHeight="1">
      <c r="A4530" s="2">
        <v>4528</v>
      </c>
      <c r="B4530" s="2" t="str">
        <f>"陈秋平"</f>
        <v>陈秋平</v>
      </c>
      <c r="C4530" s="2" t="s">
        <v>3839</v>
      </c>
      <c r="D4530" s="2" t="s">
        <v>4022</v>
      </c>
      <c r="E4530" s="3"/>
    </row>
    <row r="4531" spans="1:5" ht="24.75" customHeight="1">
      <c r="A4531" s="2">
        <v>4529</v>
      </c>
      <c r="B4531" s="2" t="str">
        <f>"陈善牡"</f>
        <v>陈善牡</v>
      </c>
      <c r="C4531" s="2" t="s">
        <v>3839</v>
      </c>
      <c r="D4531" s="2" t="s">
        <v>2235</v>
      </c>
      <c r="E4531" s="3"/>
    </row>
    <row r="4532" spans="1:5" ht="24.75" customHeight="1">
      <c r="A4532" s="2">
        <v>4530</v>
      </c>
      <c r="B4532" s="2" t="str">
        <f>"牛江涛"</f>
        <v>牛江涛</v>
      </c>
      <c r="C4532" s="2" t="s">
        <v>3839</v>
      </c>
      <c r="D4532" s="2" t="s">
        <v>4023</v>
      </c>
      <c r="E4532" s="3"/>
    </row>
    <row r="4533" spans="1:5" ht="24.75" customHeight="1">
      <c r="A4533" s="2">
        <v>4531</v>
      </c>
      <c r="B4533" s="2" t="str">
        <f>"文承梅"</f>
        <v>文承梅</v>
      </c>
      <c r="C4533" s="2" t="s">
        <v>3839</v>
      </c>
      <c r="D4533" s="2" t="s">
        <v>3961</v>
      </c>
      <c r="E4533" s="3"/>
    </row>
    <row r="4534" spans="1:5" ht="24.75" customHeight="1">
      <c r="A4534" s="2">
        <v>4532</v>
      </c>
      <c r="B4534" s="2" t="str">
        <f>"郑银"</f>
        <v>郑银</v>
      </c>
      <c r="C4534" s="2" t="s">
        <v>3839</v>
      </c>
      <c r="D4534" s="2" t="s">
        <v>4024</v>
      </c>
      <c r="E4534" s="3"/>
    </row>
    <row r="4535" spans="1:5" ht="24.75" customHeight="1">
      <c r="A4535" s="2">
        <v>4533</v>
      </c>
      <c r="B4535" s="2" t="str">
        <f>"黄金苗"</f>
        <v>黄金苗</v>
      </c>
      <c r="C4535" s="2" t="s">
        <v>3839</v>
      </c>
      <c r="D4535" s="2" t="s">
        <v>1858</v>
      </c>
      <c r="E4535" s="3"/>
    </row>
    <row r="4536" spans="1:5" ht="24.75" customHeight="1">
      <c r="A4536" s="2">
        <v>4534</v>
      </c>
      <c r="B4536" s="2" t="str">
        <f>"刘春花"</f>
        <v>刘春花</v>
      </c>
      <c r="C4536" s="2" t="s">
        <v>3839</v>
      </c>
      <c r="D4536" s="2" t="s">
        <v>4025</v>
      </c>
      <c r="E4536" s="3"/>
    </row>
    <row r="4537" spans="1:5" ht="24.75" customHeight="1">
      <c r="A4537" s="2">
        <v>4535</v>
      </c>
      <c r="B4537" s="2" t="str">
        <f>"韩允欢"</f>
        <v>韩允欢</v>
      </c>
      <c r="C4537" s="2" t="s">
        <v>3839</v>
      </c>
      <c r="D4537" s="2" t="s">
        <v>4026</v>
      </c>
      <c r="E4537" s="3"/>
    </row>
    <row r="4538" spans="1:5" ht="24.75" customHeight="1">
      <c r="A4538" s="2">
        <v>4536</v>
      </c>
      <c r="B4538" s="2" t="str">
        <f>"谢高彦"</f>
        <v>谢高彦</v>
      </c>
      <c r="C4538" s="2" t="s">
        <v>3839</v>
      </c>
      <c r="D4538" s="2" t="s">
        <v>4027</v>
      </c>
      <c r="E4538" s="3"/>
    </row>
    <row r="4539" spans="1:5" ht="24.75" customHeight="1">
      <c r="A4539" s="2">
        <v>4537</v>
      </c>
      <c r="B4539" s="2" t="str">
        <f>"林送莲"</f>
        <v>林送莲</v>
      </c>
      <c r="C4539" s="2" t="s">
        <v>3839</v>
      </c>
      <c r="D4539" s="2" t="s">
        <v>4028</v>
      </c>
      <c r="E4539" s="3"/>
    </row>
    <row r="4540" spans="1:5" ht="24.75" customHeight="1">
      <c r="A4540" s="2">
        <v>4538</v>
      </c>
      <c r="B4540" s="2" t="str">
        <f>"卓书善"</f>
        <v>卓书善</v>
      </c>
      <c r="C4540" s="2" t="s">
        <v>3839</v>
      </c>
      <c r="D4540" s="2" t="s">
        <v>4029</v>
      </c>
      <c r="E4540" s="3"/>
    </row>
    <row r="4541" spans="1:5" ht="24.75" customHeight="1">
      <c r="A4541" s="2">
        <v>4539</v>
      </c>
      <c r="B4541" s="2" t="str">
        <f>"何玫萱"</f>
        <v>何玫萱</v>
      </c>
      <c r="C4541" s="2" t="s">
        <v>3839</v>
      </c>
      <c r="D4541" s="2" t="s">
        <v>3680</v>
      </c>
      <c r="E4541" s="3"/>
    </row>
    <row r="4542" spans="1:5" ht="24.75" customHeight="1">
      <c r="A4542" s="2">
        <v>4540</v>
      </c>
      <c r="B4542" s="2" t="str">
        <f>"林丽红"</f>
        <v>林丽红</v>
      </c>
      <c r="C4542" s="2" t="s">
        <v>3839</v>
      </c>
      <c r="D4542" s="2" t="s">
        <v>4004</v>
      </c>
      <c r="E4542" s="3"/>
    </row>
    <row r="4543" spans="1:5" ht="24.75" customHeight="1">
      <c r="A4543" s="2">
        <v>4541</v>
      </c>
      <c r="B4543" s="2" t="str">
        <f>"何应加"</f>
        <v>何应加</v>
      </c>
      <c r="C4543" s="2" t="s">
        <v>3839</v>
      </c>
      <c r="D4543" s="2" t="s">
        <v>4030</v>
      </c>
      <c r="E4543" s="3"/>
    </row>
    <row r="4544" spans="1:5" ht="24.75" customHeight="1">
      <c r="A4544" s="2">
        <v>4542</v>
      </c>
      <c r="B4544" s="2" t="str">
        <f>"周乐涯"</f>
        <v>周乐涯</v>
      </c>
      <c r="C4544" s="2" t="s">
        <v>3839</v>
      </c>
      <c r="D4544" s="2" t="s">
        <v>4031</v>
      </c>
      <c r="E4544" s="3"/>
    </row>
    <row r="4545" spans="1:5" ht="24.75" customHeight="1">
      <c r="A4545" s="2">
        <v>4543</v>
      </c>
      <c r="B4545" s="2" t="str">
        <f>"陈香彩"</f>
        <v>陈香彩</v>
      </c>
      <c r="C4545" s="2" t="s">
        <v>3839</v>
      </c>
      <c r="D4545" s="2" t="s">
        <v>3834</v>
      </c>
      <c r="E4545" s="3"/>
    </row>
    <row r="4546" spans="1:5" ht="24.75" customHeight="1">
      <c r="A4546" s="2">
        <v>4544</v>
      </c>
      <c r="B4546" s="2" t="str">
        <f>"唐发敏"</f>
        <v>唐发敏</v>
      </c>
      <c r="C4546" s="2" t="s">
        <v>3839</v>
      </c>
      <c r="D4546" s="2" t="s">
        <v>2755</v>
      </c>
      <c r="E4546" s="3"/>
    </row>
    <row r="4547" spans="1:5" ht="24.75" customHeight="1">
      <c r="A4547" s="2">
        <v>4545</v>
      </c>
      <c r="B4547" s="2" t="str">
        <f>"黄小阳"</f>
        <v>黄小阳</v>
      </c>
      <c r="C4547" s="2" t="s">
        <v>3839</v>
      </c>
      <c r="D4547" s="2" t="s">
        <v>4032</v>
      </c>
      <c r="E4547" s="3"/>
    </row>
    <row r="4548" spans="1:5" ht="24.75" customHeight="1">
      <c r="A4548" s="2">
        <v>4546</v>
      </c>
      <c r="B4548" s="2" t="str">
        <f>"胡绍明"</f>
        <v>胡绍明</v>
      </c>
      <c r="C4548" s="2" t="s">
        <v>3839</v>
      </c>
      <c r="D4548" s="2" t="s">
        <v>4033</v>
      </c>
      <c r="E4548" s="3"/>
    </row>
    <row r="4549" spans="1:5" ht="24.75" customHeight="1">
      <c r="A4549" s="2">
        <v>4547</v>
      </c>
      <c r="B4549" s="2" t="str">
        <f>"林小楠"</f>
        <v>林小楠</v>
      </c>
      <c r="C4549" s="2" t="s">
        <v>3839</v>
      </c>
      <c r="D4549" s="2" t="s">
        <v>4034</v>
      </c>
      <c r="E4549" s="3"/>
    </row>
    <row r="4550" spans="1:5" ht="24.75" customHeight="1">
      <c r="A4550" s="2">
        <v>4548</v>
      </c>
      <c r="B4550" s="2" t="str">
        <f>"赵志鹏"</f>
        <v>赵志鹏</v>
      </c>
      <c r="C4550" s="2" t="s">
        <v>3839</v>
      </c>
      <c r="D4550" s="2" t="s">
        <v>1851</v>
      </c>
      <c r="E4550" s="3"/>
    </row>
    <row r="4551" spans="1:5" ht="24.75" customHeight="1">
      <c r="A4551" s="2">
        <v>4549</v>
      </c>
      <c r="B4551" s="2" t="str">
        <f>"李亚和"</f>
        <v>李亚和</v>
      </c>
      <c r="C4551" s="2" t="s">
        <v>3839</v>
      </c>
      <c r="D4551" s="2" t="s">
        <v>4035</v>
      </c>
      <c r="E4551" s="3"/>
    </row>
    <row r="4552" spans="1:5" ht="24.75" customHeight="1">
      <c r="A4552" s="2">
        <v>4550</v>
      </c>
      <c r="B4552" s="2" t="str">
        <f>"蔡汝松"</f>
        <v>蔡汝松</v>
      </c>
      <c r="C4552" s="2" t="s">
        <v>3839</v>
      </c>
      <c r="D4552" s="2" t="s">
        <v>4036</v>
      </c>
      <c r="E4552" s="3"/>
    </row>
    <row r="4553" spans="1:5" ht="24.75" customHeight="1">
      <c r="A4553" s="2">
        <v>4551</v>
      </c>
      <c r="B4553" s="2" t="str">
        <f>"曾丽婷"</f>
        <v>曾丽婷</v>
      </c>
      <c r="C4553" s="2" t="s">
        <v>3839</v>
      </c>
      <c r="D4553" s="2" t="s">
        <v>4037</v>
      </c>
      <c r="E4553" s="3"/>
    </row>
    <row r="4554" spans="1:5" ht="24.75" customHeight="1">
      <c r="A4554" s="2">
        <v>4552</v>
      </c>
      <c r="B4554" s="2" t="str">
        <f>"郑少波"</f>
        <v>郑少波</v>
      </c>
      <c r="C4554" s="2" t="s">
        <v>3839</v>
      </c>
      <c r="D4554" s="2" t="s">
        <v>4038</v>
      </c>
      <c r="E4554" s="3"/>
    </row>
    <row r="4555" spans="1:5" ht="24.75" customHeight="1">
      <c r="A4555" s="2">
        <v>4553</v>
      </c>
      <c r="B4555" s="2" t="str">
        <f>"王慧"</f>
        <v>王慧</v>
      </c>
      <c r="C4555" s="2" t="s">
        <v>3839</v>
      </c>
      <c r="D4555" s="2" t="s">
        <v>4039</v>
      </c>
      <c r="E4555" s="3"/>
    </row>
    <row r="4556" spans="1:5" ht="24.75" customHeight="1">
      <c r="A4556" s="2">
        <v>4554</v>
      </c>
      <c r="B4556" s="2" t="str">
        <f>"邱鑫勋"</f>
        <v>邱鑫勋</v>
      </c>
      <c r="C4556" s="2" t="s">
        <v>3839</v>
      </c>
      <c r="D4556" s="2" t="s">
        <v>4040</v>
      </c>
      <c r="E4556" s="3"/>
    </row>
    <row r="4557" spans="1:5" ht="24.75" customHeight="1">
      <c r="A4557" s="2">
        <v>4555</v>
      </c>
      <c r="B4557" s="2" t="str">
        <f>"符慧严"</f>
        <v>符慧严</v>
      </c>
      <c r="C4557" s="2" t="s">
        <v>3839</v>
      </c>
      <c r="D4557" s="2" t="s">
        <v>4041</v>
      </c>
      <c r="E4557" s="3"/>
    </row>
    <row r="4558" spans="1:5" ht="24.75" customHeight="1">
      <c r="A4558" s="2">
        <v>4556</v>
      </c>
      <c r="B4558" s="2" t="str">
        <f>"郑美金"</f>
        <v>郑美金</v>
      </c>
      <c r="C4558" s="2" t="s">
        <v>3839</v>
      </c>
      <c r="D4558" s="2" t="s">
        <v>4042</v>
      </c>
      <c r="E4558" s="3"/>
    </row>
    <row r="4559" spans="1:5" ht="24.75" customHeight="1">
      <c r="A4559" s="2">
        <v>4557</v>
      </c>
      <c r="B4559" s="2" t="str">
        <f>"郑锴"</f>
        <v>郑锴</v>
      </c>
      <c r="C4559" s="2" t="s">
        <v>3839</v>
      </c>
      <c r="D4559" s="2" t="s">
        <v>4043</v>
      </c>
      <c r="E4559" s="3"/>
    </row>
    <row r="4560" spans="1:5" ht="24.75" customHeight="1">
      <c r="A4560" s="2">
        <v>4558</v>
      </c>
      <c r="B4560" s="2" t="str">
        <f>"谢梅珠"</f>
        <v>谢梅珠</v>
      </c>
      <c r="C4560" s="2" t="s">
        <v>3839</v>
      </c>
      <c r="D4560" s="2" t="s">
        <v>1477</v>
      </c>
      <c r="E4560" s="3"/>
    </row>
    <row r="4561" spans="1:5" ht="24.75" customHeight="1">
      <c r="A4561" s="2">
        <v>4559</v>
      </c>
      <c r="B4561" s="2" t="str">
        <f>"杨昭琪"</f>
        <v>杨昭琪</v>
      </c>
      <c r="C4561" s="2" t="s">
        <v>3839</v>
      </c>
      <c r="D4561" s="2" t="s">
        <v>4044</v>
      </c>
      <c r="E4561" s="3"/>
    </row>
    <row r="4562" spans="1:5" ht="24.75" customHeight="1">
      <c r="A4562" s="2">
        <v>4560</v>
      </c>
      <c r="B4562" s="2" t="str">
        <f>"黎阳"</f>
        <v>黎阳</v>
      </c>
      <c r="C4562" s="2" t="s">
        <v>3839</v>
      </c>
      <c r="D4562" s="2" t="s">
        <v>4045</v>
      </c>
      <c r="E4562" s="3"/>
    </row>
    <row r="4563" spans="1:5" ht="24.75" customHeight="1">
      <c r="A4563" s="2">
        <v>4561</v>
      </c>
      <c r="B4563" s="2" t="str">
        <f>"文卓伟"</f>
        <v>文卓伟</v>
      </c>
      <c r="C4563" s="2" t="s">
        <v>3839</v>
      </c>
      <c r="D4563" s="2" t="s">
        <v>1668</v>
      </c>
      <c r="E4563" s="3"/>
    </row>
    <row r="4564" spans="1:5" ht="24.75" customHeight="1">
      <c r="A4564" s="2">
        <v>4562</v>
      </c>
      <c r="B4564" s="2" t="str">
        <f>"骆柳女"</f>
        <v>骆柳女</v>
      </c>
      <c r="C4564" s="2" t="s">
        <v>3839</v>
      </c>
      <c r="D4564" s="2" t="s">
        <v>4046</v>
      </c>
      <c r="E4564" s="3"/>
    </row>
    <row r="4565" spans="1:5" ht="24.75" customHeight="1">
      <c r="A4565" s="2">
        <v>4563</v>
      </c>
      <c r="B4565" s="2" t="str">
        <f>"孙新玉"</f>
        <v>孙新玉</v>
      </c>
      <c r="C4565" s="2" t="s">
        <v>3839</v>
      </c>
      <c r="D4565" s="2" t="s">
        <v>4047</v>
      </c>
      <c r="E4565" s="3"/>
    </row>
    <row r="4566" spans="1:5" ht="24.75" customHeight="1">
      <c r="A4566" s="2">
        <v>4564</v>
      </c>
      <c r="B4566" s="2" t="str">
        <f>"何建阳"</f>
        <v>何建阳</v>
      </c>
      <c r="C4566" s="2" t="s">
        <v>3839</v>
      </c>
      <c r="D4566" s="2" t="s">
        <v>4048</v>
      </c>
      <c r="E4566" s="3"/>
    </row>
    <row r="4567" spans="1:5" ht="24.75" customHeight="1">
      <c r="A4567" s="2">
        <v>4565</v>
      </c>
      <c r="B4567" s="2" t="str">
        <f>"黄垂正"</f>
        <v>黄垂正</v>
      </c>
      <c r="C4567" s="2" t="s">
        <v>3839</v>
      </c>
      <c r="D4567" s="2" t="s">
        <v>4049</v>
      </c>
      <c r="E4567" s="3"/>
    </row>
    <row r="4568" spans="1:5" ht="24.75" customHeight="1">
      <c r="A4568" s="2">
        <v>4566</v>
      </c>
      <c r="B4568" s="2" t="str">
        <f>"黄小珍"</f>
        <v>黄小珍</v>
      </c>
      <c r="C4568" s="2" t="s">
        <v>3839</v>
      </c>
      <c r="D4568" s="2" t="s">
        <v>4050</v>
      </c>
      <c r="E4568" s="3"/>
    </row>
    <row r="4569" spans="1:5" ht="24.75" customHeight="1">
      <c r="A4569" s="2">
        <v>4567</v>
      </c>
      <c r="B4569" s="2" t="str">
        <f>"王峰"</f>
        <v>王峰</v>
      </c>
      <c r="C4569" s="2" t="s">
        <v>3839</v>
      </c>
      <c r="D4569" s="2" t="s">
        <v>4051</v>
      </c>
      <c r="E4569" s="3"/>
    </row>
    <row r="4570" spans="1:5" ht="24.75" customHeight="1">
      <c r="A4570" s="2">
        <v>4568</v>
      </c>
      <c r="B4570" s="2" t="str">
        <f>"易一楹"</f>
        <v>易一楹</v>
      </c>
      <c r="C4570" s="2" t="s">
        <v>3839</v>
      </c>
      <c r="D4570" s="2" t="s">
        <v>4052</v>
      </c>
      <c r="E4570" s="3"/>
    </row>
    <row r="4571" spans="1:5" ht="24.75" customHeight="1">
      <c r="A4571" s="2">
        <v>4569</v>
      </c>
      <c r="B4571" s="2" t="str">
        <f>"林玉平"</f>
        <v>林玉平</v>
      </c>
      <c r="C4571" s="2" t="s">
        <v>3839</v>
      </c>
      <c r="D4571" s="2" t="s">
        <v>4053</v>
      </c>
      <c r="E4571" s="3"/>
    </row>
    <row r="4572" spans="1:5" ht="24.75" customHeight="1">
      <c r="A4572" s="2">
        <v>4570</v>
      </c>
      <c r="B4572" s="2" t="str">
        <f>"刘二花"</f>
        <v>刘二花</v>
      </c>
      <c r="C4572" s="2" t="s">
        <v>3839</v>
      </c>
      <c r="D4572" s="2" t="s">
        <v>3401</v>
      </c>
      <c r="E4572" s="3"/>
    </row>
    <row r="4573" spans="1:5" ht="24.75" customHeight="1">
      <c r="A4573" s="2">
        <v>4571</v>
      </c>
      <c r="B4573" s="2" t="str">
        <f>"王育"</f>
        <v>王育</v>
      </c>
      <c r="C4573" s="2" t="s">
        <v>3839</v>
      </c>
      <c r="D4573" s="2" t="s">
        <v>4054</v>
      </c>
      <c r="E4573" s="3"/>
    </row>
    <row r="4574" spans="1:5" ht="24.75" customHeight="1">
      <c r="A4574" s="2">
        <v>4572</v>
      </c>
      <c r="B4574" s="2" t="str">
        <f>"何瑞按"</f>
        <v>何瑞按</v>
      </c>
      <c r="C4574" s="2" t="s">
        <v>3839</v>
      </c>
      <c r="D4574" s="2" t="s">
        <v>3436</v>
      </c>
      <c r="E4574" s="3"/>
    </row>
    <row r="4575" spans="1:5" ht="24.75" customHeight="1">
      <c r="A4575" s="2">
        <v>4573</v>
      </c>
      <c r="B4575" s="2" t="str">
        <f>"吴美姬"</f>
        <v>吴美姬</v>
      </c>
      <c r="C4575" s="2" t="s">
        <v>4055</v>
      </c>
      <c r="D4575" s="2" t="s">
        <v>3010</v>
      </c>
      <c r="E4575" s="3"/>
    </row>
    <row r="4576" spans="1:5" ht="24.75" customHeight="1">
      <c r="A4576" s="2">
        <v>4574</v>
      </c>
      <c r="B4576" s="2" t="str">
        <f>"杨凯"</f>
        <v>杨凯</v>
      </c>
      <c r="C4576" s="2" t="s">
        <v>4055</v>
      </c>
      <c r="D4576" s="2" t="s">
        <v>3431</v>
      </c>
      <c r="E4576" s="3"/>
    </row>
    <row r="4577" spans="1:5" ht="24.75" customHeight="1">
      <c r="A4577" s="2">
        <v>4575</v>
      </c>
      <c r="B4577" s="2" t="str">
        <f>"许林静"</f>
        <v>许林静</v>
      </c>
      <c r="C4577" s="2" t="s">
        <v>4055</v>
      </c>
      <c r="D4577" s="2" t="s">
        <v>4056</v>
      </c>
      <c r="E4577" s="3"/>
    </row>
    <row r="4578" spans="1:5" ht="24.75" customHeight="1">
      <c r="A4578" s="2">
        <v>4576</v>
      </c>
      <c r="B4578" s="2" t="str">
        <f>"王所文"</f>
        <v>王所文</v>
      </c>
      <c r="C4578" s="2" t="s">
        <v>4055</v>
      </c>
      <c r="D4578" s="2" t="s">
        <v>2519</v>
      </c>
      <c r="E4578" s="3"/>
    </row>
    <row r="4579" spans="1:5" ht="24.75" customHeight="1">
      <c r="A4579" s="2">
        <v>4577</v>
      </c>
      <c r="B4579" s="2" t="str">
        <f>"冯征"</f>
        <v>冯征</v>
      </c>
      <c r="C4579" s="2" t="s">
        <v>4055</v>
      </c>
      <c r="D4579" s="2" t="s">
        <v>4057</v>
      </c>
      <c r="E4579" s="3"/>
    </row>
    <row r="4580" spans="1:5" ht="24.75" customHeight="1">
      <c r="A4580" s="2">
        <v>4578</v>
      </c>
      <c r="B4580" s="2" t="str">
        <f>"孙新陆"</f>
        <v>孙新陆</v>
      </c>
      <c r="C4580" s="2" t="s">
        <v>4055</v>
      </c>
      <c r="D4580" s="2" t="s">
        <v>4058</v>
      </c>
      <c r="E4580" s="3"/>
    </row>
    <row r="4581" spans="1:5" ht="24.75" customHeight="1">
      <c r="A4581" s="2">
        <v>4579</v>
      </c>
      <c r="B4581" s="2" t="str">
        <f>"薛冬雪"</f>
        <v>薛冬雪</v>
      </c>
      <c r="C4581" s="2" t="s">
        <v>4055</v>
      </c>
      <c r="D4581" s="2" t="s">
        <v>3858</v>
      </c>
      <c r="E4581" s="3"/>
    </row>
    <row r="4582" spans="1:5" ht="24.75" customHeight="1">
      <c r="A4582" s="2">
        <v>4580</v>
      </c>
      <c r="B4582" s="2" t="str">
        <f>"李贤浩"</f>
        <v>李贤浩</v>
      </c>
      <c r="C4582" s="2" t="s">
        <v>4055</v>
      </c>
      <c r="D4582" s="2" t="s">
        <v>1624</v>
      </c>
      <c r="E4582" s="3"/>
    </row>
    <row r="4583" spans="1:5" ht="24.75" customHeight="1">
      <c r="A4583" s="2">
        <v>4581</v>
      </c>
      <c r="B4583" s="2" t="str">
        <f>"王康"</f>
        <v>王康</v>
      </c>
      <c r="C4583" s="2" t="s">
        <v>4055</v>
      </c>
      <c r="D4583" s="2" t="s">
        <v>4059</v>
      </c>
      <c r="E4583" s="3"/>
    </row>
    <row r="4584" spans="1:5" ht="24.75" customHeight="1">
      <c r="A4584" s="2">
        <v>4582</v>
      </c>
      <c r="B4584" s="2" t="str">
        <f>"蒙唯"</f>
        <v>蒙唯</v>
      </c>
      <c r="C4584" s="2" t="s">
        <v>4055</v>
      </c>
      <c r="D4584" s="2" t="s">
        <v>555</v>
      </c>
      <c r="E4584" s="3"/>
    </row>
    <row r="4585" spans="1:5" ht="24.75" customHeight="1">
      <c r="A4585" s="2">
        <v>4583</v>
      </c>
      <c r="B4585" s="2" t="str">
        <f>"林雪娜"</f>
        <v>林雪娜</v>
      </c>
      <c r="C4585" s="2" t="s">
        <v>4055</v>
      </c>
      <c r="D4585" s="2" t="s">
        <v>4060</v>
      </c>
      <c r="E4585" s="3"/>
    </row>
    <row r="4586" spans="1:5" ht="24.75" customHeight="1">
      <c r="A4586" s="2">
        <v>4584</v>
      </c>
      <c r="B4586" s="2" t="str">
        <f>"杨怡雯"</f>
        <v>杨怡雯</v>
      </c>
      <c r="C4586" s="2" t="s">
        <v>4055</v>
      </c>
      <c r="D4586" s="2" t="s">
        <v>4061</v>
      </c>
      <c r="E4586" s="3"/>
    </row>
    <row r="4587" spans="1:5" ht="24.75" customHeight="1">
      <c r="A4587" s="2">
        <v>4585</v>
      </c>
      <c r="B4587" s="2" t="str">
        <f>"陆圣玉"</f>
        <v>陆圣玉</v>
      </c>
      <c r="C4587" s="2" t="s">
        <v>4055</v>
      </c>
      <c r="D4587" s="2" t="s">
        <v>4062</v>
      </c>
      <c r="E4587" s="3"/>
    </row>
    <row r="4588" spans="1:5" ht="24.75" customHeight="1">
      <c r="A4588" s="2">
        <v>4586</v>
      </c>
      <c r="B4588" s="2" t="str">
        <f>"王建保"</f>
        <v>王建保</v>
      </c>
      <c r="C4588" s="2" t="s">
        <v>4055</v>
      </c>
      <c r="D4588" s="2" t="s">
        <v>4063</v>
      </c>
      <c r="E4588" s="3"/>
    </row>
    <row r="4589" spans="1:5" ht="24.75" customHeight="1">
      <c r="A4589" s="2">
        <v>4587</v>
      </c>
      <c r="B4589" s="2" t="str">
        <f>"黎扬扬"</f>
        <v>黎扬扬</v>
      </c>
      <c r="C4589" s="2" t="s">
        <v>4055</v>
      </c>
      <c r="D4589" s="2" t="s">
        <v>4064</v>
      </c>
      <c r="E4589" s="3"/>
    </row>
    <row r="4590" spans="1:5" ht="24.75" customHeight="1">
      <c r="A4590" s="2">
        <v>4588</v>
      </c>
      <c r="B4590" s="2" t="str">
        <f>"李学亮"</f>
        <v>李学亮</v>
      </c>
      <c r="C4590" s="2" t="s">
        <v>4055</v>
      </c>
      <c r="D4590" s="2" t="s">
        <v>4065</v>
      </c>
      <c r="E4590" s="3"/>
    </row>
    <row r="4591" spans="1:5" ht="24.75" customHeight="1">
      <c r="A4591" s="2">
        <v>4589</v>
      </c>
      <c r="B4591" s="2" t="str">
        <f>"张子贞"</f>
        <v>张子贞</v>
      </c>
      <c r="C4591" s="2" t="s">
        <v>4055</v>
      </c>
      <c r="D4591" s="2" t="s">
        <v>4066</v>
      </c>
      <c r="E4591" s="3"/>
    </row>
    <row r="4592" spans="1:5" ht="24.75" customHeight="1">
      <c r="A4592" s="2">
        <v>4590</v>
      </c>
      <c r="B4592" s="2" t="str">
        <f>"蔡辉玲"</f>
        <v>蔡辉玲</v>
      </c>
      <c r="C4592" s="2" t="s">
        <v>4055</v>
      </c>
      <c r="D4592" s="2" t="s">
        <v>4067</v>
      </c>
      <c r="E4592" s="3"/>
    </row>
    <row r="4593" spans="1:5" ht="24.75" customHeight="1">
      <c r="A4593" s="2">
        <v>4591</v>
      </c>
      <c r="B4593" s="2" t="str">
        <f>"符诒洪"</f>
        <v>符诒洪</v>
      </c>
      <c r="C4593" s="2" t="s">
        <v>4055</v>
      </c>
      <c r="D4593" s="2" t="s">
        <v>2839</v>
      </c>
      <c r="E4593" s="3"/>
    </row>
    <row r="4594" spans="1:5" ht="24.75" customHeight="1">
      <c r="A4594" s="2">
        <v>4592</v>
      </c>
      <c r="B4594" s="2" t="str">
        <f>"廖之威"</f>
        <v>廖之威</v>
      </c>
      <c r="C4594" s="2" t="s">
        <v>4055</v>
      </c>
      <c r="D4594" s="2" t="s">
        <v>4068</v>
      </c>
      <c r="E4594" s="3"/>
    </row>
    <row r="4595" spans="1:5" ht="24.75" customHeight="1">
      <c r="A4595" s="2">
        <v>4593</v>
      </c>
      <c r="B4595" s="2" t="str">
        <f>"谢晋雅"</f>
        <v>谢晋雅</v>
      </c>
      <c r="C4595" s="2" t="s">
        <v>4055</v>
      </c>
      <c r="D4595" s="2" t="s">
        <v>202</v>
      </c>
      <c r="E4595" s="3"/>
    </row>
    <row r="4596" spans="1:5" ht="24.75" customHeight="1">
      <c r="A4596" s="2">
        <v>4594</v>
      </c>
      <c r="B4596" s="2" t="str">
        <f>"李琼慧"</f>
        <v>李琼慧</v>
      </c>
      <c r="C4596" s="2" t="s">
        <v>4055</v>
      </c>
      <c r="D4596" s="2" t="s">
        <v>4069</v>
      </c>
      <c r="E4596" s="3"/>
    </row>
    <row r="4597" spans="1:5" ht="24.75" customHeight="1">
      <c r="A4597" s="2">
        <v>4595</v>
      </c>
      <c r="B4597" s="2" t="str">
        <f>"李惠敏"</f>
        <v>李惠敏</v>
      </c>
      <c r="C4597" s="2" t="s">
        <v>4055</v>
      </c>
      <c r="D4597" s="2" t="s">
        <v>101</v>
      </c>
      <c r="E4597" s="3"/>
    </row>
    <row r="4598" spans="1:5" ht="24.75" customHeight="1">
      <c r="A4598" s="2">
        <v>4596</v>
      </c>
      <c r="B4598" s="2" t="str">
        <f>"谢晋娟"</f>
        <v>谢晋娟</v>
      </c>
      <c r="C4598" s="2" t="s">
        <v>4055</v>
      </c>
      <c r="D4598" s="2" t="s">
        <v>697</v>
      </c>
      <c r="E4598" s="3"/>
    </row>
    <row r="4599" spans="1:5" ht="24.75" customHeight="1">
      <c r="A4599" s="2">
        <v>4597</v>
      </c>
      <c r="B4599" s="2" t="str">
        <f>"李喜月"</f>
        <v>李喜月</v>
      </c>
      <c r="C4599" s="2" t="s">
        <v>4055</v>
      </c>
      <c r="D4599" s="2" t="s">
        <v>4070</v>
      </c>
      <c r="E4599" s="3"/>
    </row>
    <row r="4600" spans="1:5" ht="24.75" customHeight="1">
      <c r="A4600" s="2">
        <v>4598</v>
      </c>
      <c r="B4600" s="2" t="str">
        <f>"王芳"</f>
        <v>王芳</v>
      </c>
      <c r="C4600" s="2" t="s">
        <v>4055</v>
      </c>
      <c r="D4600" s="2" t="s">
        <v>4071</v>
      </c>
      <c r="E4600" s="3"/>
    </row>
    <row r="4601" spans="1:5" ht="24.75" customHeight="1">
      <c r="A4601" s="2">
        <v>4599</v>
      </c>
      <c r="B4601" s="2" t="str">
        <f>"吴国士"</f>
        <v>吴国士</v>
      </c>
      <c r="C4601" s="2" t="s">
        <v>4055</v>
      </c>
      <c r="D4601" s="2" t="s">
        <v>2594</v>
      </c>
      <c r="E4601" s="3"/>
    </row>
    <row r="4602" spans="1:5" ht="24.75" customHeight="1">
      <c r="A4602" s="2">
        <v>4600</v>
      </c>
      <c r="B4602" s="2" t="str">
        <f>"梁晓春"</f>
        <v>梁晓春</v>
      </c>
      <c r="C4602" s="2" t="s">
        <v>4055</v>
      </c>
      <c r="D4602" s="2" t="s">
        <v>4072</v>
      </c>
      <c r="E4602" s="3"/>
    </row>
    <row r="4603" spans="1:5" ht="24.75" customHeight="1">
      <c r="A4603" s="2">
        <v>4601</v>
      </c>
      <c r="B4603" s="2" t="str">
        <f>"陈焕发"</f>
        <v>陈焕发</v>
      </c>
      <c r="C4603" s="2" t="s">
        <v>4055</v>
      </c>
      <c r="D4603" s="2" t="s">
        <v>4073</v>
      </c>
      <c r="E4603" s="3"/>
    </row>
    <row r="4604" spans="1:5" ht="24.75" customHeight="1">
      <c r="A4604" s="2">
        <v>4602</v>
      </c>
      <c r="B4604" s="2" t="str">
        <f>"王格非"</f>
        <v>王格非</v>
      </c>
      <c r="C4604" s="2" t="s">
        <v>4055</v>
      </c>
      <c r="D4604" s="2" t="s">
        <v>4074</v>
      </c>
      <c r="E4604" s="3"/>
    </row>
    <row r="4605" spans="1:5" ht="24.75" customHeight="1">
      <c r="A4605" s="2">
        <v>4603</v>
      </c>
      <c r="B4605" s="2" t="str">
        <f>"陈羿兑"</f>
        <v>陈羿兑</v>
      </c>
      <c r="C4605" s="2" t="s">
        <v>4055</v>
      </c>
      <c r="D4605" s="2" t="s">
        <v>4075</v>
      </c>
      <c r="E4605" s="3"/>
    </row>
    <row r="4606" spans="1:5" ht="24.75" customHeight="1">
      <c r="A4606" s="2">
        <v>4604</v>
      </c>
      <c r="B4606" s="2" t="str">
        <f>"谢新燕"</f>
        <v>谢新燕</v>
      </c>
      <c r="C4606" s="2" t="s">
        <v>4055</v>
      </c>
      <c r="D4606" s="2" t="s">
        <v>4076</v>
      </c>
      <c r="E4606" s="3"/>
    </row>
    <row r="4607" spans="1:5" ht="24.75" customHeight="1">
      <c r="A4607" s="2">
        <v>4605</v>
      </c>
      <c r="B4607" s="2" t="str">
        <f>"林昌兴"</f>
        <v>林昌兴</v>
      </c>
      <c r="C4607" s="2" t="s">
        <v>4055</v>
      </c>
      <c r="D4607" s="2" t="s">
        <v>4077</v>
      </c>
      <c r="E4607" s="3"/>
    </row>
    <row r="4608" spans="1:5" ht="24.75" customHeight="1">
      <c r="A4608" s="2">
        <v>4606</v>
      </c>
      <c r="B4608" s="2" t="str">
        <f>"苏运亮"</f>
        <v>苏运亮</v>
      </c>
      <c r="C4608" s="2" t="s">
        <v>4055</v>
      </c>
      <c r="D4608" s="2" t="s">
        <v>4078</v>
      </c>
      <c r="E4608" s="3"/>
    </row>
    <row r="4609" spans="1:5" ht="24.75" customHeight="1">
      <c r="A4609" s="2">
        <v>4607</v>
      </c>
      <c r="B4609" s="2" t="str">
        <f>"吉娇柳"</f>
        <v>吉娇柳</v>
      </c>
      <c r="C4609" s="2" t="s">
        <v>4055</v>
      </c>
      <c r="D4609" s="2" t="s">
        <v>4079</v>
      </c>
      <c r="E4609" s="3"/>
    </row>
    <row r="4610" spans="1:5" ht="24.75" customHeight="1">
      <c r="A4610" s="2">
        <v>4608</v>
      </c>
      <c r="B4610" s="2" t="str">
        <f>"何万豪"</f>
        <v>何万豪</v>
      </c>
      <c r="C4610" s="2" t="s">
        <v>4055</v>
      </c>
      <c r="D4610" s="2" t="s">
        <v>4080</v>
      </c>
      <c r="E4610" s="3"/>
    </row>
    <row r="4611" spans="1:5" ht="24.75" customHeight="1">
      <c r="A4611" s="2">
        <v>4609</v>
      </c>
      <c r="B4611" s="2" t="str">
        <f>"梁冠"</f>
        <v>梁冠</v>
      </c>
      <c r="C4611" s="2" t="s">
        <v>4055</v>
      </c>
      <c r="D4611" s="2" t="s">
        <v>4081</v>
      </c>
      <c r="E4611" s="3"/>
    </row>
    <row r="4612" spans="1:5" ht="24.75" customHeight="1">
      <c r="A4612" s="2">
        <v>4610</v>
      </c>
      <c r="B4612" s="2" t="str">
        <f>"梁业尚"</f>
        <v>梁业尚</v>
      </c>
      <c r="C4612" s="2" t="s">
        <v>4055</v>
      </c>
      <c r="D4612" s="2" t="s">
        <v>4082</v>
      </c>
      <c r="E4612" s="3"/>
    </row>
    <row r="4613" spans="1:5" ht="24.75" customHeight="1">
      <c r="A4613" s="2">
        <v>4611</v>
      </c>
      <c r="B4613" s="2" t="str">
        <f>"李华宁"</f>
        <v>李华宁</v>
      </c>
      <c r="C4613" s="2" t="s">
        <v>4055</v>
      </c>
      <c r="D4613" s="2" t="s">
        <v>4083</v>
      </c>
      <c r="E4613" s="3"/>
    </row>
    <row r="4614" spans="1:5" ht="24.75" customHeight="1">
      <c r="A4614" s="2">
        <v>4612</v>
      </c>
      <c r="B4614" s="2" t="str">
        <f>"陈方利"</f>
        <v>陈方利</v>
      </c>
      <c r="C4614" s="2" t="s">
        <v>4055</v>
      </c>
      <c r="D4614" s="2" t="s">
        <v>1506</v>
      </c>
      <c r="E4614" s="3"/>
    </row>
    <row r="4615" spans="1:5" ht="24.75" customHeight="1">
      <c r="A4615" s="2">
        <v>4613</v>
      </c>
      <c r="B4615" s="2" t="str">
        <f>"曾森林"</f>
        <v>曾森林</v>
      </c>
      <c r="C4615" s="2" t="s">
        <v>4055</v>
      </c>
      <c r="D4615" s="2" t="s">
        <v>4084</v>
      </c>
      <c r="E4615" s="3"/>
    </row>
    <row r="4616" spans="1:5" ht="24.75" customHeight="1">
      <c r="A4616" s="2">
        <v>4614</v>
      </c>
      <c r="B4616" s="2" t="str">
        <f>"许哲龙"</f>
        <v>许哲龙</v>
      </c>
      <c r="C4616" s="2" t="s">
        <v>4055</v>
      </c>
      <c r="D4616" s="2" t="s">
        <v>4085</v>
      </c>
      <c r="E4616" s="3"/>
    </row>
    <row r="4617" spans="1:5" ht="24.75" customHeight="1">
      <c r="A4617" s="2">
        <v>4615</v>
      </c>
      <c r="B4617" s="2" t="str">
        <f>"李祝雨"</f>
        <v>李祝雨</v>
      </c>
      <c r="C4617" s="2" t="s">
        <v>4055</v>
      </c>
      <c r="D4617" s="2" t="s">
        <v>4086</v>
      </c>
      <c r="E4617" s="3"/>
    </row>
    <row r="4618" spans="1:5" ht="24.75" customHeight="1">
      <c r="A4618" s="2">
        <v>4616</v>
      </c>
      <c r="B4618" s="2" t="str">
        <f>"许怡婷"</f>
        <v>许怡婷</v>
      </c>
      <c r="C4618" s="2" t="s">
        <v>4055</v>
      </c>
      <c r="D4618" s="2" t="s">
        <v>4087</v>
      </c>
      <c r="E4618" s="3"/>
    </row>
    <row r="4619" spans="1:5" ht="24.75" customHeight="1">
      <c r="A4619" s="2">
        <v>4617</v>
      </c>
      <c r="B4619" s="2" t="str">
        <f>"曾文德"</f>
        <v>曾文德</v>
      </c>
      <c r="C4619" s="2" t="s">
        <v>4055</v>
      </c>
      <c r="D4619" s="2" t="s">
        <v>4088</v>
      </c>
      <c r="E4619" s="3"/>
    </row>
    <row r="4620" spans="1:5" ht="24.75" customHeight="1">
      <c r="A4620" s="2">
        <v>4618</v>
      </c>
      <c r="B4620" s="2" t="str">
        <f>"林政雄"</f>
        <v>林政雄</v>
      </c>
      <c r="C4620" s="2" t="s">
        <v>4055</v>
      </c>
      <c r="D4620" s="2" t="s">
        <v>4089</v>
      </c>
      <c r="E4620" s="3"/>
    </row>
    <row r="4621" spans="1:5" ht="24.75" customHeight="1">
      <c r="A4621" s="2">
        <v>4619</v>
      </c>
      <c r="B4621" s="2" t="str">
        <f>"曾子春"</f>
        <v>曾子春</v>
      </c>
      <c r="C4621" s="2" t="s">
        <v>4055</v>
      </c>
      <c r="D4621" s="2" t="s">
        <v>4090</v>
      </c>
      <c r="E4621" s="3"/>
    </row>
    <row r="4622" spans="1:5" ht="24.75" customHeight="1">
      <c r="A4622" s="2">
        <v>4620</v>
      </c>
      <c r="B4622" s="2" t="str">
        <f>"简洁"</f>
        <v>简洁</v>
      </c>
      <c r="C4622" s="2" t="s">
        <v>4055</v>
      </c>
      <c r="D4622" s="2" t="s">
        <v>4091</v>
      </c>
      <c r="E4622" s="3"/>
    </row>
    <row r="4623" spans="1:5" ht="24.75" customHeight="1">
      <c r="A4623" s="2">
        <v>4621</v>
      </c>
      <c r="B4623" s="2" t="str">
        <f>"颜统利"</f>
        <v>颜统利</v>
      </c>
      <c r="C4623" s="2" t="s">
        <v>4055</v>
      </c>
      <c r="D4623" s="2" t="s">
        <v>3652</v>
      </c>
      <c r="E4623" s="3"/>
    </row>
    <row r="4624" spans="1:5" ht="24.75" customHeight="1">
      <c r="A4624" s="2">
        <v>4622</v>
      </c>
      <c r="B4624" s="2" t="str">
        <f>"郭凤杉"</f>
        <v>郭凤杉</v>
      </c>
      <c r="C4624" s="2" t="s">
        <v>4055</v>
      </c>
      <c r="D4624" s="2" t="s">
        <v>3019</v>
      </c>
      <c r="E4624" s="3"/>
    </row>
    <row r="4625" spans="1:5" ht="24.75" customHeight="1">
      <c r="A4625" s="2">
        <v>4623</v>
      </c>
      <c r="B4625" s="2" t="str">
        <f>"冯慧"</f>
        <v>冯慧</v>
      </c>
      <c r="C4625" s="2" t="s">
        <v>4055</v>
      </c>
      <c r="D4625" s="2" t="s">
        <v>4092</v>
      </c>
      <c r="E4625" s="3"/>
    </row>
    <row r="4626" spans="1:5" ht="24.75" customHeight="1">
      <c r="A4626" s="2">
        <v>4624</v>
      </c>
      <c r="B4626" s="2" t="str">
        <f>"李兴成"</f>
        <v>李兴成</v>
      </c>
      <c r="C4626" s="2" t="s">
        <v>4093</v>
      </c>
      <c r="D4626" s="2" t="s">
        <v>658</v>
      </c>
      <c r="E4626" s="3"/>
    </row>
    <row r="4627" spans="1:5" ht="24.75" customHeight="1">
      <c r="A4627" s="2">
        <v>4625</v>
      </c>
      <c r="B4627" s="2" t="str">
        <f>"李莉"</f>
        <v>李莉</v>
      </c>
      <c r="C4627" s="2" t="s">
        <v>4093</v>
      </c>
      <c r="D4627" s="2" t="s">
        <v>4094</v>
      </c>
      <c r="E4627" s="3"/>
    </row>
    <row r="4628" spans="1:5" ht="24.75" customHeight="1">
      <c r="A4628" s="2">
        <v>4626</v>
      </c>
      <c r="B4628" s="2" t="str">
        <f>"李佳慧"</f>
        <v>李佳慧</v>
      </c>
      <c r="C4628" s="2" t="s">
        <v>4093</v>
      </c>
      <c r="D4628" s="2" t="s">
        <v>4095</v>
      </c>
      <c r="E4628" s="3"/>
    </row>
    <row r="4629" spans="1:5" ht="24.75" customHeight="1">
      <c r="A4629" s="2">
        <v>4627</v>
      </c>
      <c r="B4629" s="2" t="str">
        <f>"李汉珑"</f>
        <v>李汉珑</v>
      </c>
      <c r="C4629" s="2" t="s">
        <v>4093</v>
      </c>
      <c r="D4629" s="2" t="s">
        <v>4096</v>
      </c>
      <c r="E4629" s="3"/>
    </row>
    <row r="4630" spans="1:5" ht="24.75" customHeight="1">
      <c r="A4630" s="2">
        <v>4628</v>
      </c>
      <c r="B4630" s="2" t="str">
        <f>"倪嘉余"</f>
        <v>倪嘉余</v>
      </c>
      <c r="C4630" s="2" t="s">
        <v>4093</v>
      </c>
      <c r="D4630" s="2" t="s">
        <v>1291</v>
      </c>
      <c r="E4630" s="3"/>
    </row>
    <row r="4631" spans="1:5" ht="24.75" customHeight="1">
      <c r="A4631" s="2">
        <v>4629</v>
      </c>
      <c r="B4631" s="2" t="str">
        <f>"黄青娜"</f>
        <v>黄青娜</v>
      </c>
      <c r="C4631" s="2" t="s">
        <v>4093</v>
      </c>
      <c r="D4631" s="2" t="s">
        <v>4019</v>
      </c>
      <c r="E4631" s="3"/>
    </row>
    <row r="4632" spans="1:5" ht="24.75" customHeight="1">
      <c r="A4632" s="2">
        <v>4630</v>
      </c>
      <c r="B4632" s="2" t="str">
        <f>"杨达新"</f>
        <v>杨达新</v>
      </c>
      <c r="C4632" s="2" t="s">
        <v>4093</v>
      </c>
      <c r="D4632" s="2" t="s">
        <v>4097</v>
      </c>
      <c r="E4632" s="3"/>
    </row>
    <row r="4633" spans="1:5" ht="24.75" customHeight="1">
      <c r="A4633" s="2">
        <v>4631</v>
      </c>
      <c r="B4633" s="2" t="str">
        <f>"蒲才喜"</f>
        <v>蒲才喜</v>
      </c>
      <c r="C4633" s="2" t="s">
        <v>4093</v>
      </c>
      <c r="D4633" s="2" t="s">
        <v>4098</v>
      </c>
      <c r="E4633" s="3"/>
    </row>
    <row r="4634" spans="1:5" ht="24.75" customHeight="1">
      <c r="A4634" s="2">
        <v>4632</v>
      </c>
      <c r="B4634" s="2" t="str">
        <f>"谭丽丹"</f>
        <v>谭丽丹</v>
      </c>
      <c r="C4634" s="2" t="s">
        <v>4093</v>
      </c>
      <c r="D4634" s="2" t="s">
        <v>3791</v>
      </c>
      <c r="E4634" s="3"/>
    </row>
    <row r="4635" spans="1:5" ht="24.75" customHeight="1">
      <c r="A4635" s="2">
        <v>4633</v>
      </c>
      <c r="B4635" s="2" t="str">
        <f>"吴京举"</f>
        <v>吴京举</v>
      </c>
      <c r="C4635" s="2" t="s">
        <v>4093</v>
      </c>
      <c r="D4635" s="2" t="s">
        <v>1130</v>
      </c>
      <c r="E4635" s="3"/>
    </row>
    <row r="4636" spans="1:5" ht="24.75" customHeight="1">
      <c r="A4636" s="2">
        <v>4634</v>
      </c>
      <c r="B4636" s="2" t="str">
        <f>"杨俊腾"</f>
        <v>杨俊腾</v>
      </c>
      <c r="C4636" s="2" t="s">
        <v>4093</v>
      </c>
      <c r="D4636" s="2" t="s">
        <v>4099</v>
      </c>
      <c r="E4636" s="3"/>
    </row>
    <row r="4637" spans="1:5" ht="24.75" customHeight="1">
      <c r="A4637" s="2">
        <v>4635</v>
      </c>
      <c r="B4637" s="2" t="str">
        <f>"李汝健"</f>
        <v>李汝健</v>
      </c>
      <c r="C4637" s="2" t="s">
        <v>4093</v>
      </c>
      <c r="D4637" s="2" t="s">
        <v>3937</v>
      </c>
      <c r="E4637" s="3"/>
    </row>
    <row r="4638" spans="1:5" ht="24.75" customHeight="1">
      <c r="A4638" s="2">
        <v>4636</v>
      </c>
      <c r="B4638" s="2" t="str">
        <f>"周湛人"</f>
        <v>周湛人</v>
      </c>
      <c r="C4638" s="2" t="s">
        <v>4093</v>
      </c>
      <c r="D4638" s="2" t="s">
        <v>4100</v>
      </c>
      <c r="E4638" s="3"/>
    </row>
    <row r="4639" spans="1:5" ht="24.75" customHeight="1">
      <c r="A4639" s="2">
        <v>4637</v>
      </c>
      <c r="B4639" s="2" t="str">
        <f>"符士坚"</f>
        <v>符士坚</v>
      </c>
      <c r="C4639" s="2" t="s">
        <v>4093</v>
      </c>
      <c r="D4639" s="2" t="s">
        <v>4101</v>
      </c>
      <c r="E4639" s="3"/>
    </row>
    <row r="4640" spans="1:5" ht="24.75" customHeight="1">
      <c r="A4640" s="2">
        <v>4638</v>
      </c>
      <c r="B4640" s="2" t="str">
        <f>"张浩然"</f>
        <v>张浩然</v>
      </c>
      <c r="C4640" s="2" t="s">
        <v>4093</v>
      </c>
      <c r="D4640" s="2" t="s">
        <v>4102</v>
      </c>
      <c r="E4640" s="3"/>
    </row>
    <row r="4641" spans="1:5" ht="24.75" customHeight="1">
      <c r="A4641" s="2">
        <v>4639</v>
      </c>
      <c r="B4641" s="2" t="str">
        <f>"黎秀强"</f>
        <v>黎秀强</v>
      </c>
      <c r="C4641" s="2" t="s">
        <v>4093</v>
      </c>
      <c r="D4641" s="2" t="s">
        <v>4103</v>
      </c>
      <c r="E4641" s="3"/>
    </row>
    <row r="4642" spans="1:5" ht="24.75" customHeight="1">
      <c r="A4642" s="2">
        <v>4640</v>
      </c>
      <c r="B4642" s="2" t="str">
        <f>"陈瑞"</f>
        <v>陈瑞</v>
      </c>
      <c r="C4642" s="2" t="s">
        <v>4093</v>
      </c>
      <c r="D4642" s="2" t="s">
        <v>4104</v>
      </c>
      <c r="E4642" s="3"/>
    </row>
    <row r="4643" spans="1:5" ht="24.75" customHeight="1">
      <c r="A4643" s="2">
        <v>4641</v>
      </c>
      <c r="B4643" s="2" t="str">
        <f>"李文多"</f>
        <v>李文多</v>
      </c>
      <c r="C4643" s="2" t="s">
        <v>4093</v>
      </c>
      <c r="D4643" s="2" t="s">
        <v>4065</v>
      </c>
      <c r="E4643" s="3"/>
    </row>
    <row r="4644" spans="1:5" ht="24.75" customHeight="1">
      <c r="A4644" s="2">
        <v>4642</v>
      </c>
      <c r="B4644" s="2" t="str">
        <f>"文齐麟"</f>
        <v>文齐麟</v>
      </c>
      <c r="C4644" s="2" t="s">
        <v>4093</v>
      </c>
      <c r="D4644" s="2" t="s">
        <v>4043</v>
      </c>
      <c r="E4644" s="3"/>
    </row>
    <row r="4645" spans="1:5" ht="24.75" customHeight="1">
      <c r="A4645" s="2">
        <v>4643</v>
      </c>
      <c r="B4645" s="2" t="str">
        <f>"陈理敦"</f>
        <v>陈理敦</v>
      </c>
      <c r="C4645" s="2" t="s">
        <v>4093</v>
      </c>
      <c r="D4645" s="2" t="s">
        <v>4089</v>
      </c>
      <c r="E4645" s="3"/>
    </row>
    <row r="4646" spans="1:5" ht="24.75" customHeight="1">
      <c r="A4646" s="2">
        <v>4644</v>
      </c>
      <c r="B4646" s="2" t="str">
        <f>"梁奇清"</f>
        <v>梁奇清</v>
      </c>
      <c r="C4646" s="2" t="s">
        <v>4093</v>
      </c>
      <c r="D4646" s="2" t="s">
        <v>4105</v>
      </c>
      <c r="E4646" s="3"/>
    </row>
    <row r="4647" spans="1:5" ht="24.75" customHeight="1">
      <c r="A4647" s="2">
        <v>4645</v>
      </c>
      <c r="B4647" s="2" t="str">
        <f>"符契芬"</f>
        <v>符契芬</v>
      </c>
      <c r="C4647" s="2" t="s">
        <v>4093</v>
      </c>
      <c r="D4647" s="2" t="s">
        <v>4106</v>
      </c>
      <c r="E4647" s="3"/>
    </row>
    <row r="4648" spans="1:5" ht="24.75" customHeight="1">
      <c r="A4648" s="2">
        <v>4646</v>
      </c>
      <c r="B4648" s="2" t="str">
        <f>"陈广立"</f>
        <v>陈广立</v>
      </c>
      <c r="C4648" s="2" t="s">
        <v>4093</v>
      </c>
      <c r="D4648" s="2" t="s">
        <v>4107</v>
      </c>
      <c r="E4648" s="3"/>
    </row>
    <row r="4649" spans="1:5" ht="24.75" customHeight="1">
      <c r="A4649" s="2">
        <v>4647</v>
      </c>
      <c r="B4649" s="2" t="str">
        <f>"符小弟"</f>
        <v>符小弟</v>
      </c>
      <c r="C4649" s="2" t="s">
        <v>4093</v>
      </c>
      <c r="D4649" s="2" t="s">
        <v>4108</v>
      </c>
      <c r="E4649" s="3"/>
    </row>
    <row r="4650" spans="1:5" ht="24.75" customHeight="1">
      <c r="A4650" s="2">
        <v>4648</v>
      </c>
      <c r="B4650" s="2" t="str">
        <f>"劳一鸣"</f>
        <v>劳一鸣</v>
      </c>
      <c r="C4650" s="2" t="s">
        <v>4093</v>
      </c>
      <c r="D4650" s="2" t="s">
        <v>4109</v>
      </c>
      <c r="E4650" s="3"/>
    </row>
    <row r="4651" spans="1:5" ht="24.75" customHeight="1">
      <c r="A4651" s="2">
        <v>4649</v>
      </c>
      <c r="B4651" s="2" t="str">
        <f>"陈国强"</f>
        <v>陈国强</v>
      </c>
      <c r="C4651" s="2" t="s">
        <v>4093</v>
      </c>
      <c r="D4651" s="2" t="s">
        <v>4110</v>
      </c>
      <c r="E4651" s="3"/>
    </row>
    <row r="4652" spans="1:5" ht="24.75" customHeight="1">
      <c r="A4652" s="2">
        <v>4650</v>
      </c>
      <c r="B4652" s="2" t="str">
        <f>"陈文霞"</f>
        <v>陈文霞</v>
      </c>
      <c r="C4652" s="2" t="s">
        <v>4093</v>
      </c>
      <c r="D4652" s="2" t="s">
        <v>4111</v>
      </c>
      <c r="E4652" s="3"/>
    </row>
    <row r="4653" spans="1:5" ht="24.75" customHeight="1">
      <c r="A4653" s="2">
        <v>4651</v>
      </c>
      <c r="B4653" s="2" t="str">
        <f>"潘宇鹏"</f>
        <v>潘宇鹏</v>
      </c>
      <c r="C4653" s="2" t="s">
        <v>4093</v>
      </c>
      <c r="D4653" s="2" t="s">
        <v>4112</v>
      </c>
      <c r="E4653" s="3"/>
    </row>
    <row r="4654" spans="1:5" ht="24.75" customHeight="1">
      <c r="A4654" s="2">
        <v>4652</v>
      </c>
      <c r="B4654" s="2" t="str">
        <f>"陆玉楠"</f>
        <v>陆玉楠</v>
      </c>
      <c r="C4654" s="2" t="s">
        <v>4093</v>
      </c>
      <c r="D4654" s="2" t="s">
        <v>4113</v>
      </c>
      <c r="E4654" s="3"/>
    </row>
    <row r="4655" spans="1:5" ht="24.75" customHeight="1">
      <c r="A4655" s="2">
        <v>4653</v>
      </c>
      <c r="B4655" s="2" t="str">
        <f>"刘静翠"</f>
        <v>刘静翠</v>
      </c>
      <c r="C4655" s="2" t="s">
        <v>4093</v>
      </c>
      <c r="D4655" s="2" t="s">
        <v>3876</v>
      </c>
      <c r="E4655" s="3"/>
    </row>
    <row r="4656" spans="1:5" ht="24.75" customHeight="1">
      <c r="A4656" s="2">
        <v>4654</v>
      </c>
      <c r="B4656" s="2" t="str">
        <f>"卢丹彤"</f>
        <v>卢丹彤</v>
      </c>
      <c r="C4656" s="2" t="s">
        <v>4093</v>
      </c>
      <c r="D4656" s="2" t="s">
        <v>4114</v>
      </c>
      <c r="E4656" s="3"/>
    </row>
    <row r="4657" spans="1:5" ht="24.75" customHeight="1">
      <c r="A4657" s="2">
        <v>4655</v>
      </c>
      <c r="B4657" s="2" t="str">
        <f>"麦昌明"</f>
        <v>麦昌明</v>
      </c>
      <c r="C4657" s="2" t="s">
        <v>4093</v>
      </c>
      <c r="D4657" s="2" t="s">
        <v>4115</v>
      </c>
      <c r="E4657" s="3"/>
    </row>
    <row r="4658" spans="1:5" ht="24.75" customHeight="1">
      <c r="A4658" s="2">
        <v>4656</v>
      </c>
      <c r="B4658" s="2" t="str">
        <f>"王海婷"</f>
        <v>王海婷</v>
      </c>
      <c r="C4658" s="2" t="s">
        <v>4093</v>
      </c>
      <c r="D4658" s="2" t="s">
        <v>4116</v>
      </c>
      <c r="E4658" s="3"/>
    </row>
    <row r="4659" spans="1:5" ht="24.75" customHeight="1">
      <c r="A4659" s="2">
        <v>4657</v>
      </c>
      <c r="B4659" s="2" t="str">
        <f>"符章良"</f>
        <v>符章良</v>
      </c>
      <c r="C4659" s="2" t="s">
        <v>4093</v>
      </c>
      <c r="D4659" s="2" t="s">
        <v>4117</v>
      </c>
      <c r="E4659" s="3"/>
    </row>
    <row r="4660" spans="1:5" ht="24.75" customHeight="1">
      <c r="A4660" s="2">
        <v>4658</v>
      </c>
      <c r="B4660" s="2" t="str">
        <f>"李克伟"</f>
        <v>李克伟</v>
      </c>
      <c r="C4660" s="2" t="s">
        <v>4093</v>
      </c>
      <c r="D4660" s="2" t="s">
        <v>1432</v>
      </c>
      <c r="E4660" s="3"/>
    </row>
    <row r="4661" spans="1:5" ht="24.75" customHeight="1">
      <c r="A4661" s="2">
        <v>4659</v>
      </c>
      <c r="B4661" s="2" t="str">
        <f>"李秀布"</f>
        <v>李秀布</v>
      </c>
      <c r="C4661" s="2" t="s">
        <v>4093</v>
      </c>
      <c r="D4661" s="2" t="s">
        <v>4118</v>
      </c>
      <c r="E4661" s="3"/>
    </row>
    <row r="4662" spans="1:5" ht="24.75" customHeight="1">
      <c r="A4662" s="2">
        <v>4660</v>
      </c>
      <c r="B4662" s="2" t="str">
        <f>"欧阳奕"</f>
        <v>欧阳奕</v>
      </c>
      <c r="C4662" s="2" t="s">
        <v>4093</v>
      </c>
      <c r="D4662" s="2" t="s">
        <v>4119</v>
      </c>
      <c r="E4662" s="3"/>
    </row>
    <row r="4663" spans="1:5" ht="24.75" customHeight="1">
      <c r="A4663" s="2">
        <v>4661</v>
      </c>
      <c r="B4663" s="2" t="str">
        <f>"符正楼"</f>
        <v>符正楼</v>
      </c>
      <c r="C4663" s="2" t="s">
        <v>4093</v>
      </c>
      <c r="D4663" s="2" t="s">
        <v>4120</v>
      </c>
      <c r="E4663" s="3"/>
    </row>
    <row r="4664" spans="1:5" ht="24.75" customHeight="1">
      <c r="A4664" s="2">
        <v>4662</v>
      </c>
      <c r="B4664" s="2" t="str">
        <f>"符国宝"</f>
        <v>符国宝</v>
      </c>
      <c r="C4664" s="2" t="s">
        <v>4093</v>
      </c>
      <c r="D4664" s="2" t="s">
        <v>4121</v>
      </c>
      <c r="E4664" s="3"/>
    </row>
    <row r="4665" spans="1:5" ht="24.75" customHeight="1">
      <c r="A4665" s="2">
        <v>4663</v>
      </c>
      <c r="B4665" s="2" t="str">
        <f>"李倩怡"</f>
        <v>李倩怡</v>
      </c>
      <c r="C4665" s="2" t="s">
        <v>4093</v>
      </c>
      <c r="D4665" s="2" t="s">
        <v>2214</v>
      </c>
      <c r="E4665" s="3"/>
    </row>
    <row r="4666" spans="1:5" ht="24.75" customHeight="1">
      <c r="A4666" s="2">
        <v>4664</v>
      </c>
      <c r="B4666" s="2" t="str">
        <f>"黎秀兵"</f>
        <v>黎秀兵</v>
      </c>
      <c r="C4666" s="2" t="s">
        <v>4093</v>
      </c>
      <c r="D4666" s="2" t="s">
        <v>1641</v>
      </c>
      <c r="E4666" s="3"/>
    </row>
    <row r="4667" spans="1:5" ht="24.75" customHeight="1">
      <c r="A4667" s="2">
        <v>4665</v>
      </c>
      <c r="B4667" s="2" t="str">
        <f>"赵健阳"</f>
        <v>赵健阳</v>
      </c>
      <c r="C4667" s="2" t="s">
        <v>4093</v>
      </c>
      <c r="D4667" s="2" t="s">
        <v>4122</v>
      </c>
      <c r="E4667" s="3"/>
    </row>
    <row r="4668" spans="1:5" ht="24.75" customHeight="1">
      <c r="A4668" s="2">
        <v>4666</v>
      </c>
      <c r="B4668" s="2" t="str">
        <f>"符秋虹"</f>
        <v>符秋虹</v>
      </c>
      <c r="C4668" s="2" t="s">
        <v>4093</v>
      </c>
      <c r="D4668" s="2" t="s">
        <v>4123</v>
      </c>
      <c r="E4668" s="3"/>
    </row>
    <row r="4669" spans="1:5" ht="24.75" customHeight="1">
      <c r="A4669" s="2">
        <v>4667</v>
      </c>
      <c r="B4669" s="2" t="str">
        <f>"苻大俊"</f>
        <v>苻大俊</v>
      </c>
      <c r="C4669" s="2" t="s">
        <v>4093</v>
      </c>
      <c r="D4669" s="2" t="s">
        <v>4124</v>
      </c>
      <c r="E4669" s="3"/>
    </row>
    <row r="4670" spans="1:5" ht="24.75" customHeight="1">
      <c r="A4670" s="2">
        <v>4668</v>
      </c>
      <c r="B4670" s="2" t="str">
        <f>"黄秋梦"</f>
        <v>黄秋梦</v>
      </c>
      <c r="C4670" s="2" t="s">
        <v>4093</v>
      </c>
      <c r="D4670" s="2" t="s">
        <v>4050</v>
      </c>
      <c r="E4670" s="3"/>
    </row>
    <row r="4671" spans="1:5" ht="24.75" customHeight="1">
      <c r="A4671" s="2">
        <v>4669</v>
      </c>
      <c r="B4671" s="2" t="str">
        <f>"符永神"</f>
        <v>符永神</v>
      </c>
      <c r="C4671" s="2" t="s">
        <v>4093</v>
      </c>
      <c r="D4671" s="2" t="s">
        <v>4059</v>
      </c>
      <c r="E4671" s="3"/>
    </row>
    <row r="4672" spans="1:5" ht="24.75" customHeight="1">
      <c r="A4672" s="2">
        <v>4670</v>
      </c>
      <c r="B4672" s="2" t="str">
        <f>"梁原溢"</f>
        <v>梁原溢</v>
      </c>
      <c r="C4672" s="2" t="s">
        <v>4093</v>
      </c>
      <c r="D4672" s="2" t="s">
        <v>4125</v>
      </c>
      <c r="E4672" s="3"/>
    </row>
    <row r="4673" spans="1:5" ht="24.75" customHeight="1">
      <c r="A4673" s="2">
        <v>4671</v>
      </c>
      <c r="B4673" s="2" t="str">
        <f>"倪泽辉"</f>
        <v>倪泽辉</v>
      </c>
      <c r="C4673" s="2" t="s">
        <v>4093</v>
      </c>
      <c r="D4673" s="2" t="s">
        <v>2897</v>
      </c>
      <c r="E4673" s="3"/>
    </row>
    <row r="4674" spans="1:5" ht="24.75" customHeight="1">
      <c r="A4674" s="2">
        <v>4672</v>
      </c>
      <c r="B4674" s="2" t="str">
        <f>"吴钟鲜"</f>
        <v>吴钟鲜</v>
      </c>
      <c r="C4674" s="2" t="s">
        <v>4093</v>
      </c>
      <c r="D4674" s="2" t="s">
        <v>4126</v>
      </c>
      <c r="E4674" s="3"/>
    </row>
    <row r="4675" spans="1:5" ht="24.75" customHeight="1">
      <c r="A4675" s="2">
        <v>4673</v>
      </c>
      <c r="B4675" s="2" t="str">
        <f>"符真强"</f>
        <v>符真强</v>
      </c>
      <c r="C4675" s="2" t="s">
        <v>4093</v>
      </c>
      <c r="D4675" s="2" t="s">
        <v>4127</v>
      </c>
      <c r="E4675" s="3"/>
    </row>
    <row r="4676" spans="1:5" ht="24.75" customHeight="1">
      <c r="A4676" s="2">
        <v>4674</v>
      </c>
      <c r="B4676" s="2" t="str">
        <f>"岑学健"</f>
        <v>岑学健</v>
      </c>
      <c r="C4676" s="2" t="s">
        <v>4093</v>
      </c>
      <c r="D4676" s="2" t="s">
        <v>3767</v>
      </c>
      <c r="E4676" s="3"/>
    </row>
    <row r="4677" spans="1:5" ht="24.75" customHeight="1">
      <c r="A4677" s="2">
        <v>4675</v>
      </c>
      <c r="B4677" s="2" t="str">
        <f>"牛良能"</f>
        <v>牛良能</v>
      </c>
      <c r="C4677" s="2" t="s">
        <v>4093</v>
      </c>
      <c r="D4677" s="2" t="s">
        <v>4128</v>
      </c>
      <c r="E4677" s="3"/>
    </row>
    <row r="4678" spans="1:5" ht="24.75" customHeight="1">
      <c r="A4678" s="2">
        <v>4676</v>
      </c>
      <c r="B4678" s="2" t="str">
        <f>"吴杰"</f>
        <v>吴杰</v>
      </c>
      <c r="C4678" s="2" t="s">
        <v>4093</v>
      </c>
      <c r="D4678" s="2" t="s">
        <v>4129</v>
      </c>
      <c r="E4678" s="3"/>
    </row>
    <row r="4679" spans="1:5" ht="24.75" customHeight="1">
      <c r="A4679" s="2">
        <v>4677</v>
      </c>
      <c r="B4679" s="2" t="str">
        <f>"覃茂红"</f>
        <v>覃茂红</v>
      </c>
      <c r="C4679" s="2" t="s">
        <v>4130</v>
      </c>
      <c r="D4679" s="2" t="s">
        <v>4131</v>
      </c>
      <c r="E4679" s="3"/>
    </row>
    <row r="4680" spans="1:5" ht="24.75" customHeight="1">
      <c r="A4680" s="2">
        <v>4678</v>
      </c>
      <c r="B4680" s="2" t="str">
        <f>"黄东梁"</f>
        <v>黄东梁</v>
      </c>
      <c r="C4680" s="2" t="s">
        <v>4130</v>
      </c>
      <c r="D4680" s="2" t="s">
        <v>4132</v>
      </c>
      <c r="E4680" s="3"/>
    </row>
    <row r="4681" spans="1:5" ht="24.75" customHeight="1">
      <c r="A4681" s="2">
        <v>4679</v>
      </c>
      <c r="B4681" s="2" t="str">
        <f>"符淳"</f>
        <v>符淳</v>
      </c>
      <c r="C4681" s="2" t="s">
        <v>4130</v>
      </c>
      <c r="D4681" s="2" t="s">
        <v>2893</v>
      </c>
      <c r="E4681" s="3"/>
    </row>
    <row r="4682" spans="1:5" ht="24.75" customHeight="1">
      <c r="A4682" s="2">
        <v>4680</v>
      </c>
      <c r="B4682" s="2" t="str">
        <f>"许振辉"</f>
        <v>许振辉</v>
      </c>
      <c r="C4682" s="2" t="s">
        <v>4130</v>
      </c>
      <c r="D4682" s="2" t="s">
        <v>4100</v>
      </c>
      <c r="E4682" s="3"/>
    </row>
    <row r="4683" spans="1:5" ht="24.75" customHeight="1">
      <c r="A4683" s="2">
        <v>4681</v>
      </c>
      <c r="B4683" s="2" t="str">
        <f>"纪定卫"</f>
        <v>纪定卫</v>
      </c>
      <c r="C4683" s="2" t="s">
        <v>4130</v>
      </c>
      <c r="D4683" s="2" t="s">
        <v>4133</v>
      </c>
      <c r="E4683" s="3"/>
    </row>
    <row r="4684" spans="1:5" ht="24.75" customHeight="1">
      <c r="A4684" s="2">
        <v>4682</v>
      </c>
      <c r="B4684" s="2" t="str">
        <f>"郑旺"</f>
        <v>郑旺</v>
      </c>
      <c r="C4684" s="2" t="s">
        <v>4130</v>
      </c>
      <c r="D4684" s="2" t="s">
        <v>4134</v>
      </c>
      <c r="E4684" s="3"/>
    </row>
    <row r="4685" spans="1:5" ht="24.75" customHeight="1">
      <c r="A4685" s="2">
        <v>4683</v>
      </c>
      <c r="B4685" s="2" t="str">
        <f>"王秀云"</f>
        <v>王秀云</v>
      </c>
      <c r="C4685" s="2" t="s">
        <v>4130</v>
      </c>
      <c r="D4685" s="2" t="s">
        <v>4135</v>
      </c>
      <c r="E4685" s="3"/>
    </row>
    <row r="4686" spans="1:5" ht="24.75" customHeight="1">
      <c r="A4686" s="2">
        <v>4684</v>
      </c>
      <c r="B4686" s="2" t="str">
        <f>"曾圣旺"</f>
        <v>曾圣旺</v>
      </c>
      <c r="C4686" s="2" t="s">
        <v>4130</v>
      </c>
      <c r="D4686" s="2" t="s">
        <v>4136</v>
      </c>
      <c r="E4686" s="3"/>
    </row>
    <row r="4687" spans="1:5" ht="24.75" customHeight="1">
      <c r="A4687" s="2">
        <v>4685</v>
      </c>
      <c r="B4687" s="2" t="str">
        <f>"邓明翔"</f>
        <v>邓明翔</v>
      </c>
      <c r="C4687" s="2" t="s">
        <v>4130</v>
      </c>
      <c r="D4687" s="2" t="s">
        <v>4137</v>
      </c>
      <c r="E4687" s="3"/>
    </row>
    <row r="4688" spans="1:5" ht="24.75" customHeight="1">
      <c r="A4688" s="2">
        <v>4686</v>
      </c>
      <c r="B4688" s="2" t="str">
        <f>"陈秋锦"</f>
        <v>陈秋锦</v>
      </c>
      <c r="C4688" s="2" t="s">
        <v>4130</v>
      </c>
      <c r="D4688" s="2" t="s">
        <v>4138</v>
      </c>
      <c r="E4688" s="3"/>
    </row>
    <row r="4689" spans="1:5" ht="24.75" customHeight="1">
      <c r="A4689" s="2">
        <v>4687</v>
      </c>
      <c r="B4689" s="2" t="str">
        <f>"周彩虹"</f>
        <v>周彩虹</v>
      </c>
      <c r="C4689" s="2" t="s">
        <v>4130</v>
      </c>
      <c r="D4689" s="2" t="s">
        <v>4139</v>
      </c>
      <c r="E4689" s="3"/>
    </row>
    <row r="4690" spans="1:5" ht="24.75" customHeight="1">
      <c r="A4690" s="2">
        <v>4688</v>
      </c>
      <c r="B4690" s="2" t="str">
        <f>"陈宜波"</f>
        <v>陈宜波</v>
      </c>
      <c r="C4690" s="2" t="s">
        <v>4130</v>
      </c>
      <c r="D4690" s="2" t="s">
        <v>4140</v>
      </c>
      <c r="E4690" s="3"/>
    </row>
    <row r="4691" spans="1:5" ht="24.75" customHeight="1">
      <c r="A4691" s="2">
        <v>4689</v>
      </c>
      <c r="B4691" s="2" t="str">
        <f>"云翊"</f>
        <v>云翊</v>
      </c>
      <c r="C4691" s="2" t="s">
        <v>4130</v>
      </c>
      <c r="D4691" s="2" t="s">
        <v>2502</v>
      </c>
      <c r="E4691" s="3"/>
    </row>
    <row r="4692" spans="1:5" ht="24.75" customHeight="1">
      <c r="A4692" s="2">
        <v>4690</v>
      </c>
      <c r="B4692" s="2" t="str">
        <f>"符益雄"</f>
        <v>符益雄</v>
      </c>
      <c r="C4692" s="2" t="s">
        <v>4130</v>
      </c>
      <c r="D4692" s="2" t="s">
        <v>3863</v>
      </c>
      <c r="E4692" s="3"/>
    </row>
    <row r="4693" spans="1:5" ht="24.75" customHeight="1">
      <c r="A4693" s="2">
        <v>4691</v>
      </c>
      <c r="B4693" s="2" t="str">
        <f>"符海波"</f>
        <v>符海波</v>
      </c>
      <c r="C4693" s="2" t="s">
        <v>4130</v>
      </c>
      <c r="D4693" s="2" t="s">
        <v>4141</v>
      </c>
      <c r="E4693" s="3"/>
    </row>
    <row r="4694" spans="1:5" ht="24.75" customHeight="1">
      <c r="A4694" s="2">
        <v>4692</v>
      </c>
      <c r="B4694" s="2" t="str">
        <f>"赵壮坚"</f>
        <v>赵壮坚</v>
      </c>
      <c r="C4694" s="2" t="s">
        <v>4130</v>
      </c>
      <c r="D4694" s="2" t="s">
        <v>4142</v>
      </c>
      <c r="E4694" s="3"/>
    </row>
    <row r="4695" spans="1:5" ht="24.75" customHeight="1">
      <c r="A4695" s="2">
        <v>4693</v>
      </c>
      <c r="B4695" s="2" t="str">
        <f>"肖冲"</f>
        <v>肖冲</v>
      </c>
      <c r="C4695" s="2" t="s">
        <v>4130</v>
      </c>
      <c r="D4695" s="2" t="s">
        <v>4143</v>
      </c>
      <c r="E4695" s="3"/>
    </row>
    <row r="4696" spans="1:5" ht="24.75" customHeight="1">
      <c r="A4696" s="2">
        <v>4694</v>
      </c>
      <c r="B4696" s="2" t="str">
        <f>"郑万富"</f>
        <v>郑万富</v>
      </c>
      <c r="C4696" s="2" t="s">
        <v>4130</v>
      </c>
      <c r="D4696" s="2" t="s">
        <v>4144</v>
      </c>
      <c r="E4696" s="3"/>
    </row>
    <row r="4697" spans="1:5" ht="24.75" customHeight="1">
      <c r="A4697" s="2">
        <v>4695</v>
      </c>
      <c r="B4697" s="2" t="str">
        <f>"林元武"</f>
        <v>林元武</v>
      </c>
      <c r="C4697" s="2" t="s">
        <v>4130</v>
      </c>
      <c r="D4697" s="2" t="s">
        <v>4145</v>
      </c>
      <c r="E4697" s="3"/>
    </row>
    <row r="4698" spans="1:5" ht="24.75" customHeight="1">
      <c r="A4698" s="2">
        <v>4696</v>
      </c>
      <c r="B4698" s="2" t="str">
        <f>"羊生剑"</f>
        <v>羊生剑</v>
      </c>
      <c r="C4698" s="2" t="s">
        <v>4130</v>
      </c>
      <c r="D4698" s="2" t="s">
        <v>1688</v>
      </c>
      <c r="E4698" s="3"/>
    </row>
    <row r="4699" spans="1:5" ht="24.75" customHeight="1">
      <c r="A4699" s="2">
        <v>4697</v>
      </c>
      <c r="B4699" s="2" t="str">
        <f>"陈东湖"</f>
        <v>陈东湖</v>
      </c>
      <c r="C4699" s="2" t="s">
        <v>4130</v>
      </c>
      <c r="D4699" s="2" t="s">
        <v>1066</v>
      </c>
      <c r="E4699" s="3"/>
    </row>
    <row r="4700" spans="1:5" ht="24.75" customHeight="1">
      <c r="A4700" s="2">
        <v>4698</v>
      </c>
      <c r="B4700" s="2" t="str">
        <f>"符凤历"</f>
        <v>符凤历</v>
      </c>
      <c r="C4700" s="2" t="s">
        <v>4130</v>
      </c>
      <c r="D4700" s="2" t="s">
        <v>4146</v>
      </c>
      <c r="E4700" s="3"/>
    </row>
    <row r="4701" spans="1:5" ht="24.75" customHeight="1">
      <c r="A4701" s="2">
        <v>4699</v>
      </c>
      <c r="B4701" s="2" t="str">
        <f>"张菲雅"</f>
        <v>张菲雅</v>
      </c>
      <c r="C4701" s="2" t="s">
        <v>4130</v>
      </c>
      <c r="D4701" s="2" t="s">
        <v>4147</v>
      </c>
      <c r="E4701" s="3"/>
    </row>
    <row r="4702" spans="1:5" ht="24.75" customHeight="1">
      <c r="A4702" s="2">
        <v>4700</v>
      </c>
      <c r="B4702" s="2" t="str">
        <f>"王明贤"</f>
        <v>王明贤</v>
      </c>
      <c r="C4702" s="2" t="s">
        <v>4130</v>
      </c>
      <c r="D4702" s="2" t="s">
        <v>273</v>
      </c>
      <c r="E4702" s="3"/>
    </row>
    <row r="4703" spans="1:5" ht="24.75" customHeight="1">
      <c r="A4703" s="2">
        <v>4701</v>
      </c>
      <c r="B4703" s="2" t="str">
        <f>"符源相"</f>
        <v>符源相</v>
      </c>
      <c r="C4703" s="2" t="s">
        <v>4130</v>
      </c>
      <c r="D4703" s="2" t="s">
        <v>113</v>
      </c>
      <c r="E4703" s="3"/>
    </row>
    <row r="4704" spans="1:5" ht="24.75" customHeight="1">
      <c r="A4704" s="2">
        <v>4702</v>
      </c>
      <c r="B4704" s="2" t="str">
        <f>"林敬富"</f>
        <v>林敬富</v>
      </c>
      <c r="C4704" s="2" t="s">
        <v>4130</v>
      </c>
      <c r="D4704" s="2" t="s">
        <v>4134</v>
      </c>
      <c r="E4704" s="3"/>
    </row>
    <row r="4705" spans="1:5" ht="24.75" customHeight="1">
      <c r="A4705" s="2">
        <v>4703</v>
      </c>
      <c r="B4705" s="2" t="str">
        <f>"叶保浩"</f>
        <v>叶保浩</v>
      </c>
      <c r="C4705" s="2" t="s">
        <v>4130</v>
      </c>
      <c r="D4705" s="2" t="s">
        <v>2854</v>
      </c>
      <c r="E4705" s="3"/>
    </row>
    <row r="4706" spans="1:5" ht="24.75" customHeight="1">
      <c r="A4706" s="2">
        <v>4704</v>
      </c>
      <c r="B4706" s="2" t="str">
        <f>"吴啟昌"</f>
        <v>吴啟昌</v>
      </c>
      <c r="C4706" s="2" t="s">
        <v>4130</v>
      </c>
      <c r="D4706" s="2" t="s">
        <v>3371</v>
      </c>
      <c r="E4706" s="3"/>
    </row>
    <row r="4707" spans="1:5" ht="24.75" customHeight="1">
      <c r="A4707" s="2">
        <v>4705</v>
      </c>
      <c r="B4707" s="2" t="str">
        <f>"谢荣君"</f>
        <v>谢荣君</v>
      </c>
      <c r="C4707" s="2" t="s">
        <v>4130</v>
      </c>
      <c r="D4707" s="2" t="s">
        <v>2897</v>
      </c>
      <c r="E4707" s="3"/>
    </row>
    <row r="4708" spans="1:5" ht="24.75" customHeight="1">
      <c r="A4708" s="2">
        <v>4706</v>
      </c>
      <c r="B4708" s="2" t="str">
        <f>"陈光武"</f>
        <v>陈光武</v>
      </c>
      <c r="C4708" s="2" t="s">
        <v>4130</v>
      </c>
      <c r="D4708" s="2" t="s">
        <v>3669</v>
      </c>
      <c r="E4708" s="3"/>
    </row>
    <row r="4709" spans="1:5" ht="24.75" customHeight="1">
      <c r="A4709" s="2">
        <v>4707</v>
      </c>
      <c r="B4709" s="2" t="str">
        <f>"何俊蔚"</f>
        <v>何俊蔚</v>
      </c>
      <c r="C4709" s="2" t="s">
        <v>4130</v>
      </c>
      <c r="D4709" s="2" t="s">
        <v>1044</v>
      </c>
      <c r="E4709" s="3"/>
    </row>
    <row r="4710" spans="1:5" ht="24.75" customHeight="1">
      <c r="A4710" s="2">
        <v>4708</v>
      </c>
      <c r="B4710" s="2" t="str">
        <f>"张志玮"</f>
        <v>张志玮</v>
      </c>
      <c r="C4710" s="2" t="s">
        <v>4130</v>
      </c>
      <c r="D4710" s="2" t="s">
        <v>1562</v>
      </c>
      <c r="E4710" s="3"/>
    </row>
    <row r="4711" spans="1:5" ht="24.75" customHeight="1">
      <c r="A4711" s="2">
        <v>4709</v>
      </c>
      <c r="B4711" s="2" t="str">
        <f>"孟春霖"</f>
        <v>孟春霖</v>
      </c>
      <c r="C4711" s="2" t="s">
        <v>4130</v>
      </c>
      <c r="D4711" s="2" t="s">
        <v>665</v>
      </c>
      <c r="E4711" s="3"/>
    </row>
    <row r="4712" spans="1:5" ht="24.75" customHeight="1">
      <c r="A4712" s="2">
        <v>4710</v>
      </c>
      <c r="B4712" s="2" t="str">
        <f>"刘洪亮"</f>
        <v>刘洪亮</v>
      </c>
      <c r="C4712" s="2" t="s">
        <v>4130</v>
      </c>
      <c r="D4712" s="2" t="s">
        <v>4148</v>
      </c>
      <c r="E4712" s="3"/>
    </row>
    <row r="4713" spans="1:5" ht="24.75" customHeight="1">
      <c r="A4713" s="2">
        <v>4711</v>
      </c>
      <c r="B4713" s="2" t="str">
        <f>"黎岂均"</f>
        <v>黎岂均</v>
      </c>
      <c r="C4713" s="2" t="s">
        <v>4130</v>
      </c>
      <c r="D4713" s="2" t="s">
        <v>4149</v>
      </c>
      <c r="E4713" s="3"/>
    </row>
    <row r="4714" spans="1:5" ht="24.75" customHeight="1">
      <c r="A4714" s="2">
        <v>4712</v>
      </c>
      <c r="B4714" s="2" t="str">
        <f>"吴泽丰"</f>
        <v>吴泽丰</v>
      </c>
      <c r="C4714" s="2" t="s">
        <v>4130</v>
      </c>
      <c r="D4714" s="2" t="s">
        <v>3574</v>
      </c>
      <c r="E4714" s="3"/>
    </row>
    <row r="4715" spans="1:5" ht="24.75" customHeight="1">
      <c r="A4715" s="2">
        <v>4713</v>
      </c>
      <c r="B4715" s="2" t="str">
        <f>"黄金松"</f>
        <v>黄金松</v>
      </c>
      <c r="C4715" s="2" t="s">
        <v>4130</v>
      </c>
      <c r="D4715" s="2" t="s">
        <v>4150</v>
      </c>
      <c r="E4715" s="3"/>
    </row>
    <row r="4716" spans="1:5" ht="24.75" customHeight="1">
      <c r="A4716" s="2">
        <v>4714</v>
      </c>
      <c r="B4716" s="2" t="str">
        <f>"杜生壮"</f>
        <v>杜生壮</v>
      </c>
      <c r="C4716" s="2" t="s">
        <v>4130</v>
      </c>
      <c r="D4716" s="2" t="s">
        <v>4151</v>
      </c>
      <c r="E4716" s="3"/>
    </row>
    <row r="4717" spans="1:5" ht="24.75" customHeight="1">
      <c r="A4717" s="2">
        <v>4715</v>
      </c>
      <c r="B4717" s="2" t="str">
        <f>"张乃玲"</f>
        <v>张乃玲</v>
      </c>
      <c r="C4717" s="2" t="s">
        <v>4130</v>
      </c>
      <c r="D4717" s="2" t="s">
        <v>4152</v>
      </c>
      <c r="E4717" s="3"/>
    </row>
    <row r="4718" spans="1:5" ht="24.75" customHeight="1">
      <c r="A4718" s="2">
        <v>4716</v>
      </c>
      <c r="B4718" s="2" t="str">
        <f>"杨献飞"</f>
        <v>杨献飞</v>
      </c>
      <c r="C4718" s="2" t="s">
        <v>4130</v>
      </c>
      <c r="D4718" s="2" t="s">
        <v>4153</v>
      </c>
      <c r="E4718" s="3"/>
    </row>
    <row r="4719" spans="1:5" ht="24.75" customHeight="1">
      <c r="A4719" s="2">
        <v>4717</v>
      </c>
      <c r="B4719" s="2" t="str">
        <f>"吴原林"</f>
        <v>吴原林</v>
      </c>
      <c r="C4719" s="2" t="s">
        <v>4130</v>
      </c>
      <c r="D4719" s="2" t="s">
        <v>4154</v>
      </c>
      <c r="E4719" s="3"/>
    </row>
    <row r="4720" spans="1:5" ht="24.75" customHeight="1">
      <c r="A4720" s="2">
        <v>4718</v>
      </c>
      <c r="B4720" s="2" t="str">
        <f>"符世侦"</f>
        <v>符世侦</v>
      </c>
      <c r="C4720" s="2" t="s">
        <v>4130</v>
      </c>
      <c r="D4720" s="2" t="s">
        <v>3933</v>
      </c>
      <c r="E4720" s="3"/>
    </row>
    <row r="4721" spans="1:5" ht="24.75" customHeight="1">
      <c r="A4721" s="2">
        <v>4719</v>
      </c>
      <c r="B4721" s="2" t="str">
        <f>"何俏"</f>
        <v>何俏</v>
      </c>
      <c r="C4721" s="2" t="s">
        <v>4130</v>
      </c>
      <c r="D4721" s="2" t="s">
        <v>4155</v>
      </c>
      <c r="E4721" s="3"/>
    </row>
    <row r="4722" spans="1:5" ht="24.75" customHeight="1">
      <c r="A4722" s="2">
        <v>4720</v>
      </c>
      <c r="B4722" s="2" t="str">
        <f>"徐英淋"</f>
        <v>徐英淋</v>
      </c>
      <c r="C4722" s="2" t="s">
        <v>4130</v>
      </c>
      <c r="D4722" s="2" t="s">
        <v>4156</v>
      </c>
      <c r="E4722" s="3"/>
    </row>
    <row r="4723" spans="1:5" ht="24.75" customHeight="1">
      <c r="A4723" s="2">
        <v>4721</v>
      </c>
      <c r="B4723" s="2" t="str">
        <f>"曾凯茂"</f>
        <v>曾凯茂</v>
      </c>
      <c r="C4723" s="2" t="s">
        <v>4130</v>
      </c>
      <c r="D4723" s="2" t="s">
        <v>4157</v>
      </c>
      <c r="E4723" s="3"/>
    </row>
    <row r="4724" spans="1:5" ht="24.75" customHeight="1">
      <c r="A4724" s="2">
        <v>4722</v>
      </c>
      <c r="B4724" s="2" t="str">
        <f>"符标"</f>
        <v>符标</v>
      </c>
      <c r="C4724" s="2" t="s">
        <v>4158</v>
      </c>
      <c r="D4724" s="2" t="s">
        <v>2208</v>
      </c>
      <c r="E4724" s="3"/>
    </row>
    <row r="4725" spans="1:5" ht="24.75" customHeight="1">
      <c r="A4725" s="2">
        <v>4723</v>
      </c>
      <c r="B4725" s="2" t="str">
        <f>"潘婷婷"</f>
        <v>潘婷婷</v>
      </c>
      <c r="C4725" s="2" t="s">
        <v>4158</v>
      </c>
      <c r="D4725" s="2" t="s">
        <v>4159</v>
      </c>
      <c r="E4725" s="3"/>
    </row>
    <row r="4726" spans="1:5" ht="24.75" customHeight="1">
      <c r="A4726" s="2">
        <v>4724</v>
      </c>
      <c r="B4726" s="2" t="str">
        <f>"吴珍"</f>
        <v>吴珍</v>
      </c>
      <c r="C4726" s="2" t="s">
        <v>4158</v>
      </c>
      <c r="D4726" s="2" t="s">
        <v>1095</v>
      </c>
      <c r="E4726" s="3"/>
    </row>
    <row r="4727" spans="1:5" ht="24.75" customHeight="1">
      <c r="A4727" s="2">
        <v>4725</v>
      </c>
      <c r="B4727" s="2" t="str">
        <f>"郭育娇"</f>
        <v>郭育娇</v>
      </c>
      <c r="C4727" s="2" t="s">
        <v>4158</v>
      </c>
      <c r="D4727" s="2" t="s">
        <v>4160</v>
      </c>
      <c r="E4727" s="3"/>
    </row>
    <row r="4728" spans="1:5" ht="24.75" customHeight="1">
      <c r="A4728" s="2">
        <v>4726</v>
      </c>
      <c r="B4728" s="2" t="str">
        <f>"吉训鑫"</f>
        <v>吉训鑫</v>
      </c>
      <c r="C4728" s="2" t="s">
        <v>4158</v>
      </c>
      <c r="D4728" s="2" t="s">
        <v>4161</v>
      </c>
      <c r="E4728" s="3"/>
    </row>
    <row r="4729" spans="1:5" ht="24.75" customHeight="1">
      <c r="A4729" s="2">
        <v>4727</v>
      </c>
      <c r="B4729" s="2" t="str">
        <f>"林贞凤"</f>
        <v>林贞凤</v>
      </c>
      <c r="C4729" s="2" t="s">
        <v>4158</v>
      </c>
      <c r="D4729" s="2" t="s">
        <v>4162</v>
      </c>
      <c r="E4729" s="3"/>
    </row>
    <row r="4730" spans="1:5" ht="24.75" customHeight="1">
      <c r="A4730" s="2">
        <v>4728</v>
      </c>
      <c r="B4730" s="2" t="str">
        <f>"林报龙"</f>
        <v>林报龙</v>
      </c>
      <c r="C4730" s="2" t="s">
        <v>4158</v>
      </c>
      <c r="D4730" s="2" t="s">
        <v>4163</v>
      </c>
      <c r="E4730" s="3"/>
    </row>
    <row r="4731" spans="1:5" ht="24.75" customHeight="1">
      <c r="A4731" s="2">
        <v>4729</v>
      </c>
      <c r="B4731" s="2" t="str">
        <f>"黎文灏"</f>
        <v>黎文灏</v>
      </c>
      <c r="C4731" s="2" t="s">
        <v>4158</v>
      </c>
      <c r="D4731" s="2" t="s">
        <v>4164</v>
      </c>
      <c r="E4731" s="3"/>
    </row>
    <row r="4732" spans="1:5" ht="24.75" customHeight="1">
      <c r="A4732" s="2">
        <v>4730</v>
      </c>
      <c r="B4732" s="2" t="str">
        <f>"梁安铭"</f>
        <v>梁安铭</v>
      </c>
      <c r="C4732" s="2" t="s">
        <v>4158</v>
      </c>
      <c r="D4732" s="2" t="s">
        <v>4165</v>
      </c>
      <c r="E4732" s="3"/>
    </row>
    <row r="4733" spans="1:5" ht="24.75" customHeight="1">
      <c r="A4733" s="2">
        <v>4731</v>
      </c>
      <c r="B4733" s="2" t="str">
        <f>"李少强"</f>
        <v>李少强</v>
      </c>
      <c r="C4733" s="2" t="s">
        <v>4158</v>
      </c>
      <c r="D4733" s="2" t="s">
        <v>4166</v>
      </c>
      <c r="E4733" s="3"/>
    </row>
    <row r="4734" spans="1:5" ht="24.75" customHeight="1">
      <c r="A4734" s="2">
        <v>4732</v>
      </c>
      <c r="B4734" s="2" t="str">
        <f>"胡许颜"</f>
        <v>胡许颜</v>
      </c>
      <c r="C4734" s="2" t="s">
        <v>4158</v>
      </c>
      <c r="D4734" s="2" t="s">
        <v>4167</v>
      </c>
      <c r="E4734" s="3"/>
    </row>
    <row r="4735" spans="1:5" ht="24.75" customHeight="1">
      <c r="A4735" s="2">
        <v>4733</v>
      </c>
      <c r="B4735" s="2" t="str">
        <f>"唐真武"</f>
        <v>唐真武</v>
      </c>
      <c r="C4735" s="2" t="s">
        <v>4158</v>
      </c>
      <c r="D4735" s="2" t="s">
        <v>4168</v>
      </c>
      <c r="E4735" s="3"/>
    </row>
    <row r="4736" spans="1:5" ht="24.75" customHeight="1">
      <c r="A4736" s="2">
        <v>4734</v>
      </c>
      <c r="B4736" s="2" t="str">
        <f>"黎显才"</f>
        <v>黎显才</v>
      </c>
      <c r="C4736" s="2" t="s">
        <v>4158</v>
      </c>
      <c r="D4736" s="2" t="s">
        <v>4169</v>
      </c>
      <c r="E4736" s="3"/>
    </row>
    <row r="4737" spans="1:5" ht="24.75" customHeight="1">
      <c r="A4737" s="2">
        <v>4735</v>
      </c>
      <c r="B4737" s="2" t="str">
        <f>"吴锺川"</f>
        <v>吴锺川</v>
      </c>
      <c r="C4737" s="2" t="s">
        <v>4158</v>
      </c>
      <c r="D4737" s="2" t="s">
        <v>3407</v>
      </c>
      <c r="E4737" s="3"/>
    </row>
    <row r="4738" spans="1:5" ht="24.75" customHeight="1">
      <c r="A4738" s="2">
        <v>4736</v>
      </c>
      <c r="B4738" s="2" t="str">
        <f>"陈多森"</f>
        <v>陈多森</v>
      </c>
      <c r="C4738" s="2" t="s">
        <v>4158</v>
      </c>
      <c r="D4738" s="2" t="s">
        <v>4170</v>
      </c>
      <c r="E4738" s="3"/>
    </row>
    <row r="4739" spans="1:5" ht="24.75" customHeight="1">
      <c r="A4739" s="2">
        <v>4737</v>
      </c>
      <c r="B4739" s="2" t="str">
        <f>"陈志迅"</f>
        <v>陈志迅</v>
      </c>
      <c r="C4739" s="2" t="s">
        <v>4158</v>
      </c>
      <c r="D4739" s="2" t="s">
        <v>4171</v>
      </c>
      <c r="E4739" s="3"/>
    </row>
    <row r="4740" spans="1:5" ht="24.75" customHeight="1">
      <c r="A4740" s="2">
        <v>4738</v>
      </c>
      <c r="B4740" s="2" t="str">
        <f>"李如辉"</f>
        <v>李如辉</v>
      </c>
      <c r="C4740" s="2" t="s">
        <v>4158</v>
      </c>
      <c r="D4740" s="2" t="s">
        <v>500</v>
      </c>
      <c r="E4740" s="3"/>
    </row>
    <row r="4741" spans="1:5" ht="24.75" customHeight="1">
      <c r="A4741" s="2">
        <v>4739</v>
      </c>
      <c r="B4741" s="2" t="str">
        <f>"孙云"</f>
        <v>孙云</v>
      </c>
      <c r="C4741" s="2" t="s">
        <v>4158</v>
      </c>
      <c r="D4741" s="2" t="s">
        <v>4172</v>
      </c>
      <c r="E4741" s="3"/>
    </row>
    <row r="4742" spans="1:5" ht="24.75" customHeight="1">
      <c r="A4742" s="2">
        <v>4740</v>
      </c>
      <c r="B4742" s="2" t="str">
        <f>"文晔"</f>
        <v>文晔</v>
      </c>
      <c r="C4742" s="2" t="s">
        <v>4158</v>
      </c>
      <c r="D4742" s="2" t="s">
        <v>4173</v>
      </c>
      <c r="E4742" s="3"/>
    </row>
    <row r="4743" spans="1:5" ht="24.75" customHeight="1">
      <c r="A4743" s="2">
        <v>4741</v>
      </c>
      <c r="B4743" s="2" t="str">
        <f>"唐贵海"</f>
        <v>唐贵海</v>
      </c>
      <c r="C4743" s="2" t="s">
        <v>4158</v>
      </c>
      <c r="D4743" s="2" t="s">
        <v>4174</v>
      </c>
      <c r="E4743" s="3"/>
    </row>
    <row r="4744" spans="1:5" ht="24.75" customHeight="1">
      <c r="A4744" s="2">
        <v>4742</v>
      </c>
      <c r="B4744" s="2" t="str">
        <f>"龙美琴"</f>
        <v>龙美琴</v>
      </c>
      <c r="C4744" s="2" t="s">
        <v>4158</v>
      </c>
      <c r="D4744" s="2" t="s">
        <v>4175</v>
      </c>
      <c r="E4744" s="3"/>
    </row>
    <row r="4745" spans="1:5" ht="24.75" customHeight="1">
      <c r="A4745" s="2">
        <v>4743</v>
      </c>
      <c r="B4745" s="2" t="str">
        <f>"周永新"</f>
        <v>周永新</v>
      </c>
      <c r="C4745" s="2" t="s">
        <v>4158</v>
      </c>
      <c r="D4745" s="2" t="s">
        <v>4176</v>
      </c>
      <c r="E4745" s="3"/>
    </row>
    <row r="4746" spans="1:5" ht="24.75" customHeight="1">
      <c r="A4746" s="2">
        <v>4744</v>
      </c>
      <c r="B4746" s="2" t="str">
        <f>"颜志刚"</f>
        <v>颜志刚</v>
      </c>
      <c r="C4746" s="2" t="s">
        <v>4158</v>
      </c>
      <c r="D4746" s="2" t="s">
        <v>4177</v>
      </c>
      <c r="E4746" s="3"/>
    </row>
    <row r="4747" spans="1:5" ht="24.75" customHeight="1">
      <c r="A4747" s="2">
        <v>4745</v>
      </c>
      <c r="B4747" s="2" t="str">
        <f>"薛开智"</f>
        <v>薛开智</v>
      </c>
      <c r="C4747" s="2" t="s">
        <v>4158</v>
      </c>
      <c r="D4747" s="2" t="s">
        <v>4178</v>
      </c>
      <c r="E4747" s="3"/>
    </row>
    <row r="4748" spans="1:5" ht="24.75" customHeight="1">
      <c r="A4748" s="2">
        <v>4746</v>
      </c>
      <c r="B4748" s="2" t="str">
        <f>"刘俊臣"</f>
        <v>刘俊臣</v>
      </c>
      <c r="C4748" s="2" t="s">
        <v>4158</v>
      </c>
      <c r="D4748" s="2" t="s">
        <v>4179</v>
      </c>
      <c r="E4748" s="3"/>
    </row>
    <row r="4749" spans="1:5" ht="24.75" customHeight="1">
      <c r="A4749" s="2">
        <v>4747</v>
      </c>
      <c r="B4749" s="2" t="str">
        <f>"陈寿才"</f>
        <v>陈寿才</v>
      </c>
      <c r="C4749" s="2" t="s">
        <v>4158</v>
      </c>
      <c r="D4749" s="2" t="s">
        <v>4180</v>
      </c>
      <c r="E4749" s="3"/>
    </row>
    <row r="4750" spans="1:5" ht="24.75" customHeight="1">
      <c r="A4750" s="2">
        <v>4748</v>
      </c>
      <c r="B4750" s="2" t="str">
        <f>"李建"</f>
        <v>李建</v>
      </c>
      <c r="C4750" s="2" t="s">
        <v>4158</v>
      </c>
      <c r="D4750" s="2" t="s">
        <v>4181</v>
      </c>
      <c r="E4750" s="3"/>
    </row>
    <row r="4751" spans="1:5" ht="24.75" customHeight="1">
      <c r="A4751" s="2">
        <v>4749</v>
      </c>
      <c r="B4751" s="2" t="str">
        <f>"唐赞家"</f>
        <v>唐赞家</v>
      </c>
      <c r="C4751" s="2" t="s">
        <v>4158</v>
      </c>
      <c r="D4751" s="2" t="s">
        <v>4182</v>
      </c>
      <c r="E4751" s="3"/>
    </row>
    <row r="4752" spans="1:5" ht="24.75" customHeight="1">
      <c r="A4752" s="2">
        <v>4750</v>
      </c>
      <c r="B4752" s="2" t="str">
        <f>"苏小栋"</f>
        <v>苏小栋</v>
      </c>
      <c r="C4752" s="2" t="s">
        <v>4158</v>
      </c>
      <c r="D4752" s="2" t="s">
        <v>3788</v>
      </c>
      <c r="E4752" s="3"/>
    </row>
    <row r="4753" spans="1:5" ht="24.75" customHeight="1">
      <c r="A4753" s="2">
        <v>4751</v>
      </c>
      <c r="B4753" s="2" t="str">
        <f>"吴启莲"</f>
        <v>吴启莲</v>
      </c>
      <c r="C4753" s="2" t="s">
        <v>4158</v>
      </c>
      <c r="D4753" s="2" t="s">
        <v>4183</v>
      </c>
      <c r="E4753" s="3"/>
    </row>
    <row r="4754" spans="1:5" ht="24.75" customHeight="1">
      <c r="A4754" s="2">
        <v>4752</v>
      </c>
      <c r="B4754" s="2" t="str">
        <f>"蔡夫豪"</f>
        <v>蔡夫豪</v>
      </c>
      <c r="C4754" s="2" t="s">
        <v>4158</v>
      </c>
      <c r="D4754" s="2" t="s">
        <v>4184</v>
      </c>
      <c r="E4754" s="3"/>
    </row>
    <row r="4755" spans="1:5" ht="24.75" customHeight="1">
      <c r="A4755" s="2">
        <v>4753</v>
      </c>
      <c r="B4755" s="2" t="str">
        <f>"李其盛"</f>
        <v>李其盛</v>
      </c>
      <c r="C4755" s="2" t="s">
        <v>4158</v>
      </c>
      <c r="D4755" s="2" t="s">
        <v>4185</v>
      </c>
      <c r="E4755" s="3"/>
    </row>
    <row r="4756" spans="1:5" ht="24.75" customHeight="1">
      <c r="A4756" s="2">
        <v>4754</v>
      </c>
      <c r="B4756" s="2" t="str">
        <f>"庞旭慧"</f>
        <v>庞旭慧</v>
      </c>
      <c r="C4756" s="2" t="s">
        <v>4158</v>
      </c>
      <c r="D4756" s="2" t="s">
        <v>4186</v>
      </c>
      <c r="E4756" s="3"/>
    </row>
    <row r="4757" spans="1:5" ht="24.75" customHeight="1">
      <c r="A4757" s="2">
        <v>4755</v>
      </c>
      <c r="B4757" s="2" t="str">
        <f>"羊金良"</f>
        <v>羊金良</v>
      </c>
      <c r="C4757" s="2" t="s">
        <v>4158</v>
      </c>
      <c r="D4757" s="2" t="s">
        <v>4187</v>
      </c>
      <c r="E4757" s="3"/>
    </row>
    <row r="4758" spans="1:5" ht="24.75" customHeight="1">
      <c r="A4758" s="2">
        <v>4756</v>
      </c>
      <c r="B4758" s="2" t="str">
        <f>"洪德勇"</f>
        <v>洪德勇</v>
      </c>
      <c r="C4758" s="2" t="s">
        <v>4158</v>
      </c>
      <c r="D4758" s="2" t="s">
        <v>4188</v>
      </c>
      <c r="E4758" s="3"/>
    </row>
    <row r="4759" spans="1:5" ht="24.75" customHeight="1">
      <c r="A4759" s="2">
        <v>4757</v>
      </c>
      <c r="B4759" s="2" t="str">
        <f>"罗杰丰"</f>
        <v>罗杰丰</v>
      </c>
      <c r="C4759" s="2" t="s">
        <v>4158</v>
      </c>
      <c r="D4759" s="2" t="s">
        <v>4189</v>
      </c>
      <c r="E4759" s="3"/>
    </row>
    <row r="4760" spans="1:5" ht="24.75" customHeight="1">
      <c r="A4760" s="2">
        <v>4758</v>
      </c>
      <c r="B4760" s="2" t="str">
        <f>"韩晓彤"</f>
        <v>韩晓彤</v>
      </c>
      <c r="C4760" s="2" t="s">
        <v>4158</v>
      </c>
      <c r="D4760" s="2" t="s">
        <v>4190</v>
      </c>
      <c r="E4760" s="3"/>
    </row>
    <row r="4761" spans="1:5" ht="24.75" customHeight="1">
      <c r="A4761" s="2">
        <v>4759</v>
      </c>
      <c r="B4761" s="2" t="str">
        <f>"林著瑞"</f>
        <v>林著瑞</v>
      </c>
      <c r="C4761" s="2" t="s">
        <v>4158</v>
      </c>
      <c r="D4761" s="2" t="s">
        <v>3764</v>
      </c>
      <c r="E4761" s="3"/>
    </row>
    <row r="4762" spans="1:5" ht="24.75" customHeight="1">
      <c r="A4762" s="2">
        <v>4760</v>
      </c>
      <c r="B4762" s="2" t="str">
        <f>"杨艳"</f>
        <v>杨艳</v>
      </c>
      <c r="C4762" s="2" t="s">
        <v>4158</v>
      </c>
      <c r="D4762" s="2" t="s">
        <v>4191</v>
      </c>
      <c r="E4762" s="3"/>
    </row>
    <row r="4763" spans="1:5" ht="24.75" customHeight="1">
      <c r="A4763" s="2">
        <v>4761</v>
      </c>
      <c r="B4763" s="2" t="str">
        <f>"周寿尧"</f>
        <v>周寿尧</v>
      </c>
      <c r="C4763" s="2" t="s">
        <v>4158</v>
      </c>
      <c r="D4763" s="2" t="s">
        <v>4192</v>
      </c>
      <c r="E4763" s="3"/>
    </row>
    <row r="4764" spans="1:5" ht="24.75" customHeight="1">
      <c r="A4764" s="2">
        <v>4762</v>
      </c>
      <c r="B4764" s="2" t="str">
        <f>"黄俊植"</f>
        <v>黄俊植</v>
      </c>
      <c r="C4764" s="2" t="s">
        <v>4158</v>
      </c>
      <c r="D4764" s="2" t="s">
        <v>1318</v>
      </c>
      <c r="E4764" s="3"/>
    </row>
    <row r="4765" spans="1:5" ht="24.75" customHeight="1">
      <c r="A4765" s="2">
        <v>4763</v>
      </c>
      <c r="B4765" s="2" t="str">
        <f>"陈乐栩"</f>
        <v>陈乐栩</v>
      </c>
      <c r="C4765" s="2" t="s">
        <v>4158</v>
      </c>
      <c r="D4765" s="2" t="s">
        <v>4193</v>
      </c>
      <c r="E4765" s="3"/>
    </row>
    <row r="4766" spans="1:5" ht="24.75" customHeight="1">
      <c r="A4766" s="2">
        <v>4764</v>
      </c>
      <c r="B4766" s="2" t="str">
        <f>"刘特旗"</f>
        <v>刘特旗</v>
      </c>
      <c r="C4766" s="2" t="s">
        <v>4158</v>
      </c>
      <c r="D4766" s="2" t="s">
        <v>4194</v>
      </c>
      <c r="E4766" s="3"/>
    </row>
    <row r="4767" spans="1:5" ht="24.75" customHeight="1">
      <c r="A4767" s="2">
        <v>4765</v>
      </c>
      <c r="B4767" s="2" t="str">
        <f>"陈绪畅"</f>
        <v>陈绪畅</v>
      </c>
      <c r="C4767" s="2" t="s">
        <v>4158</v>
      </c>
      <c r="D4767" s="2" t="s">
        <v>1239</v>
      </c>
      <c r="E4767" s="3"/>
    </row>
    <row r="4768" spans="1:5" ht="24.75" customHeight="1">
      <c r="A4768" s="2">
        <v>4766</v>
      </c>
      <c r="B4768" s="2" t="str">
        <f>"陀海皇"</f>
        <v>陀海皇</v>
      </c>
      <c r="C4768" s="2" t="s">
        <v>4195</v>
      </c>
      <c r="D4768" s="2" t="s">
        <v>4196</v>
      </c>
      <c r="E4768" s="3"/>
    </row>
    <row r="4769" spans="1:5" ht="24.75" customHeight="1">
      <c r="A4769" s="2">
        <v>4767</v>
      </c>
      <c r="B4769" s="2" t="str">
        <f>"容信力"</f>
        <v>容信力</v>
      </c>
      <c r="C4769" s="2" t="s">
        <v>4195</v>
      </c>
      <c r="D4769" s="2" t="s">
        <v>4197</v>
      </c>
      <c r="E4769" s="3"/>
    </row>
    <row r="4770" spans="1:5" ht="24.75" customHeight="1">
      <c r="A4770" s="2">
        <v>4768</v>
      </c>
      <c r="B4770" s="2" t="str">
        <f>"韩旭阳"</f>
        <v>韩旭阳</v>
      </c>
      <c r="C4770" s="2" t="s">
        <v>4195</v>
      </c>
      <c r="D4770" s="2" t="s">
        <v>4198</v>
      </c>
      <c r="E4770" s="3"/>
    </row>
    <row r="4771" spans="1:5" ht="24.75" customHeight="1">
      <c r="A4771" s="2">
        <v>4769</v>
      </c>
      <c r="B4771" s="2" t="str">
        <f>"陈丽萍"</f>
        <v>陈丽萍</v>
      </c>
      <c r="C4771" s="2" t="s">
        <v>4195</v>
      </c>
      <c r="D4771" s="2" t="s">
        <v>1931</v>
      </c>
      <c r="E4771" s="3"/>
    </row>
    <row r="4772" spans="1:5" ht="24.75" customHeight="1">
      <c r="A4772" s="2">
        <v>4770</v>
      </c>
      <c r="B4772" s="2" t="str">
        <f>"严天勇"</f>
        <v>严天勇</v>
      </c>
      <c r="C4772" s="2" t="s">
        <v>4195</v>
      </c>
      <c r="D4772" s="2" t="s">
        <v>4199</v>
      </c>
      <c r="E4772" s="3"/>
    </row>
    <row r="4773" spans="1:5" ht="24.75" customHeight="1">
      <c r="A4773" s="2">
        <v>4771</v>
      </c>
      <c r="B4773" s="2" t="str">
        <f>"唐甸军"</f>
        <v>唐甸军</v>
      </c>
      <c r="C4773" s="2" t="s">
        <v>4195</v>
      </c>
      <c r="D4773" s="2" t="s">
        <v>3468</v>
      </c>
      <c r="E4773" s="3"/>
    </row>
    <row r="4774" spans="1:5" ht="24.75" customHeight="1">
      <c r="A4774" s="2">
        <v>4772</v>
      </c>
      <c r="B4774" s="2" t="str">
        <f>"陆显辉"</f>
        <v>陆显辉</v>
      </c>
      <c r="C4774" s="2" t="s">
        <v>4195</v>
      </c>
      <c r="D4774" s="2" t="s">
        <v>4200</v>
      </c>
      <c r="E4774" s="3"/>
    </row>
    <row r="4775" spans="1:5" ht="24.75" customHeight="1">
      <c r="A4775" s="2">
        <v>4773</v>
      </c>
      <c r="B4775" s="2" t="str">
        <f>"卢明学"</f>
        <v>卢明学</v>
      </c>
      <c r="C4775" s="2" t="s">
        <v>4195</v>
      </c>
      <c r="D4775" s="2" t="s">
        <v>4201</v>
      </c>
      <c r="E4775" s="3"/>
    </row>
    <row r="4776" spans="1:5" ht="24.75" customHeight="1">
      <c r="A4776" s="2">
        <v>4774</v>
      </c>
      <c r="B4776" s="2" t="str">
        <f>"汪宏程"</f>
        <v>汪宏程</v>
      </c>
      <c r="C4776" s="2" t="s">
        <v>4195</v>
      </c>
      <c r="D4776" s="2" t="s">
        <v>186</v>
      </c>
      <c r="E4776" s="3"/>
    </row>
    <row r="4777" spans="1:5" ht="24.75" customHeight="1">
      <c r="A4777" s="2">
        <v>4775</v>
      </c>
      <c r="B4777" s="2" t="str">
        <f>"符晓坚"</f>
        <v>符晓坚</v>
      </c>
      <c r="C4777" s="2" t="s">
        <v>4195</v>
      </c>
      <c r="D4777" s="2" t="s">
        <v>4202</v>
      </c>
      <c r="E4777" s="3"/>
    </row>
    <row r="4778" spans="1:5" ht="24.75" customHeight="1">
      <c r="A4778" s="2">
        <v>4776</v>
      </c>
      <c r="B4778" s="2" t="str">
        <f>"苏日坚"</f>
        <v>苏日坚</v>
      </c>
      <c r="C4778" s="2" t="s">
        <v>4195</v>
      </c>
      <c r="D4778" s="2" t="s">
        <v>4203</v>
      </c>
      <c r="E4778" s="3"/>
    </row>
    <row r="4779" spans="1:5" ht="24.75" customHeight="1">
      <c r="A4779" s="2">
        <v>4777</v>
      </c>
      <c r="B4779" s="2" t="str">
        <f>"彭国东"</f>
        <v>彭国东</v>
      </c>
      <c r="C4779" s="2" t="s">
        <v>4195</v>
      </c>
      <c r="D4779" s="2" t="s">
        <v>4204</v>
      </c>
      <c r="E4779" s="3"/>
    </row>
    <row r="4780" spans="1:5" ht="24.75" customHeight="1">
      <c r="A4780" s="2">
        <v>4778</v>
      </c>
      <c r="B4780" s="2" t="str">
        <f>"羊城豪"</f>
        <v>羊城豪</v>
      </c>
      <c r="C4780" s="2" t="s">
        <v>4195</v>
      </c>
      <c r="D4780" s="2" t="s">
        <v>4205</v>
      </c>
      <c r="E4780" s="3"/>
    </row>
    <row r="4781" spans="1:5" ht="24.75" customHeight="1">
      <c r="A4781" s="2">
        <v>4779</v>
      </c>
      <c r="B4781" s="2" t="str">
        <f>"万鹏程"</f>
        <v>万鹏程</v>
      </c>
      <c r="C4781" s="2" t="s">
        <v>4195</v>
      </c>
      <c r="D4781" s="2" t="s">
        <v>4206</v>
      </c>
      <c r="E4781" s="3"/>
    </row>
    <row r="4782" spans="1:5" ht="24.75" customHeight="1">
      <c r="A4782" s="2">
        <v>4780</v>
      </c>
      <c r="B4782" s="2" t="str">
        <f>"符俊铭"</f>
        <v>符俊铭</v>
      </c>
      <c r="C4782" s="2" t="s">
        <v>4195</v>
      </c>
      <c r="D4782" s="2" t="s">
        <v>4207</v>
      </c>
      <c r="E4782" s="3"/>
    </row>
    <row r="4783" spans="1:5" ht="24.75" customHeight="1">
      <c r="A4783" s="2">
        <v>4781</v>
      </c>
      <c r="B4783" s="2" t="str">
        <f>"李振彬"</f>
        <v>李振彬</v>
      </c>
      <c r="C4783" s="2" t="s">
        <v>4195</v>
      </c>
      <c r="D4783" s="2" t="s">
        <v>4208</v>
      </c>
      <c r="E4783" s="3"/>
    </row>
    <row r="4784" spans="1:5" ht="24.75" customHeight="1">
      <c r="A4784" s="2">
        <v>4782</v>
      </c>
      <c r="B4784" s="2" t="str">
        <f>"陈俊衡"</f>
        <v>陈俊衡</v>
      </c>
      <c r="C4784" s="2" t="s">
        <v>4195</v>
      </c>
      <c r="D4784" s="2" t="s">
        <v>67</v>
      </c>
      <c r="E4784" s="3"/>
    </row>
    <row r="4785" spans="1:5" ht="24.75" customHeight="1">
      <c r="A4785" s="2">
        <v>4783</v>
      </c>
      <c r="B4785" s="2" t="str">
        <f>"钟生诚"</f>
        <v>钟生诚</v>
      </c>
      <c r="C4785" s="2" t="s">
        <v>4195</v>
      </c>
      <c r="D4785" s="2" t="s">
        <v>4209</v>
      </c>
      <c r="E4785" s="3"/>
    </row>
    <row r="4786" spans="1:5" ht="24.75" customHeight="1">
      <c r="A4786" s="2">
        <v>4784</v>
      </c>
      <c r="B4786" s="2" t="str">
        <f>"符艳珍"</f>
        <v>符艳珍</v>
      </c>
      <c r="C4786" s="2" t="s">
        <v>4210</v>
      </c>
      <c r="D4786" s="2" t="s">
        <v>1498</v>
      </c>
      <c r="E4786" s="3"/>
    </row>
    <row r="4787" spans="1:5" ht="24.75" customHeight="1">
      <c r="A4787" s="2">
        <v>4785</v>
      </c>
      <c r="B4787" s="2" t="str">
        <f>"李佳熹"</f>
        <v>李佳熹</v>
      </c>
      <c r="C4787" s="2" t="s">
        <v>4210</v>
      </c>
      <c r="D4787" s="2" t="s">
        <v>4211</v>
      </c>
      <c r="E4787" s="3"/>
    </row>
    <row r="4788" spans="1:5" ht="24.75" customHeight="1">
      <c r="A4788" s="2">
        <v>4786</v>
      </c>
      <c r="B4788" s="2" t="str">
        <f>"邓晓敏"</f>
        <v>邓晓敏</v>
      </c>
      <c r="C4788" s="2" t="s">
        <v>4210</v>
      </c>
      <c r="D4788" s="2" t="s">
        <v>4212</v>
      </c>
      <c r="E4788" s="3"/>
    </row>
    <row r="4789" spans="1:5" ht="24.75" customHeight="1">
      <c r="A4789" s="2">
        <v>4787</v>
      </c>
      <c r="B4789" s="2" t="str">
        <f>"孙云丹"</f>
        <v>孙云丹</v>
      </c>
      <c r="C4789" s="2" t="s">
        <v>4210</v>
      </c>
      <c r="D4789" s="2" t="s">
        <v>4213</v>
      </c>
      <c r="E4789" s="3"/>
    </row>
    <row r="4790" spans="1:5" ht="24.75" customHeight="1">
      <c r="A4790" s="2">
        <v>4788</v>
      </c>
      <c r="B4790" s="2" t="str">
        <f>"杨亭"</f>
        <v>杨亭</v>
      </c>
      <c r="C4790" s="2" t="s">
        <v>4210</v>
      </c>
      <c r="D4790" s="2" t="s">
        <v>3919</v>
      </c>
      <c r="E4790" s="3"/>
    </row>
    <row r="4791" spans="1:5" ht="24.75" customHeight="1">
      <c r="A4791" s="2">
        <v>4789</v>
      </c>
      <c r="B4791" s="2" t="str">
        <f>"林萍萍"</f>
        <v>林萍萍</v>
      </c>
      <c r="C4791" s="2" t="s">
        <v>4210</v>
      </c>
      <c r="D4791" s="2" t="s">
        <v>4214</v>
      </c>
      <c r="E4791" s="3"/>
    </row>
    <row r="4792" spans="1:5" ht="24.75" customHeight="1">
      <c r="A4792" s="2">
        <v>4790</v>
      </c>
      <c r="B4792" s="2" t="str">
        <f>"符冠卿"</f>
        <v>符冠卿</v>
      </c>
      <c r="C4792" s="2" t="s">
        <v>4210</v>
      </c>
      <c r="D4792" s="2" t="s">
        <v>4215</v>
      </c>
      <c r="E4792" s="3"/>
    </row>
    <row r="4793" spans="1:5" ht="24.75" customHeight="1">
      <c r="A4793" s="2">
        <v>4791</v>
      </c>
      <c r="B4793" s="2" t="str">
        <f>"符公日"</f>
        <v>符公日</v>
      </c>
      <c r="C4793" s="2" t="s">
        <v>4210</v>
      </c>
      <c r="D4793" s="2" t="s">
        <v>4216</v>
      </c>
      <c r="E4793" s="3"/>
    </row>
    <row r="4794" spans="1:5" ht="24.75" customHeight="1">
      <c r="A4794" s="2">
        <v>4792</v>
      </c>
      <c r="B4794" s="2" t="str">
        <f>"杨静"</f>
        <v>杨静</v>
      </c>
      <c r="C4794" s="2" t="s">
        <v>4210</v>
      </c>
      <c r="D4794" s="2" t="s">
        <v>4217</v>
      </c>
      <c r="E4794" s="3"/>
    </row>
    <row r="4795" spans="1:5" ht="24.75" customHeight="1">
      <c r="A4795" s="2">
        <v>4793</v>
      </c>
      <c r="B4795" s="2" t="str">
        <f>"刘文君"</f>
        <v>刘文君</v>
      </c>
      <c r="C4795" s="2" t="s">
        <v>4218</v>
      </c>
      <c r="D4795" s="2" t="s">
        <v>4219</v>
      </c>
      <c r="E4795" s="3"/>
    </row>
    <row r="4796" spans="1:5" ht="24.75" customHeight="1">
      <c r="A4796" s="2">
        <v>4794</v>
      </c>
      <c r="B4796" s="2" t="str">
        <f>"谢瑜琦"</f>
        <v>谢瑜琦</v>
      </c>
      <c r="C4796" s="2" t="s">
        <v>4218</v>
      </c>
      <c r="D4796" s="2" t="s">
        <v>4220</v>
      </c>
      <c r="E4796" s="3"/>
    </row>
    <row r="4797" spans="1:5" ht="24.75" customHeight="1">
      <c r="A4797" s="2">
        <v>4795</v>
      </c>
      <c r="B4797" s="2" t="str">
        <f>"黄平"</f>
        <v>黄平</v>
      </c>
      <c r="C4797" s="2" t="s">
        <v>4218</v>
      </c>
      <c r="D4797" s="2" t="s">
        <v>4221</v>
      </c>
      <c r="E4797" s="3"/>
    </row>
    <row r="4798" spans="1:5" ht="24.75" customHeight="1">
      <c r="A4798" s="2">
        <v>4796</v>
      </c>
      <c r="B4798" s="2" t="str">
        <f>"苏静娴"</f>
        <v>苏静娴</v>
      </c>
      <c r="C4798" s="2" t="s">
        <v>4218</v>
      </c>
      <c r="D4798" s="2" t="s">
        <v>4222</v>
      </c>
      <c r="E4798" s="3"/>
    </row>
    <row r="4799" spans="1:5" ht="24.75" customHeight="1">
      <c r="A4799" s="2">
        <v>4797</v>
      </c>
      <c r="B4799" s="2" t="str">
        <f>"周永文"</f>
        <v>周永文</v>
      </c>
      <c r="C4799" s="2" t="s">
        <v>4218</v>
      </c>
      <c r="D4799" s="2" t="s">
        <v>4223</v>
      </c>
      <c r="E4799" s="3"/>
    </row>
    <row r="4800" spans="1:5" ht="24.75" customHeight="1">
      <c r="A4800" s="2">
        <v>4798</v>
      </c>
      <c r="B4800" s="2" t="str">
        <f>"李文学"</f>
        <v>李文学</v>
      </c>
      <c r="C4800" s="2" t="s">
        <v>4218</v>
      </c>
      <c r="D4800" s="2" t="s">
        <v>3784</v>
      </c>
      <c r="E4800" s="3"/>
    </row>
    <row r="4801" spans="1:5" ht="24.75" customHeight="1">
      <c r="A4801" s="2">
        <v>4799</v>
      </c>
      <c r="B4801" s="2" t="str">
        <f>"邓梦丽"</f>
        <v>邓梦丽</v>
      </c>
      <c r="C4801" s="2" t="s">
        <v>4218</v>
      </c>
      <c r="D4801" s="2" t="s">
        <v>4224</v>
      </c>
      <c r="E4801" s="3"/>
    </row>
    <row r="4802" spans="1:5" ht="24.75" customHeight="1">
      <c r="A4802" s="2">
        <v>4800</v>
      </c>
      <c r="B4802" s="2" t="str">
        <f>"杨长刚"</f>
        <v>杨长刚</v>
      </c>
      <c r="C4802" s="2" t="s">
        <v>4218</v>
      </c>
      <c r="D4802" s="2" t="s">
        <v>4225</v>
      </c>
      <c r="E4802" s="3"/>
    </row>
    <row r="4803" spans="1:5" ht="24.75" customHeight="1">
      <c r="A4803" s="2">
        <v>4801</v>
      </c>
      <c r="B4803" s="2" t="str">
        <f>"罗建华"</f>
        <v>罗建华</v>
      </c>
      <c r="C4803" s="2" t="s">
        <v>4218</v>
      </c>
      <c r="D4803" s="2" t="s">
        <v>4226</v>
      </c>
      <c r="E4803" s="3"/>
    </row>
    <row r="4804" spans="1:5" ht="24.75" customHeight="1">
      <c r="A4804" s="2">
        <v>4802</v>
      </c>
      <c r="B4804" s="2" t="str">
        <f>"陈柳蓉"</f>
        <v>陈柳蓉</v>
      </c>
      <c r="C4804" s="2" t="s">
        <v>4218</v>
      </c>
      <c r="D4804" s="2" t="s">
        <v>293</v>
      </c>
      <c r="E4804" s="3"/>
    </row>
    <row r="4805" spans="1:5" ht="24.75" customHeight="1">
      <c r="A4805" s="2">
        <v>4803</v>
      </c>
      <c r="B4805" s="2" t="str">
        <f>"羊声扬"</f>
        <v>羊声扬</v>
      </c>
      <c r="C4805" s="2" t="s">
        <v>4218</v>
      </c>
      <c r="D4805" s="2" t="s">
        <v>4227</v>
      </c>
      <c r="E4805" s="3"/>
    </row>
    <row r="4806" spans="1:5" ht="24.75" customHeight="1">
      <c r="A4806" s="2">
        <v>4804</v>
      </c>
      <c r="B4806" s="2" t="str">
        <f>"吉训桃"</f>
        <v>吉训桃</v>
      </c>
      <c r="C4806" s="2" t="s">
        <v>4218</v>
      </c>
      <c r="D4806" s="2" t="s">
        <v>3586</v>
      </c>
      <c r="E4806" s="3"/>
    </row>
    <row r="4807" spans="1:5" ht="24.75" customHeight="1">
      <c r="A4807" s="2">
        <v>4805</v>
      </c>
      <c r="B4807" s="2" t="str">
        <f>"符少霞"</f>
        <v>符少霞</v>
      </c>
      <c r="C4807" s="2" t="s">
        <v>4218</v>
      </c>
      <c r="D4807" s="2" t="s">
        <v>4228</v>
      </c>
      <c r="E4807" s="3"/>
    </row>
    <row r="4808" spans="1:5" ht="24.75" customHeight="1">
      <c r="A4808" s="2">
        <v>4806</v>
      </c>
      <c r="B4808" s="2" t="str">
        <f>"刘秀丽"</f>
        <v>刘秀丽</v>
      </c>
      <c r="C4808" s="2" t="s">
        <v>4218</v>
      </c>
      <c r="D4808" s="2" t="s">
        <v>4229</v>
      </c>
      <c r="E4808" s="3"/>
    </row>
    <row r="4809" spans="1:5" ht="24.75" customHeight="1">
      <c r="A4809" s="2">
        <v>4807</v>
      </c>
      <c r="B4809" s="2" t="str">
        <f>"黄锦全"</f>
        <v>黄锦全</v>
      </c>
      <c r="C4809" s="2" t="s">
        <v>4218</v>
      </c>
      <c r="D4809" s="2" t="s">
        <v>4230</v>
      </c>
      <c r="E4809" s="3"/>
    </row>
    <row r="4810" spans="1:5" ht="24.75" customHeight="1">
      <c r="A4810" s="2">
        <v>4808</v>
      </c>
      <c r="B4810" s="2" t="str">
        <f>"邬甘雨"</f>
        <v>邬甘雨</v>
      </c>
      <c r="C4810" s="2" t="s">
        <v>4218</v>
      </c>
      <c r="D4810" s="2" t="s">
        <v>4118</v>
      </c>
      <c r="E4810" s="3"/>
    </row>
    <row r="4811" spans="1:5" ht="24.75" customHeight="1">
      <c r="A4811" s="2">
        <v>4809</v>
      </c>
      <c r="B4811" s="2" t="str">
        <f>"程源"</f>
        <v>程源</v>
      </c>
      <c r="C4811" s="2" t="s">
        <v>4218</v>
      </c>
      <c r="D4811" s="2" t="s">
        <v>4231</v>
      </c>
      <c r="E4811" s="3"/>
    </row>
    <row r="4812" spans="1:5" ht="24.75" customHeight="1">
      <c r="A4812" s="2">
        <v>4810</v>
      </c>
      <c r="B4812" s="2" t="str">
        <f>"苏文逢"</f>
        <v>苏文逢</v>
      </c>
      <c r="C4812" s="2" t="s">
        <v>4218</v>
      </c>
      <c r="D4812" s="2" t="s">
        <v>4232</v>
      </c>
      <c r="E4812" s="3"/>
    </row>
    <row r="4813" spans="1:5" ht="24.75" customHeight="1">
      <c r="A4813" s="2">
        <v>4811</v>
      </c>
      <c r="B4813" s="2" t="str">
        <f>"石岩"</f>
        <v>石岩</v>
      </c>
      <c r="C4813" s="2" t="s">
        <v>4218</v>
      </c>
      <c r="D4813" s="2" t="s">
        <v>4233</v>
      </c>
      <c r="E4813" s="3"/>
    </row>
    <row r="4814" spans="1:5" ht="24.75" customHeight="1">
      <c r="A4814" s="2">
        <v>4812</v>
      </c>
      <c r="B4814" s="2" t="str">
        <f>"吴光兵"</f>
        <v>吴光兵</v>
      </c>
      <c r="C4814" s="2" t="s">
        <v>4218</v>
      </c>
      <c r="D4814" s="2" t="s">
        <v>4234</v>
      </c>
      <c r="E4814" s="3"/>
    </row>
    <row r="4815" spans="1:5" ht="24.75" customHeight="1">
      <c r="A4815" s="2">
        <v>4813</v>
      </c>
      <c r="B4815" s="2" t="str">
        <f>"羊维强"</f>
        <v>羊维强</v>
      </c>
      <c r="C4815" s="2" t="s">
        <v>4218</v>
      </c>
      <c r="D4815" s="2" t="s">
        <v>4235</v>
      </c>
      <c r="E4815" s="3"/>
    </row>
    <row r="4816" spans="1:5" ht="24.75" customHeight="1">
      <c r="A4816" s="2">
        <v>4814</v>
      </c>
      <c r="B4816" s="2" t="str">
        <f>"陈婷"</f>
        <v>陈婷</v>
      </c>
      <c r="C4816" s="2" t="s">
        <v>4218</v>
      </c>
      <c r="D4816" s="2" t="s">
        <v>953</v>
      </c>
      <c r="E4816" s="3"/>
    </row>
    <row r="4817" spans="1:5" ht="24.75" customHeight="1">
      <c r="A4817" s="2">
        <v>4815</v>
      </c>
      <c r="B4817" s="2" t="str">
        <f>"高泽恒"</f>
        <v>高泽恒</v>
      </c>
      <c r="C4817" s="2" t="s">
        <v>4218</v>
      </c>
      <c r="D4817" s="2" t="s">
        <v>4236</v>
      </c>
      <c r="E4817" s="3"/>
    </row>
    <row r="4818" spans="1:5" ht="24.75" customHeight="1">
      <c r="A4818" s="2">
        <v>4816</v>
      </c>
      <c r="B4818" s="2" t="str">
        <f>"曾丽莉"</f>
        <v>曾丽莉</v>
      </c>
      <c r="C4818" s="2" t="s">
        <v>4218</v>
      </c>
      <c r="D4818" s="2" t="s">
        <v>1858</v>
      </c>
      <c r="E4818" s="3"/>
    </row>
    <row r="4819" spans="1:5" ht="24.75" customHeight="1">
      <c r="A4819" s="2">
        <v>4817</v>
      </c>
      <c r="B4819" s="2" t="str">
        <f>"文美娜"</f>
        <v>文美娜</v>
      </c>
      <c r="C4819" s="2" t="s">
        <v>4218</v>
      </c>
      <c r="D4819" s="2" t="s">
        <v>4237</v>
      </c>
      <c r="E4819" s="3"/>
    </row>
    <row r="4820" spans="1:5" ht="24.75" customHeight="1">
      <c r="A4820" s="2">
        <v>4818</v>
      </c>
      <c r="B4820" s="2" t="str">
        <f>"陈芸"</f>
        <v>陈芸</v>
      </c>
      <c r="C4820" s="2" t="s">
        <v>4218</v>
      </c>
      <c r="D4820" s="2" t="s">
        <v>4238</v>
      </c>
      <c r="E4820" s="3"/>
    </row>
    <row r="4821" spans="1:5" ht="24.75" customHeight="1">
      <c r="A4821" s="2">
        <v>4819</v>
      </c>
      <c r="B4821" s="2" t="str">
        <f>"刘远芳"</f>
        <v>刘远芳</v>
      </c>
      <c r="C4821" s="2" t="s">
        <v>4218</v>
      </c>
      <c r="D4821" s="2" t="s">
        <v>4239</v>
      </c>
      <c r="E4821" s="3"/>
    </row>
    <row r="4822" spans="1:5" ht="24.75" customHeight="1">
      <c r="A4822" s="2">
        <v>4820</v>
      </c>
      <c r="B4822" s="2" t="str">
        <f>"黎诗娜"</f>
        <v>黎诗娜</v>
      </c>
      <c r="C4822" s="2" t="s">
        <v>4218</v>
      </c>
      <c r="D4822" s="2" t="s">
        <v>4240</v>
      </c>
      <c r="E4822" s="3"/>
    </row>
    <row r="4823" spans="1:5" ht="24.75" customHeight="1">
      <c r="A4823" s="2">
        <v>4821</v>
      </c>
      <c r="B4823" s="2" t="str">
        <f>"王岳崇"</f>
        <v>王岳崇</v>
      </c>
      <c r="C4823" s="2" t="s">
        <v>4218</v>
      </c>
      <c r="D4823" s="2" t="s">
        <v>4241</v>
      </c>
      <c r="E4823" s="3"/>
    </row>
    <row r="4824" spans="1:5" ht="24.75" customHeight="1">
      <c r="A4824" s="2">
        <v>4822</v>
      </c>
      <c r="B4824" s="2" t="str">
        <f>"闵晶晶"</f>
        <v>闵晶晶</v>
      </c>
      <c r="C4824" s="2" t="s">
        <v>4218</v>
      </c>
      <c r="D4824" s="2" t="s">
        <v>4242</v>
      </c>
      <c r="E4824" s="3"/>
    </row>
    <row r="4825" spans="1:5" ht="24.75" customHeight="1">
      <c r="A4825" s="2">
        <v>4823</v>
      </c>
      <c r="B4825" s="2" t="str">
        <f>"吴焕欢"</f>
        <v>吴焕欢</v>
      </c>
      <c r="C4825" s="2" t="s">
        <v>4218</v>
      </c>
      <c r="D4825" s="2" t="s">
        <v>4243</v>
      </c>
      <c r="E4825" s="3"/>
    </row>
    <row r="4826" spans="1:5" ht="24.75" customHeight="1">
      <c r="A4826" s="2">
        <v>4824</v>
      </c>
      <c r="B4826" s="2" t="str">
        <f>"何日美"</f>
        <v>何日美</v>
      </c>
      <c r="C4826" s="2" t="s">
        <v>4218</v>
      </c>
      <c r="D4826" s="2" t="s">
        <v>4244</v>
      </c>
      <c r="E4826" s="3"/>
    </row>
    <row r="4827" spans="1:5" ht="24.75" customHeight="1">
      <c r="A4827" s="2">
        <v>4825</v>
      </c>
      <c r="B4827" s="2" t="str">
        <f>"蔡仁健"</f>
        <v>蔡仁健</v>
      </c>
      <c r="C4827" s="2" t="s">
        <v>4218</v>
      </c>
      <c r="D4827" s="2" t="s">
        <v>4245</v>
      </c>
      <c r="E4827" s="3"/>
    </row>
    <row r="4828" spans="1:5" ht="24.75" customHeight="1">
      <c r="A4828" s="2">
        <v>4826</v>
      </c>
      <c r="B4828" s="2" t="str">
        <f>"章德利"</f>
        <v>章德利</v>
      </c>
      <c r="C4828" s="2" t="s">
        <v>4218</v>
      </c>
      <c r="D4828" s="2" t="s">
        <v>4246</v>
      </c>
      <c r="E4828" s="3"/>
    </row>
    <row r="4829" spans="1:5" ht="24.75" customHeight="1">
      <c r="A4829" s="2">
        <v>4827</v>
      </c>
      <c r="B4829" s="2" t="str">
        <f>"王依依"</f>
        <v>王依依</v>
      </c>
      <c r="C4829" s="2" t="s">
        <v>4218</v>
      </c>
      <c r="D4829" s="2" t="s">
        <v>4247</v>
      </c>
      <c r="E4829" s="3"/>
    </row>
    <row r="4830" spans="1:5" ht="24.75" customHeight="1">
      <c r="A4830" s="2">
        <v>4828</v>
      </c>
      <c r="B4830" s="2" t="str">
        <f>"林开灿"</f>
        <v>林开灿</v>
      </c>
      <c r="C4830" s="2" t="s">
        <v>4218</v>
      </c>
      <c r="D4830" s="2" t="s">
        <v>2062</v>
      </c>
      <c r="E4830" s="3"/>
    </row>
    <row r="4831" spans="1:5" ht="24.75" customHeight="1">
      <c r="A4831" s="2">
        <v>4829</v>
      </c>
      <c r="B4831" s="2" t="str">
        <f>"吴军盛"</f>
        <v>吴军盛</v>
      </c>
      <c r="C4831" s="2" t="s">
        <v>4218</v>
      </c>
      <c r="D4831" s="2" t="s">
        <v>4097</v>
      </c>
      <c r="E4831" s="3"/>
    </row>
    <row r="4832" spans="1:5" ht="24.75" customHeight="1">
      <c r="A4832" s="2">
        <v>4830</v>
      </c>
      <c r="B4832" s="2" t="str">
        <f>"蔡珍珍"</f>
        <v>蔡珍珍</v>
      </c>
      <c r="C4832" s="2" t="s">
        <v>4218</v>
      </c>
      <c r="D4832" s="2" t="s">
        <v>4248</v>
      </c>
      <c r="E4832" s="3"/>
    </row>
    <row r="4833" spans="1:5" ht="24.75" customHeight="1">
      <c r="A4833" s="2">
        <v>4831</v>
      </c>
      <c r="B4833" s="2" t="str">
        <f>"符少英"</f>
        <v>符少英</v>
      </c>
      <c r="C4833" s="2" t="s">
        <v>4218</v>
      </c>
      <c r="D4833" s="2" t="s">
        <v>4249</v>
      </c>
      <c r="E4833" s="3"/>
    </row>
    <row r="4834" spans="1:5" ht="24.75" customHeight="1">
      <c r="A4834" s="2">
        <v>4832</v>
      </c>
      <c r="B4834" s="2" t="str">
        <f>"李静"</f>
        <v>李静</v>
      </c>
      <c r="C4834" s="2" t="s">
        <v>4218</v>
      </c>
      <c r="D4834" s="2" t="s">
        <v>4250</v>
      </c>
      <c r="E4834" s="3"/>
    </row>
    <row r="4835" spans="1:5" ht="24.75" customHeight="1">
      <c r="A4835" s="2">
        <v>4833</v>
      </c>
      <c r="B4835" s="2" t="str">
        <f>"吉舒岚"</f>
        <v>吉舒岚</v>
      </c>
      <c r="C4835" s="2" t="s">
        <v>4218</v>
      </c>
      <c r="D4835" s="2" t="s">
        <v>797</v>
      </c>
      <c r="E4835" s="3"/>
    </row>
    <row r="4836" spans="1:5" ht="24.75" customHeight="1">
      <c r="A4836" s="2">
        <v>4834</v>
      </c>
      <c r="B4836" s="2" t="str">
        <f>"王宏宇"</f>
        <v>王宏宇</v>
      </c>
      <c r="C4836" s="2" t="s">
        <v>4218</v>
      </c>
      <c r="D4836" s="2" t="s">
        <v>4251</v>
      </c>
      <c r="E4836" s="3"/>
    </row>
    <row r="4837" spans="1:5" ht="24.75" customHeight="1">
      <c r="A4837" s="2">
        <v>4835</v>
      </c>
      <c r="B4837" s="2" t="str">
        <f>"吴妍"</f>
        <v>吴妍</v>
      </c>
      <c r="C4837" s="2" t="s">
        <v>4218</v>
      </c>
      <c r="D4837" s="2" t="s">
        <v>4252</v>
      </c>
      <c r="E4837" s="3"/>
    </row>
    <row r="4838" spans="1:5" ht="24.75" customHeight="1">
      <c r="A4838" s="2">
        <v>4836</v>
      </c>
      <c r="B4838" s="2" t="str">
        <f>"王文庆"</f>
        <v>王文庆</v>
      </c>
      <c r="C4838" s="2" t="s">
        <v>4218</v>
      </c>
      <c r="D4838" s="2" t="s">
        <v>4253</v>
      </c>
      <c r="E4838" s="3"/>
    </row>
    <row r="4839" spans="1:5" ht="24.75" customHeight="1">
      <c r="A4839" s="2">
        <v>4837</v>
      </c>
      <c r="B4839" s="2" t="str">
        <f>"苏云剑"</f>
        <v>苏云剑</v>
      </c>
      <c r="C4839" s="2" t="s">
        <v>4218</v>
      </c>
      <c r="D4839" s="2" t="s">
        <v>4254</v>
      </c>
      <c r="E4839" s="3"/>
    </row>
    <row r="4840" spans="1:5" ht="24.75" customHeight="1">
      <c r="A4840" s="2">
        <v>4838</v>
      </c>
      <c r="B4840" s="2" t="str">
        <f>"廖莎莎"</f>
        <v>廖莎莎</v>
      </c>
      <c r="C4840" s="2" t="s">
        <v>4218</v>
      </c>
      <c r="D4840" s="2" t="s">
        <v>4255</v>
      </c>
      <c r="E4840" s="3"/>
    </row>
    <row r="4841" spans="1:5" ht="24.75" customHeight="1">
      <c r="A4841" s="2">
        <v>4839</v>
      </c>
      <c r="B4841" s="2" t="str">
        <f>"邱娟燕"</f>
        <v>邱娟燕</v>
      </c>
      <c r="C4841" s="2" t="s">
        <v>4218</v>
      </c>
      <c r="D4841" s="2" t="s">
        <v>4256</v>
      </c>
      <c r="E4841" s="3"/>
    </row>
    <row r="4842" spans="1:5" ht="24.75" customHeight="1">
      <c r="A4842" s="2">
        <v>4840</v>
      </c>
      <c r="B4842" s="2" t="str">
        <f>"钟孝敬"</f>
        <v>钟孝敬</v>
      </c>
      <c r="C4842" s="2" t="s">
        <v>4218</v>
      </c>
      <c r="D4842" s="2" t="s">
        <v>4257</v>
      </c>
      <c r="E4842" s="3"/>
    </row>
    <row r="4843" spans="1:5" ht="24.75" customHeight="1">
      <c r="A4843" s="2">
        <v>4841</v>
      </c>
      <c r="B4843" s="2" t="str">
        <f>"王美慧"</f>
        <v>王美慧</v>
      </c>
      <c r="C4843" s="2" t="s">
        <v>4218</v>
      </c>
      <c r="D4843" s="2" t="s">
        <v>4258</v>
      </c>
      <c r="E4843" s="3"/>
    </row>
    <row r="4844" spans="1:5" ht="24.75" customHeight="1">
      <c r="A4844" s="2">
        <v>4842</v>
      </c>
      <c r="B4844" s="2" t="str">
        <f>"吴凯羚"</f>
        <v>吴凯羚</v>
      </c>
      <c r="C4844" s="2" t="s">
        <v>4218</v>
      </c>
      <c r="D4844" s="2" t="s">
        <v>4259</v>
      </c>
      <c r="E4844" s="3"/>
    </row>
    <row r="4845" spans="1:5" ht="24.75" customHeight="1">
      <c r="A4845" s="2">
        <v>4843</v>
      </c>
      <c r="B4845" s="2" t="str">
        <f>"陈小妮"</f>
        <v>陈小妮</v>
      </c>
      <c r="C4845" s="2" t="s">
        <v>4218</v>
      </c>
      <c r="D4845" s="2" t="s">
        <v>4260</v>
      </c>
      <c r="E4845" s="3"/>
    </row>
    <row r="4846" spans="1:5" ht="24.75" customHeight="1">
      <c r="A4846" s="2">
        <v>4844</v>
      </c>
      <c r="B4846" s="2" t="str">
        <f>"林文宣"</f>
        <v>林文宣</v>
      </c>
      <c r="C4846" s="2" t="s">
        <v>4218</v>
      </c>
      <c r="D4846" s="2" t="s">
        <v>4261</v>
      </c>
      <c r="E4846" s="3"/>
    </row>
    <row r="4847" spans="1:5" ht="24.75" customHeight="1">
      <c r="A4847" s="2">
        <v>4845</v>
      </c>
      <c r="B4847" s="2" t="str">
        <f>"吉雪娜"</f>
        <v>吉雪娜</v>
      </c>
      <c r="C4847" s="2" t="s">
        <v>4218</v>
      </c>
      <c r="D4847" s="2" t="s">
        <v>4262</v>
      </c>
      <c r="E4847" s="3"/>
    </row>
    <row r="4848" spans="1:5" ht="24.75" customHeight="1">
      <c r="A4848" s="2">
        <v>4846</v>
      </c>
      <c r="B4848" s="2" t="str">
        <f>"李宇"</f>
        <v>李宇</v>
      </c>
      <c r="C4848" s="2" t="s">
        <v>4218</v>
      </c>
      <c r="D4848" s="2" t="s">
        <v>4263</v>
      </c>
      <c r="E4848" s="3"/>
    </row>
    <row r="4849" spans="1:5" ht="24.75" customHeight="1">
      <c r="A4849" s="2">
        <v>4847</v>
      </c>
      <c r="B4849" s="2" t="str">
        <f>"王桃瑞"</f>
        <v>王桃瑞</v>
      </c>
      <c r="C4849" s="2" t="s">
        <v>4218</v>
      </c>
      <c r="D4849" s="2" t="s">
        <v>4264</v>
      </c>
      <c r="E4849" s="3"/>
    </row>
    <row r="4850" spans="1:5" ht="24.75" customHeight="1">
      <c r="A4850" s="2">
        <v>4848</v>
      </c>
      <c r="B4850" s="2" t="str">
        <f>"钟文玲"</f>
        <v>钟文玲</v>
      </c>
      <c r="C4850" s="2" t="s">
        <v>4218</v>
      </c>
      <c r="D4850" s="2" t="s">
        <v>4265</v>
      </c>
      <c r="E4850" s="3"/>
    </row>
    <row r="4851" spans="1:5" ht="24.75" customHeight="1">
      <c r="A4851" s="2">
        <v>4849</v>
      </c>
      <c r="B4851" s="2" t="str">
        <f>"陈焕辉"</f>
        <v>陈焕辉</v>
      </c>
      <c r="C4851" s="2" t="s">
        <v>4218</v>
      </c>
      <c r="D4851" s="2" t="s">
        <v>4266</v>
      </c>
      <c r="E4851" s="3"/>
    </row>
    <row r="4852" spans="1:5" ht="24.75" customHeight="1">
      <c r="A4852" s="2">
        <v>4850</v>
      </c>
      <c r="B4852" s="2" t="str">
        <f>"曾敏"</f>
        <v>曾敏</v>
      </c>
      <c r="C4852" s="2" t="s">
        <v>4218</v>
      </c>
      <c r="D4852" s="2" t="s">
        <v>2893</v>
      </c>
      <c r="E4852" s="3"/>
    </row>
    <row r="4853" spans="1:5" ht="24.75" customHeight="1">
      <c r="A4853" s="2">
        <v>4851</v>
      </c>
      <c r="B4853" s="2" t="str">
        <f>"周韧"</f>
        <v>周韧</v>
      </c>
      <c r="C4853" s="2" t="s">
        <v>4218</v>
      </c>
      <c r="D4853" s="2" t="s">
        <v>1752</v>
      </c>
      <c r="E4853" s="3"/>
    </row>
    <row r="4854" spans="1:5" ht="24.75" customHeight="1">
      <c r="A4854" s="2">
        <v>4852</v>
      </c>
      <c r="B4854" s="2" t="str">
        <f>"文彦尹"</f>
        <v>文彦尹</v>
      </c>
      <c r="C4854" s="2" t="s">
        <v>4218</v>
      </c>
      <c r="D4854" s="2" t="s">
        <v>4220</v>
      </c>
      <c r="E4854" s="3"/>
    </row>
    <row r="4855" spans="1:5" ht="24.75" customHeight="1">
      <c r="A4855" s="2">
        <v>4853</v>
      </c>
      <c r="B4855" s="2" t="str">
        <f>"何智静"</f>
        <v>何智静</v>
      </c>
      <c r="C4855" s="2" t="s">
        <v>4218</v>
      </c>
      <c r="D4855" s="2" t="s">
        <v>4267</v>
      </c>
      <c r="E4855" s="3"/>
    </row>
    <row r="4856" spans="1:5" ht="24.75" customHeight="1">
      <c r="A4856" s="2">
        <v>4854</v>
      </c>
      <c r="B4856" s="2" t="str">
        <f>"邓运川"</f>
        <v>邓运川</v>
      </c>
      <c r="C4856" s="2" t="s">
        <v>4218</v>
      </c>
      <c r="D4856" s="2" t="s">
        <v>4268</v>
      </c>
      <c r="E4856" s="3"/>
    </row>
    <row r="4857" spans="1:5" ht="24.75" customHeight="1">
      <c r="A4857" s="2">
        <v>4855</v>
      </c>
      <c r="B4857" s="2" t="str">
        <f>"吴子莹"</f>
        <v>吴子莹</v>
      </c>
      <c r="C4857" s="2" t="s">
        <v>4218</v>
      </c>
      <c r="D4857" s="2" t="s">
        <v>4050</v>
      </c>
      <c r="E4857" s="3"/>
    </row>
    <row r="4858" spans="1:5" ht="24.75" customHeight="1">
      <c r="A4858" s="2">
        <v>4856</v>
      </c>
      <c r="B4858" s="2" t="str">
        <f>"谢如意"</f>
        <v>谢如意</v>
      </c>
      <c r="C4858" s="2" t="s">
        <v>4218</v>
      </c>
      <c r="D4858" s="2" t="s">
        <v>4269</v>
      </c>
      <c r="E4858" s="3"/>
    </row>
    <row r="4859" spans="1:5" ht="24.75" customHeight="1">
      <c r="A4859" s="2">
        <v>4857</v>
      </c>
      <c r="B4859" s="2" t="str">
        <f>"吕哲贤"</f>
        <v>吕哲贤</v>
      </c>
      <c r="C4859" s="2" t="s">
        <v>4218</v>
      </c>
      <c r="D4859" s="2" t="s">
        <v>4270</v>
      </c>
      <c r="E4859" s="3"/>
    </row>
    <row r="4860" spans="1:5" ht="24.75" customHeight="1">
      <c r="A4860" s="2">
        <v>4858</v>
      </c>
      <c r="B4860" s="2" t="str">
        <f>"孙苑"</f>
        <v>孙苑</v>
      </c>
      <c r="C4860" s="2" t="s">
        <v>4218</v>
      </c>
      <c r="D4860" s="2" t="s">
        <v>4271</v>
      </c>
      <c r="E4860" s="3"/>
    </row>
    <row r="4861" spans="1:5" ht="24.75" customHeight="1">
      <c r="A4861" s="2">
        <v>4859</v>
      </c>
      <c r="B4861" s="2" t="str">
        <f>"王宇伦"</f>
        <v>王宇伦</v>
      </c>
      <c r="C4861" s="2" t="s">
        <v>4218</v>
      </c>
      <c r="D4861" s="2" t="s">
        <v>4272</v>
      </c>
      <c r="E4861" s="3"/>
    </row>
    <row r="4862" spans="1:5" ht="24.75" customHeight="1">
      <c r="A4862" s="2">
        <v>4860</v>
      </c>
      <c r="B4862" s="2" t="str">
        <f>"张龙"</f>
        <v>张龙</v>
      </c>
      <c r="C4862" s="2" t="s">
        <v>4273</v>
      </c>
      <c r="D4862" s="2" t="s">
        <v>4274</v>
      </c>
      <c r="E4862" s="3"/>
    </row>
    <row r="4863" spans="1:5" ht="24.75" customHeight="1">
      <c r="A4863" s="2">
        <v>4861</v>
      </c>
      <c r="B4863" s="2" t="str">
        <f>"陆健"</f>
        <v>陆健</v>
      </c>
      <c r="C4863" s="2" t="s">
        <v>4273</v>
      </c>
      <c r="D4863" s="2" t="s">
        <v>4275</v>
      </c>
      <c r="E4863" s="3"/>
    </row>
    <row r="4864" spans="1:5" ht="24.75" customHeight="1">
      <c r="A4864" s="2">
        <v>4862</v>
      </c>
      <c r="B4864" s="2" t="str">
        <f>"王开道"</f>
        <v>王开道</v>
      </c>
      <c r="C4864" s="2" t="s">
        <v>4273</v>
      </c>
      <c r="D4864" s="2" t="s">
        <v>1660</v>
      </c>
      <c r="E4864" s="3"/>
    </row>
    <row r="4865" spans="1:5" ht="24.75" customHeight="1">
      <c r="A4865" s="2">
        <v>4863</v>
      </c>
      <c r="B4865" s="2" t="str">
        <f>"倪林洁"</f>
        <v>倪林洁</v>
      </c>
      <c r="C4865" s="2" t="s">
        <v>4273</v>
      </c>
      <c r="D4865" s="2" t="s">
        <v>495</v>
      </c>
      <c r="E4865" s="3"/>
    </row>
    <row r="4866" spans="1:5" ht="24.75" customHeight="1">
      <c r="A4866" s="2">
        <v>4864</v>
      </c>
      <c r="B4866" s="2" t="str">
        <f>"王昭璋"</f>
        <v>王昭璋</v>
      </c>
      <c r="C4866" s="2" t="s">
        <v>4273</v>
      </c>
      <c r="D4866" s="2" t="s">
        <v>753</v>
      </c>
      <c r="E4866" s="3"/>
    </row>
    <row r="4867" spans="1:5" ht="24.75" customHeight="1">
      <c r="A4867" s="2">
        <v>4865</v>
      </c>
      <c r="B4867" s="2" t="str">
        <f>"卞在成"</f>
        <v>卞在成</v>
      </c>
      <c r="C4867" s="2" t="s">
        <v>4273</v>
      </c>
      <c r="D4867" s="2" t="s">
        <v>4276</v>
      </c>
      <c r="E4867" s="3"/>
    </row>
    <row r="4868" spans="1:5" ht="24.75" customHeight="1">
      <c r="A4868" s="2">
        <v>4866</v>
      </c>
      <c r="B4868" s="2" t="str">
        <f>"关业添"</f>
        <v>关业添</v>
      </c>
      <c r="C4868" s="2" t="s">
        <v>4273</v>
      </c>
      <c r="D4868" s="2" t="s">
        <v>4277</v>
      </c>
      <c r="E4868" s="3"/>
    </row>
    <row r="4869" spans="1:5" ht="24.75" customHeight="1">
      <c r="A4869" s="2">
        <v>4867</v>
      </c>
      <c r="B4869" s="2" t="str">
        <f>"符气仙"</f>
        <v>符气仙</v>
      </c>
      <c r="C4869" s="2" t="s">
        <v>4273</v>
      </c>
      <c r="D4869" s="2" t="s">
        <v>4278</v>
      </c>
      <c r="E4869" s="3"/>
    </row>
    <row r="4870" spans="1:5" ht="24.75" customHeight="1">
      <c r="A4870" s="2">
        <v>4868</v>
      </c>
      <c r="B4870" s="2" t="str">
        <f>"王玉琳"</f>
        <v>王玉琳</v>
      </c>
      <c r="C4870" s="2" t="s">
        <v>4273</v>
      </c>
      <c r="D4870" s="2" t="s">
        <v>4279</v>
      </c>
      <c r="E4870" s="3"/>
    </row>
    <row r="4871" spans="1:5" ht="24.75" customHeight="1">
      <c r="A4871" s="2">
        <v>4869</v>
      </c>
      <c r="B4871" s="2" t="str">
        <f>"李家艳"</f>
        <v>李家艳</v>
      </c>
      <c r="C4871" s="2" t="s">
        <v>4273</v>
      </c>
      <c r="D4871" s="2" t="s">
        <v>4280</v>
      </c>
      <c r="E4871" s="3"/>
    </row>
    <row r="4872" spans="1:5" ht="24.75" customHeight="1">
      <c r="A4872" s="2">
        <v>4870</v>
      </c>
      <c r="B4872" s="2" t="str">
        <f>"赵光培"</f>
        <v>赵光培</v>
      </c>
      <c r="C4872" s="2" t="s">
        <v>4273</v>
      </c>
      <c r="D4872" s="2" t="s">
        <v>4281</v>
      </c>
      <c r="E4872" s="3"/>
    </row>
    <row r="4873" spans="1:5" ht="24.75" customHeight="1">
      <c r="A4873" s="2">
        <v>4871</v>
      </c>
      <c r="B4873" s="2" t="str">
        <f>"谢君敏"</f>
        <v>谢君敏</v>
      </c>
      <c r="C4873" s="2" t="s">
        <v>4273</v>
      </c>
      <c r="D4873" s="2" t="s">
        <v>1610</v>
      </c>
      <c r="E4873" s="3"/>
    </row>
    <row r="4874" spans="1:5" ht="24.75" customHeight="1">
      <c r="A4874" s="2">
        <v>4872</v>
      </c>
      <c r="B4874" s="2" t="str">
        <f>"高芳萃"</f>
        <v>高芳萃</v>
      </c>
      <c r="C4874" s="2" t="s">
        <v>4273</v>
      </c>
      <c r="D4874" s="2" t="s">
        <v>2931</v>
      </c>
      <c r="E4874" s="3"/>
    </row>
    <row r="4875" spans="1:5" ht="24.75" customHeight="1">
      <c r="A4875" s="2">
        <v>4873</v>
      </c>
      <c r="B4875" s="2" t="str">
        <f>"陈建功"</f>
        <v>陈建功</v>
      </c>
      <c r="C4875" s="2" t="s">
        <v>4273</v>
      </c>
      <c r="D4875" s="2" t="s">
        <v>4282</v>
      </c>
      <c r="E4875" s="3"/>
    </row>
    <row r="4876" spans="1:5" ht="24.75" customHeight="1">
      <c r="A4876" s="2">
        <v>4874</v>
      </c>
      <c r="B4876" s="2" t="str">
        <f>"王留生"</f>
        <v>王留生</v>
      </c>
      <c r="C4876" s="2" t="s">
        <v>4273</v>
      </c>
      <c r="D4876" s="2" t="s">
        <v>3630</v>
      </c>
      <c r="E4876" s="3"/>
    </row>
    <row r="4877" spans="1:5" ht="24.75" customHeight="1">
      <c r="A4877" s="2">
        <v>4875</v>
      </c>
      <c r="B4877" s="2" t="str">
        <f>"林瑞颖"</f>
        <v>林瑞颖</v>
      </c>
      <c r="C4877" s="2" t="s">
        <v>4273</v>
      </c>
      <c r="D4877" s="2" t="s">
        <v>4283</v>
      </c>
      <c r="E4877" s="3"/>
    </row>
    <row r="4878" spans="1:5" ht="24.75" customHeight="1">
      <c r="A4878" s="2">
        <v>4876</v>
      </c>
      <c r="B4878" s="2" t="str">
        <f>"苏珊菊"</f>
        <v>苏珊菊</v>
      </c>
      <c r="C4878" s="2" t="s">
        <v>4273</v>
      </c>
      <c r="D4878" s="2" t="s">
        <v>4284</v>
      </c>
      <c r="E4878" s="3"/>
    </row>
    <row r="4879" spans="1:5" ht="24.75" customHeight="1">
      <c r="A4879" s="2">
        <v>4877</v>
      </c>
      <c r="B4879" s="2" t="str">
        <f>"林俊彦"</f>
        <v>林俊彦</v>
      </c>
      <c r="C4879" s="2" t="s">
        <v>4273</v>
      </c>
      <c r="D4879" s="2" t="s">
        <v>2407</v>
      </c>
      <c r="E4879" s="3"/>
    </row>
    <row r="4880" spans="1:5" ht="24.75" customHeight="1">
      <c r="A4880" s="2">
        <v>4878</v>
      </c>
      <c r="B4880" s="2" t="str">
        <f>"林招强"</f>
        <v>林招强</v>
      </c>
      <c r="C4880" s="2" t="s">
        <v>4273</v>
      </c>
      <c r="D4880" s="2" t="s">
        <v>4285</v>
      </c>
      <c r="E4880" s="3"/>
    </row>
    <row r="4881" spans="1:5" ht="24.75" customHeight="1">
      <c r="A4881" s="2">
        <v>4879</v>
      </c>
      <c r="B4881" s="2" t="str">
        <f>"陈立庭"</f>
        <v>陈立庭</v>
      </c>
      <c r="C4881" s="2" t="s">
        <v>4273</v>
      </c>
      <c r="D4881" s="2" t="s">
        <v>4286</v>
      </c>
      <c r="E4881" s="3"/>
    </row>
    <row r="4882" spans="1:5" ht="24.75" customHeight="1">
      <c r="A4882" s="2">
        <v>4880</v>
      </c>
      <c r="B4882" s="2" t="str">
        <f>"杨泽宽"</f>
        <v>杨泽宽</v>
      </c>
      <c r="C4882" s="2" t="s">
        <v>4273</v>
      </c>
      <c r="D4882" s="2" t="s">
        <v>4287</v>
      </c>
      <c r="E4882" s="3"/>
    </row>
    <row r="4883" spans="1:5" ht="24.75" customHeight="1">
      <c r="A4883" s="2">
        <v>4881</v>
      </c>
      <c r="B4883" s="2" t="str">
        <f>"唐树玲"</f>
        <v>唐树玲</v>
      </c>
      <c r="C4883" s="2" t="s">
        <v>4273</v>
      </c>
      <c r="D4883" s="2" t="s">
        <v>4288</v>
      </c>
      <c r="E4883" s="3"/>
    </row>
    <row r="4884" spans="1:5" ht="24.75" customHeight="1">
      <c r="A4884" s="2">
        <v>4882</v>
      </c>
      <c r="B4884" s="2" t="str">
        <f>"文博"</f>
        <v>文博</v>
      </c>
      <c r="C4884" s="2" t="s">
        <v>4273</v>
      </c>
      <c r="D4884" s="2" t="s">
        <v>4289</v>
      </c>
      <c r="E4884" s="3"/>
    </row>
    <row r="4885" spans="1:5" ht="24.75" customHeight="1">
      <c r="A4885" s="2">
        <v>4883</v>
      </c>
      <c r="B4885" s="2" t="str">
        <f>"林瑞孙"</f>
        <v>林瑞孙</v>
      </c>
      <c r="C4885" s="2" t="s">
        <v>4273</v>
      </c>
      <c r="D4885" s="2" t="s">
        <v>4290</v>
      </c>
      <c r="E4885" s="3"/>
    </row>
    <row r="4886" spans="1:5" ht="24.75" customHeight="1">
      <c r="A4886" s="2">
        <v>4884</v>
      </c>
      <c r="B4886" s="2" t="str">
        <f>"苏杰民"</f>
        <v>苏杰民</v>
      </c>
      <c r="C4886" s="2" t="s">
        <v>4273</v>
      </c>
      <c r="D4886" s="2" t="s">
        <v>4291</v>
      </c>
      <c r="E4886" s="3"/>
    </row>
    <row r="4887" spans="1:5" ht="24.75" customHeight="1">
      <c r="A4887" s="2">
        <v>4885</v>
      </c>
      <c r="B4887" s="2" t="str">
        <f>"郑清才"</f>
        <v>郑清才</v>
      </c>
      <c r="C4887" s="2" t="s">
        <v>4273</v>
      </c>
      <c r="D4887" s="2" t="s">
        <v>4292</v>
      </c>
      <c r="E4887" s="3"/>
    </row>
    <row r="4888" spans="1:5" ht="24.75" customHeight="1">
      <c r="A4888" s="2">
        <v>4886</v>
      </c>
      <c r="B4888" s="2" t="str">
        <f>"卢秋良"</f>
        <v>卢秋良</v>
      </c>
      <c r="C4888" s="2" t="s">
        <v>4273</v>
      </c>
      <c r="D4888" s="2" t="s">
        <v>4293</v>
      </c>
      <c r="E4888" s="3"/>
    </row>
    <row r="4889" spans="1:5" ht="24.75" customHeight="1">
      <c r="A4889" s="2">
        <v>4887</v>
      </c>
      <c r="B4889" s="2" t="str">
        <f>"邓永晓"</f>
        <v>邓永晓</v>
      </c>
      <c r="C4889" s="2" t="s">
        <v>4273</v>
      </c>
      <c r="D4889" s="2" t="s">
        <v>4294</v>
      </c>
      <c r="E4889" s="3"/>
    </row>
    <row r="4890" spans="1:5" ht="24.75" customHeight="1">
      <c r="A4890" s="2">
        <v>4888</v>
      </c>
      <c r="B4890" s="2" t="str">
        <f>"陈春柱"</f>
        <v>陈春柱</v>
      </c>
      <c r="C4890" s="2" t="s">
        <v>4273</v>
      </c>
      <c r="D4890" s="2" t="s">
        <v>2907</v>
      </c>
      <c r="E4890" s="3"/>
    </row>
    <row r="4891" spans="1:5" ht="24.75" customHeight="1">
      <c r="A4891" s="2">
        <v>4889</v>
      </c>
      <c r="B4891" s="2" t="str">
        <f>"吉昆"</f>
        <v>吉昆</v>
      </c>
      <c r="C4891" s="2" t="s">
        <v>4273</v>
      </c>
      <c r="D4891" s="2" t="s">
        <v>4295</v>
      </c>
      <c r="E4891" s="3"/>
    </row>
    <row r="4892" spans="1:5" ht="24.75" customHeight="1">
      <c r="A4892" s="2">
        <v>4890</v>
      </c>
      <c r="B4892" s="2" t="str">
        <f>"谢祥国"</f>
        <v>谢祥国</v>
      </c>
      <c r="C4892" s="2" t="s">
        <v>4273</v>
      </c>
      <c r="D4892" s="2" t="s">
        <v>4296</v>
      </c>
      <c r="E4892" s="3"/>
    </row>
    <row r="4893" spans="1:5" ht="24.75" customHeight="1">
      <c r="A4893" s="2">
        <v>4891</v>
      </c>
      <c r="B4893" s="2" t="str">
        <f>"陈燕利"</f>
        <v>陈燕利</v>
      </c>
      <c r="C4893" s="2" t="s">
        <v>4273</v>
      </c>
      <c r="D4893" s="2" t="s">
        <v>4297</v>
      </c>
      <c r="E4893" s="3"/>
    </row>
    <row r="4894" spans="1:5" ht="24.75" customHeight="1">
      <c r="A4894" s="2">
        <v>4892</v>
      </c>
      <c r="B4894" s="2" t="str">
        <f>"林方玉"</f>
        <v>林方玉</v>
      </c>
      <c r="C4894" s="2" t="s">
        <v>4273</v>
      </c>
      <c r="D4894" s="2" t="s">
        <v>4298</v>
      </c>
      <c r="E4894" s="3"/>
    </row>
    <row r="4895" spans="1:5" ht="24.75" customHeight="1">
      <c r="A4895" s="2">
        <v>4893</v>
      </c>
      <c r="B4895" s="2" t="str">
        <f>"赖道喜"</f>
        <v>赖道喜</v>
      </c>
      <c r="C4895" s="2" t="s">
        <v>4273</v>
      </c>
      <c r="D4895" s="2" t="s">
        <v>4299</v>
      </c>
      <c r="E4895" s="3"/>
    </row>
    <row r="4896" spans="1:5" ht="24.75" customHeight="1">
      <c r="A4896" s="2">
        <v>4894</v>
      </c>
      <c r="B4896" s="2" t="str">
        <f>"张杰"</f>
        <v>张杰</v>
      </c>
      <c r="C4896" s="2" t="s">
        <v>4273</v>
      </c>
      <c r="D4896" s="2" t="s">
        <v>4300</v>
      </c>
      <c r="E4896" s="3"/>
    </row>
    <row r="4897" spans="1:5" ht="24.75" customHeight="1">
      <c r="A4897" s="2">
        <v>4895</v>
      </c>
      <c r="B4897" s="2" t="str">
        <f>"董壮娟"</f>
        <v>董壮娟</v>
      </c>
      <c r="C4897" s="2" t="s">
        <v>4273</v>
      </c>
      <c r="D4897" s="2" t="s">
        <v>4301</v>
      </c>
      <c r="E4897" s="3"/>
    </row>
    <row r="4898" spans="1:5" ht="24.75" customHeight="1">
      <c r="A4898" s="2">
        <v>4896</v>
      </c>
      <c r="B4898" s="2" t="str">
        <f>"林瑞亮"</f>
        <v>林瑞亮</v>
      </c>
      <c r="C4898" s="2" t="s">
        <v>4273</v>
      </c>
      <c r="D4898" s="2" t="s">
        <v>4283</v>
      </c>
      <c r="E4898" s="3"/>
    </row>
    <row r="4899" spans="1:5" ht="24.75" customHeight="1">
      <c r="A4899" s="2">
        <v>4897</v>
      </c>
      <c r="B4899" s="2" t="str">
        <f>"张苏华"</f>
        <v>张苏华</v>
      </c>
      <c r="C4899" s="2" t="s">
        <v>4273</v>
      </c>
      <c r="D4899" s="2" t="s">
        <v>4279</v>
      </c>
      <c r="E4899" s="3"/>
    </row>
    <row r="4900" spans="1:5" ht="24.75" customHeight="1">
      <c r="A4900" s="2">
        <v>4898</v>
      </c>
      <c r="B4900" s="2" t="str">
        <f>"黄信雪"</f>
        <v>黄信雪</v>
      </c>
      <c r="C4900" s="2" t="s">
        <v>4273</v>
      </c>
      <c r="D4900" s="2" t="s">
        <v>2353</v>
      </c>
      <c r="E4900" s="3"/>
    </row>
    <row r="4901" spans="1:5" ht="24.75" customHeight="1">
      <c r="A4901" s="2">
        <v>4899</v>
      </c>
      <c r="B4901" s="2" t="str">
        <f>"符裕仁"</f>
        <v>符裕仁</v>
      </c>
      <c r="C4901" s="2" t="s">
        <v>4273</v>
      </c>
      <c r="D4901" s="2" t="s">
        <v>1673</v>
      </c>
      <c r="E4901" s="3"/>
    </row>
    <row r="4902" spans="1:5" ht="24.75" customHeight="1">
      <c r="A4902" s="2">
        <v>4900</v>
      </c>
      <c r="B4902" s="2" t="str">
        <f>"苏鹏"</f>
        <v>苏鹏</v>
      </c>
      <c r="C4902" s="2" t="s">
        <v>4273</v>
      </c>
      <c r="D4902" s="2" t="s">
        <v>2107</v>
      </c>
      <c r="E4902" s="3"/>
    </row>
    <row r="4903" spans="1:5" ht="24.75" customHeight="1">
      <c r="A4903" s="2">
        <v>4901</v>
      </c>
      <c r="B4903" s="2" t="str">
        <f>"陈靓靓"</f>
        <v>陈靓靓</v>
      </c>
      <c r="C4903" s="2" t="s">
        <v>4273</v>
      </c>
      <c r="D4903" s="2" t="s">
        <v>4302</v>
      </c>
      <c r="E4903" s="3"/>
    </row>
    <row r="4904" spans="1:5" ht="24.75" customHeight="1">
      <c r="A4904" s="2">
        <v>4902</v>
      </c>
      <c r="B4904" s="2" t="str">
        <f>"吉胜"</f>
        <v>吉胜</v>
      </c>
      <c r="C4904" s="2" t="s">
        <v>4273</v>
      </c>
      <c r="D4904" s="2" t="s">
        <v>4303</v>
      </c>
      <c r="E4904" s="3"/>
    </row>
    <row r="4905" spans="1:5" ht="24.75" customHeight="1">
      <c r="A4905" s="2">
        <v>4903</v>
      </c>
      <c r="B4905" s="2" t="str">
        <f>"翁裕琳"</f>
        <v>翁裕琳</v>
      </c>
      <c r="C4905" s="2" t="s">
        <v>4273</v>
      </c>
      <c r="D4905" s="2" t="s">
        <v>1772</v>
      </c>
      <c r="E4905" s="3"/>
    </row>
    <row r="4906" spans="1:5" ht="24.75" customHeight="1">
      <c r="A4906" s="2">
        <v>4904</v>
      </c>
      <c r="B4906" s="2" t="str">
        <f>"张海燕"</f>
        <v>张海燕</v>
      </c>
      <c r="C4906" s="2" t="s">
        <v>4304</v>
      </c>
      <c r="D4906" s="2" t="s">
        <v>4305</v>
      </c>
      <c r="E4906" s="3"/>
    </row>
    <row r="4907" spans="1:5" ht="24.75" customHeight="1">
      <c r="A4907" s="2">
        <v>4905</v>
      </c>
      <c r="B4907" s="2" t="str">
        <f>"赵羽娴"</f>
        <v>赵羽娴</v>
      </c>
      <c r="C4907" s="2" t="s">
        <v>4304</v>
      </c>
      <c r="D4907" s="2" t="s">
        <v>4306</v>
      </c>
      <c r="E4907" s="3"/>
    </row>
    <row r="4908" spans="1:5" ht="24.75" customHeight="1">
      <c r="A4908" s="2">
        <v>4906</v>
      </c>
      <c r="B4908" s="2" t="str">
        <f>"符丽莎"</f>
        <v>符丽莎</v>
      </c>
      <c r="C4908" s="2" t="s">
        <v>4304</v>
      </c>
      <c r="D4908" s="2" t="s">
        <v>4307</v>
      </c>
      <c r="E4908" s="3"/>
    </row>
    <row r="4909" spans="1:5" ht="24.75" customHeight="1">
      <c r="A4909" s="2">
        <v>4907</v>
      </c>
      <c r="B4909" s="2" t="str">
        <f>"符香慧"</f>
        <v>符香慧</v>
      </c>
      <c r="C4909" s="2" t="s">
        <v>4304</v>
      </c>
      <c r="D4909" s="2" t="s">
        <v>4308</v>
      </c>
      <c r="E4909" s="3"/>
    </row>
    <row r="4910" spans="1:5" ht="24.75" customHeight="1">
      <c r="A4910" s="2">
        <v>4908</v>
      </c>
      <c r="B4910" s="2" t="str">
        <f>"蒙潇"</f>
        <v>蒙潇</v>
      </c>
      <c r="C4910" s="2" t="s">
        <v>4304</v>
      </c>
      <c r="D4910" s="2" t="s">
        <v>4309</v>
      </c>
      <c r="E4910" s="3"/>
    </row>
    <row r="4911" spans="1:5" ht="24.75" customHeight="1">
      <c r="A4911" s="2">
        <v>4909</v>
      </c>
      <c r="B4911" s="2" t="str">
        <f>"陈国玉"</f>
        <v>陈国玉</v>
      </c>
      <c r="C4911" s="2" t="s">
        <v>4304</v>
      </c>
      <c r="D4911" s="2" t="s">
        <v>4310</v>
      </c>
      <c r="E4911" s="3"/>
    </row>
    <row r="4912" spans="1:5" ht="24.75" customHeight="1">
      <c r="A4912" s="2">
        <v>4910</v>
      </c>
      <c r="B4912" s="2" t="str">
        <f>"符婷婷"</f>
        <v>符婷婷</v>
      </c>
      <c r="C4912" s="2" t="s">
        <v>4304</v>
      </c>
      <c r="D4912" s="2" t="s">
        <v>4311</v>
      </c>
      <c r="E4912" s="3"/>
    </row>
    <row r="4913" spans="1:5" ht="24.75" customHeight="1">
      <c r="A4913" s="2">
        <v>4911</v>
      </c>
      <c r="B4913" s="2" t="str">
        <f>"唐美燕"</f>
        <v>唐美燕</v>
      </c>
      <c r="C4913" s="2" t="s">
        <v>4304</v>
      </c>
      <c r="D4913" s="2" t="s">
        <v>4312</v>
      </c>
      <c r="E4913" s="3"/>
    </row>
    <row r="4914" spans="1:5" ht="24.75" customHeight="1">
      <c r="A4914" s="2">
        <v>4912</v>
      </c>
      <c r="B4914" s="2" t="str">
        <f>"符睿琪"</f>
        <v>符睿琪</v>
      </c>
      <c r="C4914" s="2" t="s">
        <v>4304</v>
      </c>
      <c r="D4914" s="2" t="s">
        <v>4313</v>
      </c>
      <c r="E4914" s="3"/>
    </row>
    <row r="4915" spans="1:5" ht="24.75" customHeight="1">
      <c r="A4915" s="2">
        <v>4913</v>
      </c>
      <c r="B4915" s="2" t="str">
        <f>"陈飞雪"</f>
        <v>陈飞雪</v>
      </c>
      <c r="C4915" s="2" t="s">
        <v>4304</v>
      </c>
      <c r="D4915" s="2" t="s">
        <v>4314</v>
      </c>
      <c r="E4915" s="3"/>
    </row>
    <row r="4916" spans="1:5" ht="24.75" customHeight="1">
      <c r="A4916" s="2">
        <v>4914</v>
      </c>
      <c r="B4916" s="2" t="str">
        <f>"吉祥宇"</f>
        <v>吉祥宇</v>
      </c>
      <c r="C4916" s="2" t="s">
        <v>4315</v>
      </c>
      <c r="D4916" s="2" t="s">
        <v>4316</v>
      </c>
      <c r="E4916" s="3"/>
    </row>
    <row r="4917" spans="1:5" ht="24.75" customHeight="1">
      <c r="A4917" s="2">
        <v>4915</v>
      </c>
      <c r="B4917" s="2" t="str">
        <f>"黄柔静"</f>
        <v>黄柔静</v>
      </c>
      <c r="C4917" s="2" t="s">
        <v>4315</v>
      </c>
      <c r="D4917" s="2" t="s">
        <v>4317</v>
      </c>
      <c r="E4917" s="3"/>
    </row>
    <row r="4918" spans="1:5" ht="24.75" customHeight="1">
      <c r="A4918" s="2">
        <v>4916</v>
      </c>
      <c r="B4918" s="2" t="str">
        <f>"陶昌立"</f>
        <v>陶昌立</v>
      </c>
      <c r="C4918" s="2" t="s">
        <v>4315</v>
      </c>
      <c r="D4918" s="2" t="s">
        <v>4318</v>
      </c>
      <c r="E4918" s="3"/>
    </row>
    <row r="4919" spans="1:5" ht="24.75" customHeight="1">
      <c r="A4919" s="2">
        <v>4917</v>
      </c>
      <c r="B4919" s="2" t="str">
        <f>"郭洪伟"</f>
        <v>郭洪伟</v>
      </c>
      <c r="C4919" s="2" t="s">
        <v>4315</v>
      </c>
      <c r="D4919" s="2" t="s">
        <v>455</v>
      </c>
      <c r="E4919" s="3"/>
    </row>
    <row r="4920" spans="1:5" ht="24.75" customHeight="1">
      <c r="A4920" s="2">
        <v>4918</v>
      </c>
      <c r="B4920" s="2" t="str">
        <f>"吉家航"</f>
        <v>吉家航</v>
      </c>
      <c r="C4920" s="2" t="s">
        <v>4315</v>
      </c>
      <c r="D4920" s="2" t="s">
        <v>2374</v>
      </c>
      <c r="E4920" s="3"/>
    </row>
    <row r="4921" spans="1:5" ht="24.75" customHeight="1">
      <c r="A4921" s="2">
        <v>4919</v>
      </c>
      <c r="B4921" s="2" t="str">
        <f>"吉训举"</f>
        <v>吉训举</v>
      </c>
      <c r="C4921" s="2" t="s">
        <v>4315</v>
      </c>
      <c r="D4921" s="2" t="s">
        <v>4319</v>
      </c>
      <c r="E4921" s="3"/>
    </row>
    <row r="4922" spans="1:5" ht="24.75" customHeight="1">
      <c r="A4922" s="2">
        <v>4920</v>
      </c>
      <c r="B4922" s="2" t="str">
        <f>"赵继亮"</f>
        <v>赵继亮</v>
      </c>
      <c r="C4922" s="2" t="s">
        <v>4315</v>
      </c>
      <c r="D4922" s="2" t="s">
        <v>4320</v>
      </c>
      <c r="E4922" s="3"/>
    </row>
    <row r="4923" spans="1:5" ht="24.75" customHeight="1">
      <c r="A4923" s="2">
        <v>4921</v>
      </c>
      <c r="B4923" s="2" t="str">
        <f>"陆明哲"</f>
        <v>陆明哲</v>
      </c>
      <c r="C4923" s="2" t="s">
        <v>4315</v>
      </c>
      <c r="D4923" s="2" t="s">
        <v>1713</v>
      </c>
      <c r="E4923" s="3"/>
    </row>
    <row r="4924" spans="1:5" ht="24.75" customHeight="1">
      <c r="A4924" s="2">
        <v>4922</v>
      </c>
      <c r="B4924" s="2" t="str">
        <f>"黄祥鹏"</f>
        <v>黄祥鹏</v>
      </c>
      <c r="C4924" s="2" t="s">
        <v>4315</v>
      </c>
      <c r="D4924" s="2" t="s">
        <v>4289</v>
      </c>
      <c r="E4924" s="3"/>
    </row>
    <row r="4925" spans="1:5" ht="24.75" customHeight="1">
      <c r="A4925" s="2">
        <v>4923</v>
      </c>
      <c r="B4925" s="2" t="str">
        <f>"符贤明"</f>
        <v>符贤明</v>
      </c>
      <c r="C4925" s="2" t="s">
        <v>4315</v>
      </c>
      <c r="D4925" s="2" t="s">
        <v>4321</v>
      </c>
      <c r="E4925" s="3"/>
    </row>
    <row r="4926" spans="1:5" ht="24.75" customHeight="1">
      <c r="A4926" s="2">
        <v>4924</v>
      </c>
      <c r="B4926" s="2" t="str">
        <f>"符秀锦"</f>
        <v>符秀锦</v>
      </c>
      <c r="C4926" s="2" t="s">
        <v>4315</v>
      </c>
      <c r="D4926" s="2" t="s">
        <v>4322</v>
      </c>
      <c r="E4926" s="3"/>
    </row>
    <row r="4927" spans="1:5" ht="24.75" customHeight="1">
      <c r="A4927" s="2">
        <v>4925</v>
      </c>
      <c r="B4927" s="2" t="str">
        <f>"高文宇"</f>
        <v>高文宇</v>
      </c>
      <c r="C4927" s="2" t="s">
        <v>4315</v>
      </c>
      <c r="D4927" s="2" t="s">
        <v>4323</v>
      </c>
      <c r="E4927" s="3"/>
    </row>
    <row r="4928" spans="1:5" ht="24.75" customHeight="1">
      <c r="A4928" s="2">
        <v>4926</v>
      </c>
      <c r="B4928" s="2" t="str">
        <f>"陈建宇"</f>
        <v>陈建宇</v>
      </c>
      <c r="C4928" s="2" t="s">
        <v>4315</v>
      </c>
      <c r="D4928" s="2" t="s">
        <v>1455</v>
      </c>
      <c r="E4928" s="3"/>
    </row>
    <row r="4929" spans="1:5" ht="24.75" customHeight="1">
      <c r="A4929" s="2">
        <v>4927</v>
      </c>
      <c r="B4929" s="2" t="str">
        <f>"苏健品"</f>
        <v>苏健品</v>
      </c>
      <c r="C4929" s="2" t="s">
        <v>4315</v>
      </c>
      <c r="D4929" s="2" t="s">
        <v>4324</v>
      </c>
      <c r="E4929" s="3"/>
    </row>
    <row r="4930" spans="1:5" ht="24.75" customHeight="1">
      <c r="A4930" s="2">
        <v>4928</v>
      </c>
      <c r="B4930" s="2" t="str">
        <f>"唐成强"</f>
        <v>唐成强</v>
      </c>
      <c r="C4930" s="2" t="s">
        <v>4315</v>
      </c>
      <c r="D4930" s="2" t="s">
        <v>4325</v>
      </c>
      <c r="E4930" s="3"/>
    </row>
    <row r="4931" spans="1:5" ht="24.75" customHeight="1">
      <c r="A4931" s="2">
        <v>4929</v>
      </c>
      <c r="B4931" s="2" t="str">
        <f>"秦肇鸿"</f>
        <v>秦肇鸿</v>
      </c>
      <c r="C4931" s="2" t="s">
        <v>4315</v>
      </c>
      <c r="D4931" s="2" t="s">
        <v>4326</v>
      </c>
      <c r="E4931" s="3"/>
    </row>
    <row r="4932" spans="1:5" ht="24.75" customHeight="1">
      <c r="A4932" s="2">
        <v>4930</v>
      </c>
      <c r="B4932" s="2" t="str">
        <f>"罗香"</f>
        <v>罗香</v>
      </c>
      <c r="C4932" s="2" t="s">
        <v>4315</v>
      </c>
      <c r="D4932" s="2" t="s">
        <v>4327</v>
      </c>
      <c r="E4932" s="3"/>
    </row>
    <row r="4933" spans="1:5" ht="24.75" customHeight="1">
      <c r="A4933" s="2">
        <v>4931</v>
      </c>
      <c r="B4933" s="2" t="str">
        <f>"陈运昊"</f>
        <v>陈运昊</v>
      </c>
      <c r="C4933" s="2" t="s">
        <v>4315</v>
      </c>
      <c r="D4933" s="2" t="s">
        <v>4328</v>
      </c>
      <c r="E4933" s="3"/>
    </row>
    <row r="4934" spans="1:5" ht="24.75" customHeight="1">
      <c r="A4934" s="2">
        <v>4932</v>
      </c>
      <c r="B4934" s="2" t="str">
        <f>"林正锦"</f>
        <v>林正锦</v>
      </c>
      <c r="C4934" s="2" t="s">
        <v>4315</v>
      </c>
      <c r="D4934" s="2" t="s">
        <v>4329</v>
      </c>
      <c r="E4934" s="3"/>
    </row>
    <row r="4935" spans="1:5" ht="24.75" customHeight="1">
      <c r="A4935" s="2">
        <v>4933</v>
      </c>
      <c r="B4935" s="2" t="str">
        <f>"钟章妹"</f>
        <v>钟章妹</v>
      </c>
      <c r="C4935" s="2" t="s">
        <v>4315</v>
      </c>
      <c r="D4935" s="2" t="s">
        <v>4330</v>
      </c>
      <c r="E4935" s="3"/>
    </row>
    <row r="4936" spans="1:5" ht="24.75" customHeight="1">
      <c r="A4936" s="2">
        <v>4934</v>
      </c>
      <c r="B4936" s="2" t="str">
        <f>"符广任"</f>
        <v>符广任</v>
      </c>
      <c r="C4936" s="2" t="s">
        <v>4315</v>
      </c>
      <c r="D4936" s="2" t="s">
        <v>495</v>
      </c>
      <c r="E4936" s="3"/>
    </row>
    <row r="4937" spans="1:5" ht="24.75" customHeight="1">
      <c r="A4937" s="2">
        <v>4935</v>
      </c>
      <c r="B4937" s="2" t="str">
        <f>"陈麒凌"</f>
        <v>陈麒凌</v>
      </c>
      <c r="C4937" s="2" t="s">
        <v>4315</v>
      </c>
      <c r="D4937" s="2" t="s">
        <v>4331</v>
      </c>
      <c r="E4937" s="3"/>
    </row>
    <row r="4938" spans="1:5" ht="24.75" customHeight="1">
      <c r="A4938" s="2">
        <v>4936</v>
      </c>
      <c r="B4938" s="2" t="str">
        <f>"黎婧婧"</f>
        <v>黎婧婧</v>
      </c>
      <c r="C4938" s="2" t="s">
        <v>4315</v>
      </c>
      <c r="D4938" s="2" t="s">
        <v>4332</v>
      </c>
      <c r="E4938" s="3"/>
    </row>
    <row r="4939" spans="1:5" ht="24.75" customHeight="1">
      <c r="A4939" s="2">
        <v>4937</v>
      </c>
      <c r="B4939" s="2" t="str">
        <f>"王康华"</f>
        <v>王康华</v>
      </c>
      <c r="C4939" s="2" t="s">
        <v>4315</v>
      </c>
      <c r="D4939" s="2" t="s">
        <v>4333</v>
      </c>
      <c r="E4939" s="3"/>
    </row>
    <row r="4940" spans="1:5" ht="24.75" customHeight="1">
      <c r="A4940" s="2">
        <v>4938</v>
      </c>
      <c r="B4940" s="2" t="str">
        <f>"刘小姣"</f>
        <v>刘小姣</v>
      </c>
      <c r="C4940" s="2" t="s">
        <v>4315</v>
      </c>
      <c r="D4940" s="2" t="s">
        <v>4334</v>
      </c>
      <c r="E4940" s="3"/>
    </row>
    <row r="4941" spans="1:5" ht="24.75" customHeight="1">
      <c r="A4941" s="2">
        <v>4939</v>
      </c>
      <c r="B4941" s="2" t="str">
        <f>"文名"</f>
        <v>文名</v>
      </c>
      <c r="C4941" s="2" t="s">
        <v>4315</v>
      </c>
      <c r="D4941" s="2" t="s">
        <v>4335</v>
      </c>
      <c r="E4941" s="3"/>
    </row>
    <row r="4942" spans="1:5" ht="24.75" customHeight="1">
      <c r="A4942" s="2">
        <v>4940</v>
      </c>
      <c r="B4942" s="2" t="str">
        <f>"赵开源"</f>
        <v>赵开源</v>
      </c>
      <c r="C4942" s="2" t="s">
        <v>4315</v>
      </c>
      <c r="D4942" s="2" t="s">
        <v>4336</v>
      </c>
      <c r="E4942" s="3"/>
    </row>
    <row r="4943" spans="1:5" ht="24.75" customHeight="1">
      <c r="A4943" s="2">
        <v>4941</v>
      </c>
      <c r="B4943" s="2" t="str">
        <f>"董硕硕"</f>
        <v>董硕硕</v>
      </c>
      <c r="C4943" s="2" t="s">
        <v>4315</v>
      </c>
      <c r="D4943" s="2" t="s">
        <v>4337</v>
      </c>
      <c r="E4943" s="3"/>
    </row>
    <row r="4944" spans="1:5" ht="24.75" customHeight="1">
      <c r="A4944" s="2">
        <v>4942</v>
      </c>
      <c r="B4944" s="2" t="str">
        <f>"吴肖候"</f>
        <v>吴肖候</v>
      </c>
      <c r="C4944" s="2" t="s">
        <v>4315</v>
      </c>
      <c r="D4944" s="2" t="s">
        <v>4338</v>
      </c>
      <c r="E4944" s="3"/>
    </row>
    <row r="4945" spans="1:5" ht="24.75" customHeight="1">
      <c r="A4945" s="2">
        <v>4943</v>
      </c>
      <c r="B4945" s="2" t="str">
        <f>"吴祖标"</f>
        <v>吴祖标</v>
      </c>
      <c r="C4945" s="2" t="s">
        <v>4315</v>
      </c>
      <c r="D4945" s="2" t="s">
        <v>4339</v>
      </c>
      <c r="E4945" s="3"/>
    </row>
    <row r="4946" spans="1:5" ht="24.75" customHeight="1">
      <c r="A4946" s="2">
        <v>4944</v>
      </c>
      <c r="B4946" s="2" t="str">
        <f>"李维良"</f>
        <v>李维良</v>
      </c>
      <c r="C4946" s="2" t="s">
        <v>4315</v>
      </c>
      <c r="D4946" s="2" t="s">
        <v>4340</v>
      </c>
      <c r="E4946" s="3"/>
    </row>
    <row r="4947" spans="1:5" ht="24.75" customHeight="1">
      <c r="A4947" s="2">
        <v>4945</v>
      </c>
      <c r="B4947" s="2" t="str">
        <f>"黄海莲"</f>
        <v>黄海莲</v>
      </c>
      <c r="C4947" s="2" t="s">
        <v>4315</v>
      </c>
      <c r="D4947" s="2" t="s">
        <v>4341</v>
      </c>
      <c r="E4947" s="3"/>
    </row>
    <row r="4948" spans="1:5" ht="24.75" customHeight="1">
      <c r="A4948" s="2">
        <v>4946</v>
      </c>
      <c r="B4948" s="2" t="str">
        <f>"王文利"</f>
        <v>王文利</v>
      </c>
      <c r="C4948" s="2" t="s">
        <v>4315</v>
      </c>
      <c r="D4948" s="2" t="s">
        <v>4335</v>
      </c>
      <c r="E4948" s="3"/>
    </row>
    <row r="4949" spans="1:5" ht="24.75" customHeight="1">
      <c r="A4949" s="2">
        <v>4947</v>
      </c>
      <c r="B4949" s="2" t="str">
        <f>"赵志伟"</f>
        <v>赵志伟</v>
      </c>
      <c r="C4949" s="2" t="s">
        <v>4315</v>
      </c>
      <c r="D4949" s="2" t="s">
        <v>658</v>
      </c>
      <c r="E4949" s="3"/>
    </row>
    <row r="4950" spans="1:5" ht="24.75" customHeight="1">
      <c r="A4950" s="2">
        <v>4948</v>
      </c>
      <c r="B4950" s="2" t="str">
        <f>"韦慧婷"</f>
        <v>韦慧婷</v>
      </c>
      <c r="C4950" s="2" t="s">
        <v>4315</v>
      </c>
      <c r="D4950" s="2" t="s">
        <v>4342</v>
      </c>
      <c r="E4950" s="3"/>
    </row>
    <row r="4951" spans="1:5" ht="24.75" customHeight="1">
      <c r="A4951" s="2">
        <v>4949</v>
      </c>
      <c r="B4951" s="2" t="str">
        <f>"郭盛瑜"</f>
        <v>郭盛瑜</v>
      </c>
      <c r="C4951" s="2" t="s">
        <v>4315</v>
      </c>
      <c r="D4951" s="2" t="s">
        <v>4343</v>
      </c>
      <c r="E4951" s="3"/>
    </row>
    <row r="4952" spans="1:5" ht="24.75" customHeight="1">
      <c r="A4952" s="2">
        <v>4950</v>
      </c>
      <c r="B4952" s="2" t="str">
        <f>"周道德"</f>
        <v>周道德</v>
      </c>
      <c r="C4952" s="2" t="s">
        <v>4315</v>
      </c>
      <c r="D4952" s="2" t="s">
        <v>4344</v>
      </c>
      <c r="E4952" s="3"/>
    </row>
    <row r="4953" spans="1:5" ht="24.75" customHeight="1">
      <c r="A4953" s="2">
        <v>4951</v>
      </c>
      <c r="B4953" s="2" t="str">
        <f>"孟春兴"</f>
        <v>孟春兴</v>
      </c>
      <c r="C4953" s="2" t="s">
        <v>4315</v>
      </c>
      <c r="D4953" s="2" t="s">
        <v>2466</v>
      </c>
      <c r="E4953" s="3"/>
    </row>
    <row r="4954" spans="1:5" ht="24.75" customHeight="1">
      <c r="A4954" s="2">
        <v>4952</v>
      </c>
      <c r="B4954" s="2" t="str">
        <f>"林亚里"</f>
        <v>林亚里</v>
      </c>
      <c r="C4954" s="2" t="s">
        <v>4315</v>
      </c>
      <c r="D4954" s="2" t="s">
        <v>4345</v>
      </c>
      <c r="E4954" s="3"/>
    </row>
    <row r="4955" spans="1:5" ht="24.75" customHeight="1">
      <c r="A4955" s="2">
        <v>4953</v>
      </c>
      <c r="B4955" s="2" t="str">
        <f>"陈仕燕"</f>
        <v>陈仕燕</v>
      </c>
      <c r="C4955" s="2" t="s">
        <v>4346</v>
      </c>
      <c r="D4955" s="2" t="s">
        <v>4347</v>
      </c>
      <c r="E4955" s="3"/>
    </row>
    <row r="4956" spans="1:5" ht="24.75" customHeight="1">
      <c r="A4956" s="2">
        <v>4954</v>
      </c>
      <c r="B4956" s="2" t="str">
        <f>"吉梦瑶"</f>
        <v>吉梦瑶</v>
      </c>
      <c r="C4956" s="2" t="s">
        <v>4346</v>
      </c>
      <c r="D4956" s="2" t="s">
        <v>3718</v>
      </c>
      <c r="E4956" s="3"/>
    </row>
    <row r="4957" spans="1:5" ht="24.75" customHeight="1">
      <c r="A4957" s="2">
        <v>4955</v>
      </c>
      <c r="B4957" s="2" t="str">
        <f>"羊彩柳"</f>
        <v>羊彩柳</v>
      </c>
      <c r="C4957" s="2" t="s">
        <v>4346</v>
      </c>
      <c r="D4957" s="2" t="s">
        <v>4348</v>
      </c>
      <c r="E4957" s="3"/>
    </row>
    <row r="4958" spans="1:5" ht="24.75" customHeight="1">
      <c r="A4958" s="2">
        <v>4956</v>
      </c>
      <c r="B4958" s="2" t="str">
        <f>"范秀恺"</f>
        <v>范秀恺</v>
      </c>
      <c r="C4958" s="2" t="s">
        <v>4346</v>
      </c>
      <c r="D4958" s="2" t="s">
        <v>3271</v>
      </c>
      <c r="E4958" s="3"/>
    </row>
    <row r="4959" spans="1:5" ht="24.75" customHeight="1">
      <c r="A4959" s="2">
        <v>4957</v>
      </c>
      <c r="B4959" s="2" t="str">
        <f>"符日东"</f>
        <v>符日东</v>
      </c>
      <c r="C4959" s="2" t="s">
        <v>4346</v>
      </c>
      <c r="D4959" s="2" t="s">
        <v>4349</v>
      </c>
      <c r="E4959" s="3"/>
    </row>
    <row r="4960" spans="1:5" ht="24.75" customHeight="1">
      <c r="A4960" s="2">
        <v>4958</v>
      </c>
      <c r="B4960" s="2" t="str">
        <f>"刘靖"</f>
        <v>刘靖</v>
      </c>
      <c r="C4960" s="2" t="s">
        <v>4346</v>
      </c>
      <c r="D4960" s="2" t="s">
        <v>4350</v>
      </c>
      <c r="E4960" s="3"/>
    </row>
    <row r="4961" spans="1:5" ht="24.75" customHeight="1">
      <c r="A4961" s="2">
        <v>4959</v>
      </c>
      <c r="B4961" s="2" t="str">
        <f>"林曼雅"</f>
        <v>林曼雅</v>
      </c>
      <c r="C4961" s="2" t="s">
        <v>4346</v>
      </c>
      <c r="D4961" s="2" t="s">
        <v>4351</v>
      </c>
      <c r="E4961" s="3"/>
    </row>
    <row r="4962" spans="1:5" ht="24.75" customHeight="1">
      <c r="A4962" s="2">
        <v>4960</v>
      </c>
      <c r="B4962" s="2" t="str">
        <f>"符康妹"</f>
        <v>符康妹</v>
      </c>
      <c r="C4962" s="2" t="s">
        <v>4346</v>
      </c>
      <c r="D4962" s="2" t="s">
        <v>4352</v>
      </c>
      <c r="E4962" s="3"/>
    </row>
    <row r="4963" spans="1:5" ht="24.75" customHeight="1">
      <c r="A4963" s="2">
        <v>4961</v>
      </c>
      <c r="B4963" s="2" t="str">
        <f>"贾桐轩"</f>
        <v>贾桐轩</v>
      </c>
      <c r="C4963" s="2" t="s">
        <v>4346</v>
      </c>
      <c r="D4963" s="2" t="s">
        <v>4353</v>
      </c>
      <c r="E4963" s="3"/>
    </row>
    <row r="4964" spans="1:5" ht="24.75" customHeight="1">
      <c r="A4964" s="2">
        <v>4962</v>
      </c>
      <c r="B4964" s="2" t="str">
        <f>"盛诗莹"</f>
        <v>盛诗莹</v>
      </c>
      <c r="C4964" s="2" t="s">
        <v>4346</v>
      </c>
      <c r="D4964" s="2" t="s">
        <v>4354</v>
      </c>
      <c r="E4964" s="3"/>
    </row>
    <row r="4965" spans="1:5" ht="24.75" customHeight="1">
      <c r="A4965" s="2">
        <v>4963</v>
      </c>
      <c r="B4965" s="2" t="str">
        <f>"黄景德"</f>
        <v>黄景德</v>
      </c>
      <c r="C4965" s="2" t="s">
        <v>4346</v>
      </c>
      <c r="D4965" s="2" t="s">
        <v>1063</v>
      </c>
      <c r="E4965" s="3"/>
    </row>
    <row r="4966" spans="1:5" ht="24.75" customHeight="1">
      <c r="A4966" s="2">
        <v>4964</v>
      </c>
      <c r="B4966" s="2" t="str">
        <f>"符佳"</f>
        <v>符佳</v>
      </c>
      <c r="C4966" s="2" t="s">
        <v>4346</v>
      </c>
      <c r="D4966" s="2" t="s">
        <v>4355</v>
      </c>
      <c r="E4966" s="3"/>
    </row>
    <row r="4967" spans="1:5" ht="24.75" customHeight="1">
      <c r="A4967" s="2">
        <v>4965</v>
      </c>
      <c r="B4967" s="2" t="str">
        <f>"王磊"</f>
        <v>王磊</v>
      </c>
      <c r="C4967" s="2" t="s">
        <v>4346</v>
      </c>
      <c r="D4967" s="2" t="s">
        <v>4356</v>
      </c>
      <c r="E4967" s="3"/>
    </row>
    <row r="4968" spans="1:5" ht="24.75" customHeight="1">
      <c r="A4968" s="2">
        <v>4966</v>
      </c>
      <c r="B4968" s="2" t="str">
        <f>"李文雄"</f>
        <v>李文雄</v>
      </c>
      <c r="C4968" s="2" t="s">
        <v>4346</v>
      </c>
      <c r="D4968" s="2" t="s">
        <v>4357</v>
      </c>
      <c r="E4968" s="3"/>
    </row>
    <row r="4969" spans="1:5" ht="24.75" customHeight="1">
      <c r="A4969" s="2">
        <v>4967</v>
      </c>
      <c r="B4969" s="2" t="str">
        <f>"李壮夫"</f>
        <v>李壮夫</v>
      </c>
      <c r="C4969" s="2" t="s">
        <v>4346</v>
      </c>
      <c r="D4969" s="2" t="s">
        <v>1598</v>
      </c>
      <c r="E4969" s="3"/>
    </row>
    <row r="4970" spans="1:5" ht="24.75" customHeight="1">
      <c r="A4970" s="2">
        <v>4968</v>
      </c>
      <c r="B4970" s="2" t="str">
        <f>"刘顺纬"</f>
        <v>刘顺纬</v>
      </c>
      <c r="C4970" s="2" t="s">
        <v>4346</v>
      </c>
      <c r="D4970" s="2" t="s">
        <v>4358</v>
      </c>
      <c r="E4970" s="3"/>
    </row>
    <row r="4971" spans="1:5" ht="24.75" customHeight="1">
      <c r="A4971" s="2">
        <v>4969</v>
      </c>
      <c r="B4971" s="2" t="str">
        <f>"李昌是"</f>
        <v>李昌是</v>
      </c>
      <c r="C4971" s="2" t="s">
        <v>4359</v>
      </c>
      <c r="D4971" s="2" t="s">
        <v>4360</v>
      </c>
      <c r="E4971" s="3"/>
    </row>
    <row r="4972" spans="1:5" ht="24.75" customHeight="1">
      <c r="A4972" s="2">
        <v>4970</v>
      </c>
      <c r="B4972" s="2" t="str">
        <f>"曾雅芳"</f>
        <v>曾雅芳</v>
      </c>
      <c r="C4972" s="2" t="s">
        <v>4359</v>
      </c>
      <c r="D4972" s="2" t="s">
        <v>4361</v>
      </c>
      <c r="E4972" s="3"/>
    </row>
    <row r="4973" spans="1:5" ht="24.75" customHeight="1">
      <c r="A4973" s="2">
        <v>4971</v>
      </c>
      <c r="B4973" s="2" t="str">
        <f>"羊萍"</f>
        <v>羊萍</v>
      </c>
      <c r="C4973" s="2" t="s">
        <v>4359</v>
      </c>
      <c r="D4973" s="2" t="s">
        <v>3783</v>
      </c>
      <c r="E4973" s="3"/>
    </row>
    <row r="4974" spans="1:5" ht="24.75" customHeight="1">
      <c r="A4974" s="2">
        <v>4972</v>
      </c>
      <c r="B4974" s="2" t="str">
        <f>"李广彩"</f>
        <v>李广彩</v>
      </c>
      <c r="C4974" s="2" t="s">
        <v>4359</v>
      </c>
      <c r="D4974" s="2" t="s">
        <v>4362</v>
      </c>
      <c r="E4974" s="3"/>
    </row>
    <row r="4975" spans="1:5" ht="24.75" customHeight="1">
      <c r="A4975" s="2">
        <v>4973</v>
      </c>
      <c r="B4975" s="2" t="str">
        <f>"符雅丹"</f>
        <v>符雅丹</v>
      </c>
      <c r="C4975" s="2" t="s">
        <v>4359</v>
      </c>
      <c r="D4975" s="2" t="s">
        <v>4363</v>
      </c>
      <c r="E4975" s="3"/>
    </row>
    <row r="4976" spans="1:5" ht="24.75" customHeight="1">
      <c r="A4976" s="2">
        <v>4974</v>
      </c>
      <c r="B4976" s="2" t="str">
        <f>"杨芳"</f>
        <v>杨芳</v>
      </c>
      <c r="C4976" s="2" t="s">
        <v>4359</v>
      </c>
      <c r="D4976" s="2" t="s">
        <v>3345</v>
      </c>
      <c r="E4976" s="3"/>
    </row>
    <row r="4977" spans="1:5" ht="24.75" customHeight="1">
      <c r="A4977" s="2">
        <v>4975</v>
      </c>
      <c r="B4977" s="2" t="str">
        <f>"吴姑来"</f>
        <v>吴姑来</v>
      </c>
      <c r="C4977" s="2" t="s">
        <v>4359</v>
      </c>
      <c r="D4977" s="2" t="s">
        <v>2350</v>
      </c>
      <c r="E4977" s="3"/>
    </row>
    <row r="4978" spans="1:5" ht="24.75" customHeight="1">
      <c r="A4978" s="2">
        <v>4976</v>
      </c>
      <c r="B4978" s="2" t="str">
        <f>"李豫"</f>
        <v>李豫</v>
      </c>
      <c r="C4978" s="2" t="s">
        <v>4359</v>
      </c>
      <c r="D4978" s="2" t="s">
        <v>3844</v>
      </c>
      <c r="E4978" s="3"/>
    </row>
    <row r="4979" spans="1:5" ht="24.75" customHeight="1">
      <c r="A4979" s="2">
        <v>4977</v>
      </c>
      <c r="B4979" s="2" t="str">
        <f>"王璟文"</f>
        <v>王璟文</v>
      </c>
      <c r="C4979" s="2" t="s">
        <v>4359</v>
      </c>
      <c r="D4979" s="2" t="s">
        <v>2906</v>
      </c>
      <c r="E4979" s="3"/>
    </row>
    <row r="4980" spans="1:5" ht="24.75" customHeight="1">
      <c r="A4980" s="2">
        <v>4978</v>
      </c>
      <c r="B4980" s="2" t="str">
        <f>"黄先婷"</f>
        <v>黄先婷</v>
      </c>
      <c r="C4980" s="2" t="s">
        <v>4359</v>
      </c>
      <c r="D4980" s="2" t="s">
        <v>4364</v>
      </c>
      <c r="E4980" s="3"/>
    </row>
    <row r="4981" spans="1:5" ht="24.75" customHeight="1">
      <c r="A4981" s="2">
        <v>4979</v>
      </c>
      <c r="B4981" s="2" t="str">
        <f>"陈泽"</f>
        <v>陈泽</v>
      </c>
      <c r="C4981" s="2" t="s">
        <v>4359</v>
      </c>
      <c r="D4981" s="2" t="s">
        <v>4365</v>
      </c>
      <c r="E4981" s="3"/>
    </row>
    <row r="4982" spans="1:5" ht="24.75" customHeight="1">
      <c r="A4982" s="2">
        <v>4980</v>
      </c>
      <c r="B4982" s="2" t="str">
        <f>"陈太咪"</f>
        <v>陈太咪</v>
      </c>
      <c r="C4982" s="2" t="s">
        <v>4359</v>
      </c>
      <c r="D4982" s="2" t="s">
        <v>4366</v>
      </c>
      <c r="E4982" s="3"/>
    </row>
    <row r="4983" spans="1:5" ht="24.75" customHeight="1">
      <c r="A4983" s="2">
        <v>4981</v>
      </c>
      <c r="B4983" s="2" t="str">
        <f>"周启望"</f>
        <v>周启望</v>
      </c>
      <c r="C4983" s="2" t="s">
        <v>4359</v>
      </c>
      <c r="D4983" s="2" t="s">
        <v>4367</v>
      </c>
      <c r="E4983" s="3"/>
    </row>
    <row r="4984" spans="1:5" ht="24.75" customHeight="1">
      <c r="A4984" s="2">
        <v>4982</v>
      </c>
      <c r="B4984" s="2" t="str">
        <f>"谭江连"</f>
        <v>谭江连</v>
      </c>
      <c r="C4984" s="2" t="s">
        <v>4359</v>
      </c>
      <c r="D4984" s="2" t="s">
        <v>4368</v>
      </c>
      <c r="E4984" s="3"/>
    </row>
    <row r="4985" spans="1:5" ht="24.75" customHeight="1">
      <c r="A4985" s="2">
        <v>4983</v>
      </c>
      <c r="B4985" s="2" t="str">
        <f>"陈惠媛"</f>
        <v>陈惠媛</v>
      </c>
      <c r="C4985" s="2" t="s">
        <v>4359</v>
      </c>
      <c r="D4985" s="2" t="s">
        <v>4369</v>
      </c>
      <c r="E4985" s="3"/>
    </row>
    <row r="4986" spans="1:5" ht="24.75" customHeight="1">
      <c r="A4986" s="2">
        <v>4984</v>
      </c>
      <c r="B4986" s="2" t="str">
        <f>"荣国庆"</f>
        <v>荣国庆</v>
      </c>
      <c r="C4986" s="2" t="s">
        <v>4359</v>
      </c>
      <c r="D4986" s="2" t="s">
        <v>4370</v>
      </c>
      <c r="E4986" s="3"/>
    </row>
    <row r="4987" spans="1:5" ht="24.75" customHeight="1">
      <c r="A4987" s="2">
        <v>4985</v>
      </c>
      <c r="B4987" s="2" t="str">
        <f>"吉悦"</f>
        <v>吉悦</v>
      </c>
      <c r="C4987" s="2" t="s">
        <v>4359</v>
      </c>
      <c r="D4987" s="2" t="s">
        <v>4371</v>
      </c>
      <c r="E4987" s="3"/>
    </row>
    <row r="4988" spans="1:5" ht="24.75" customHeight="1">
      <c r="A4988" s="2">
        <v>4986</v>
      </c>
      <c r="B4988" s="2" t="str">
        <f>"夏儒岛"</f>
        <v>夏儒岛</v>
      </c>
      <c r="C4988" s="2" t="s">
        <v>4359</v>
      </c>
      <c r="D4988" s="2" t="s">
        <v>4372</v>
      </c>
      <c r="E4988" s="3"/>
    </row>
    <row r="4989" spans="1:5" ht="24.75" customHeight="1">
      <c r="A4989" s="2">
        <v>4987</v>
      </c>
      <c r="B4989" s="2" t="str">
        <f>"周小颖"</f>
        <v>周小颖</v>
      </c>
      <c r="C4989" s="2" t="s">
        <v>4359</v>
      </c>
      <c r="D4989" s="2" t="s">
        <v>4373</v>
      </c>
      <c r="E4989" s="3"/>
    </row>
    <row r="4990" spans="1:5" ht="24.75" customHeight="1">
      <c r="A4990" s="2">
        <v>4988</v>
      </c>
      <c r="B4990" s="2" t="str">
        <f>"裴珏"</f>
        <v>裴珏</v>
      </c>
      <c r="C4990" s="2" t="s">
        <v>4359</v>
      </c>
      <c r="D4990" s="2" t="s">
        <v>4374</v>
      </c>
      <c r="E4990" s="3"/>
    </row>
    <row r="4991" spans="1:5" ht="24.75" customHeight="1">
      <c r="A4991" s="2">
        <v>4989</v>
      </c>
      <c r="B4991" s="2" t="str">
        <f>"董碧欣"</f>
        <v>董碧欣</v>
      </c>
      <c r="C4991" s="2" t="s">
        <v>4359</v>
      </c>
      <c r="D4991" s="2" t="s">
        <v>4375</v>
      </c>
      <c r="E4991" s="3"/>
    </row>
    <row r="4992" spans="1:5" ht="24.75" customHeight="1">
      <c r="A4992" s="2">
        <v>4990</v>
      </c>
      <c r="B4992" s="2" t="str">
        <f>"陈柳"</f>
        <v>陈柳</v>
      </c>
      <c r="C4992" s="2" t="s">
        <v>4359</v>
      </c>
      <c r="D4992" s="2" t="s">
        <v>4376</v>
      </c>
      <c r="E4992" s="3"/>
    </row>
    <row r="4993" spans="1:5" ht="24.75" customHeight="1">
      <c r="A4993" s="2">
        <v>4991</v>
      </c>
      <c r="B4993" s="2" t="str">
        <f>"曾敏雅"</f>
        <v>曾敏雅</v>
      </c>
      <c r="C4993" s="2" t="s">
        <v>4359</v>
      </c>
      <c r="D4993" s="2" t="s">
        <v>4377</v>
      </c>
      <c r="E4993" s="3"/>
    </row>
    <row r="4994" spans="1:5" ht="24.75" customHeight="1">
      <c r="A4994" s="2">
        <v>4992</v>
      </c>
      <c r="B4994" s="2" t="str">
        <f>"钟正琪"</f>
        <v>钟正琪</v>
      </c>
      <c r="C4994" s="2" t="s">
        <v>4359</v>
      </c>
      <c r="D4994" s="2" t="s">
        <v>3919</v>
      </c>
      <c r="E4994" s="3"/>
    </row>
    <row r="4995" spans="1:5" ht="24.75" customHeight="1">
      <c r="A4995" s="2">
        <v>4993</v>
      </c>
      <c r="B4995" s="2" t="str">
        <f>"李雨芊"</f>
        <v>李雨芊</v>
      </c>
      <c r="C4995" s="2" t="s">
        <v>4359</v>
      </c>
      <c r="D4995" s="2" t="s">
        <v>4378</v>
      </c>
      <c r="E4995" s="3"/>
    </row>
    <row r="4996" spans="1:5" ht="24.75" customHeight="1">
      <c r="A4996" s="2">
        <v>4994</v>
      </c>
      <c r="B4996" s="2" t="str">
        <f>"黄小玲"</f>
        <v>黄小玲</v>
      </c>
      <c r="C4996" s="2" t="s">
        <v>4359</v>
      </c>
      <c r="D4996" s="2" t="s">
        <v>876</v>
      </c>
      <c r="E4996" s="3"/>
    </row>
    <row r="4997" spans="1:5" ht="24.75" customHeight="1">
      <c r="A4997" s="2">
        <v>4995</v>
      </c>
      <c r="B4997" s="2" t="str">
        <f>"张帆"</f>
        <v>张帆</v>
      </c>
      <c r="C4997" s="2" t="s">
        <v>4359</v>
      </c>
      <c r="D4997" s="2" t="s">
        <v>4379</v>
      </c>
      <c r="E4997" s="3"/>
    </row>
    <row r="4998" spans="1:5" ht="24.75" customHeight="1">
      <c r="A4998" s="2">
        <v>4996</v>
      </c>
      <c r="B4998" s="2" t="str">
        <f>"张琳"</f>
        <v>张琳</v>
      </c>
      <c r="C4998" s="2" t="s">
        <v>4359</v>
      </c>
      <c r="D4998" s="2" t="s">
        <v>4380</v>
      </c>
      <c r="E4998" s="3"/>
    </row>
    <row r="4999" spans="1:5" ht="24.75" customHeight="1">
      <c r="A4999" s="2">
        <v>4997</v>
      </c>
      <c r="B4999" s="2" t="str">
        <f>"张露瑜"</f>
        <v>张露瑜</v>
      </c>
      <c r="C4999" s="2" t="s">
        <v>4359</v>
      </c>
      <c r="D4999" s="2" t="s">
        <v>1904</v>
      </c>
      <c r="E4999" s="3"/>
    </row>
    <row r="5000" spans="1:5" ht="24.75" customHeight="1">
      <c r="A5000" s="2">
        <v>4998</v>
      </c>
      <c r="B5000" s="2" t="str">
        <f>"尹婧怡"</f>
        <v>尹婧怡</v>
      </c>
      <c r="C5000" s="2" t="s">
        <v>4359</v>
      </c>
      <c r="D5000" s="2" t="s">
        <v>4381</v>
      </c>
      <c r="E5000" s="3"/>
    </row>
    <row r="5001" spans="1:5" ht="24.75" customHeight="1">
      <c r="A5001" s="2">
        <v>4999</v>
      </c>
      <c r="B5001" s="2" t="str">
        <f>"王仁信"</f>
        <v>王仁信</v>
      </c>
      <c r="C5001" s="2" t="s">
        <v>4359</v>
      </c>
      <c r="D5001" s="2" t="s">
        <v>4382</v>
      </c>
      <c r="E5001" s="3"/>
    </row>
    <row r="5002" spans="1:5" ht="24.75" customHeight="1">
      <c r="A5002" s="2">
        <v>5000</v>
      </c>
      <c r="B5002" s="2" t="str">
        <f>"林霞"</f>
        <v>林霞</v>
      </c>
      <c r="C5002" s="2" t="s">
        <v>4359</v>
      </c>
      <c r="D5002" s="2" t="s">
        <v>4383</v>
      </c>
      <c r="E5002" s="3"/>
    </row>
    <row r="5003" spans="1:5" ht="24.75" customHeight="1">
      <c r="A5003" s="2">
        <v>5001</v>
      </c>
      <c r="B5003" s="2" t="str">
        <f>"龙君"</f>
        <v>龙君</v>
      </c>
      <c r="C5003" s="2" t="s">
        <v>4359</v>
      </c>
      <c r="D5003" s="2" t="s">
        <v>4384</v>
      </c>
      <c r="E5003" s="3"/>
    </row>
    <row r="5004" spans="1:5" ht="24.75" customHeight="1">
      <c r="A5004" s="2">
        <v>5002</v>
      </c>
      <c r="B5004" s="2" t="str">
        <f>"李微"</f>
        <v>李微</v>
      </c>
      <c r="C5004" s="2" t="s">
        <v>4359</v>
      </c>
      <c r="D5004" s="2" t="s">
        <v>4385</v>
      </c>
      <c r="E5004" s="3"/>
    </row>
    <row r="5005" spans="1:5" ht="24.75" customHeight="1">
      <c r="A5005" s="2">
        <v>5003</v>
      </c>
      <c r="B5005" s="2" t="str">
        <f>"胡新怡"</f>
        <v>胡新怡</v>
      </c>
      <c r="C5005" s="2" t="s">
        <v>4359</v>
      </c>
      <c r="D5005" s="2" t="s">
        <v>4386</v>
      </c>
      <c r="E5005" s="3"/>
    </row>
    <row r="5006" spans="1:5" ht="24.75" customHeight="1">
      <c r="A5006" s="2">
        <v>5004</v>
      </c>
      <c r="B5006" s="2" t="str">
        <f>"李宜"</f>
        <v>李宜</v>
      </c>
      <c r="C5006" s="2" t="s">
        <v>4359</v>
      </c>
      <c r="D5006" s="2" t="s">
        <v>4387</v>
      </c>
      <c r="E5006" s="3"/>
    </row>
    <row r="5007" spans="1:5" ht="24.75" customHeight="1">
      <c r="A5007" s="2">
        <v>5005</v>
      </c>
      <c r="B5007" s="2" t="str">
        <f>"唐家诚"</f>
        <v>唐家诚</v>
      </c>
      <c r="C5007" s="2" t="s">
        <v>4359</v>
      </c>
      <c r="D5007" s="2" t="s">
        <v>4388</v>
      </c>
      <c r="E5007" s="3"/>
    </row>
    <row r="5008" spans="1:5" ht="24.75" customHeight="1">
      <c r="A5008" s="2">
        <v>5006</v>
      </c>
      <c r="B5008" s="2" t="str">
        <f>"李金卓"</f>
        <v>李金卓</v>
      </c>
      <c r="C5008" s="2" t="s">
        <v>4359</v>
      </c>
      <c r="D5008" s="2" t="s">
        <v>4389</v>
      </c>
      <c r="E5008" s="3"/>
    </row>
    <row r="5009" spans="1:5" ht="24.75" customHeight="1">
      <c r="A5009" s="2">
        <v>5007</v>
      </c>
      <c r="B5009" s="2" t="str">
        <f>"周婷"</f>
        <v>周婷</v>
      </c>
      <c r="C5009" s="2" t="s">
        <v>4359</v>
      </c>
      <c r="D5009" s="2" t="s">
        <v>4390</v>
      </c>
      <c r="E5009" s="3"/>
    </row>
    <row r="5010" spans="1:5" ht="24.75" customHeight="1">
      <c r="A5010" s="2">
        <v>5008</v>
      </c>
      <c r="B5010" s="2" t="str">
        <f>"宋婉莹"</f>
        <v>宋婉莹</v>
      </c>
      <c r="C5010" s="2" t="s">
        <v>4359</v>
      </c>
      <c r="D5010" s="2" t="s">
        <v>4391</v>
      </c>
      <c r="E5010" s="3"/>
    </row>
    <row r="5011" spans="1:5" ht="24.75" customHeight="1">
      <c r="A5011" s="2">
        <v>5009</v>
      </c>
      <c r="B5011" s="2" t="str">
        <f>"廖伟志"</f>
        <v>廖伟志</v>
      </c>
      <c r="C5011" s="2" t="s">
        <v>4359</v>
      </c>
      <c r="D5011" s="2" t="s">
        <v>4392</v>
      </c>
      <c r="E5011" s="3"/>
    </row>
    <row r="5012" spans="1:5" ht="24.75" customHeight="1">
      <c r="A5012" s="2">
        <v>5010</v>
      </c>
      <c r="B5012" s="2" t="str">
        <f>"吴昌虹"</f>
        <v>吴昌虹</v>
      </c>
      <c r="C5012" s="2" t="s">
        <v>4393</v>
      </c>
      <c r="D5012" s="2" t="s">
        <v>3999</v>
      </c>
      <c r="E5012" s="3"/>
    </row>
    <row r="5013" spans="1:5" ht="24.75" customHeight="1">
      <c r="A5013" s="2">
        <v>5011</v>
      </c>
      <c r="B5013" s="2" t="str">
        <f>"陈家蕊"</f>
        <v>陈家蕊</v>
      </c>
      <c r="C5013" s="2" t="s">
        <v>4393</v>
      </c>
      <c r="D5013" s="2" t="s">
        <v>4394</v>
      </c>
      <c r="E5013" s="3"/>
    </row>
    <row r="5014" spans="1:5" ht="24.75" customHeight="1">
      <c r="A5014" s="2">
        <v>5012</v>
      </c>
      <c r="B5014" s="2" t="str">
        <f>"王国月"</f>
        <v>王国月</v>
      </c>
      <c r="C5014" s="2" t="s">
        <v>4393</v>
      </c>
      <c r="D5014" s="2" t="s">
        <v>4395</v>
      </c>
      <c r="E5014" s="3"/>
    </row>
    <row r="5015" spans="1:5" ht="24.75" customHeight="1">
      <c r="A5015" s="2">
        <v>5013</v>
      </c>
      <c r="B5015" s="2" t="str">
        <f>"李俊"</f>
        <v>李俊</v>
      </c>
      <c r="C5015" s="2" t="s">
        <v>4393</v>
      </c>
      <c r="D5015" s="2" t="s">
        <v>4396</v>
      </c>
      <c r="E5015" s="3"/>
    </row>
    <row r="5016" spans="1:5" ht="24.75" customHeight="1">
      <c r="A5016" s="2">
        <v>5014</v>
      </c>
      <c r="B5016" s="2" t="str">
        <f>"戴丽珍"</f>
        <v>戴丽珍</v>
      </c>
      <c r="C5016" s="2" t="s">
        <v>4393</v>
      </c>
      <c r="D5016" s="2" t="s">
        <v>4397</v>
      </c>
      <c r="E5016" s="3"/>
    </row>
    <row r="5017" spans="1:5" ht="24.75" customHeight="1">
      <c r="A5017" s="2">
        <v>5015</v>
      </c>
      <c r="B5017" s="2" t="str">
        <f>"文常妹"</f>
        <v>文常妹</v>
      </c>
      <c r="C5017" s="2" t="s">
        <v>4393</v>
      </c>
      <c r="D5017" s="2" t="s">
        <v>4398</v>
      </c>
      <c r="E5017" s="3"/>
    </row>
    <row r="5018" spans="1:5" ht="24.75" customHeight="1">
      <c r="A5018" s="2">
        <v>5016</v>
      </c>
      <c r="B5018" s="2" t="str">
        <f>"麦金枝"</f>
        <v>麦金枝</v>
      </c>
      <c r="C5018" s="2" t="s">
        <v>4393</v>
      </c>
      <c r="D5018" s="2" t="s">
        <v>3290</v>
      </c>
      <c r="E5018" s="3"/>
    </row>
    <row r="5019" spans="1:5" ht="24.75" customHeight="1">
      <c r="A5019" s="2">
        <v>5017</v>
      </c>
      <c r="B5019" s="2" t="str">
        <f>"张深燕"</f>
        <v>张深燕</v>
      </c>
      <c r="C5019" s="2" t="s">
        <v>4393</v>
      </c>
      <c r="D5019" s="2" t="s">
        <v>4399</v>
      </c>
      <c r="E5019" s="3"/>
    </row>
    <row r="5020" spans="1:5" ht="24.75" customHeight="1">
      <c r="A5020" s="2">
        <v>5018</v>
      </c>
      <c r="B5020" s="2" t="str">
        <f>"张祖凡"</f>
        <v>张祖凡</v>
      </c>
      <c r="C5020" s="2" t="s">
        <v>4393</v>
      </c>
      <c r="D5020" s="2" t="s">
        <v>4400</v>
      </c>
      <c r="E5020" s="3"/>
    </row>
    <row r="5021" spans="1:5" ht="24.75" customHeight="1">
      <c r="A5021" s="2">
        <v>5019</v>
      </c>
      <c r="B5021" s="2" t="str">
        <f>"周婷"</f>
        <v>周婷</v>
      </c>
      <c r="C5021" s="2" t="s">
        <v>4393</v>
      </c>
      <c r="D5021" s="2" t="s">
        <v>243</v>
      </c>
      <c r="E5021" s="3"/>
    </row>
    <row r="5022" spans="1:5" ht="24.75" customHeight="1">
      <c r="A5022" s="2">
        <v>5020</v>
      </c>
      <c r="B5022" s="2" t="str">
        <f>"吉如惠"</f>
        <v>吉如惠</v>
      </c>
      <c r="C5022" s="2" t="s">
        <v>4393</v>
      </c>
      <c r="D5022" s="2" t="s">
        <v>4401</v>
      </c>
      <c r="E5022" s="3"/>
    </row>
    <row r="5023" spans="1:5" ht="24.75" customHeight="1">
      <c r="A5023" s="2">
        <v>5021</v>
      </c>
      <c r="B5023" s="2" t="str">
        <f>"郑丹"</f>
        <v>郑丹</v>
      </c>
      <c r="C5023" s="2" t="s">
        <v>4393</v>
      </c>
      <c r="D5023" s="2" t="s">
        <v>4402</v>
      </c>
      <c r="E5023" s="3"/>
    </row>
    <row r="5024" spans="1:5" ht="24.75" customHeight="1">
      <c r="A5024" s="2">
        <v>5022</v>
      </c>
      <c r="B5024" s="2" t="str">
        <f>"符康丽"</f>
        <v>符康丽</v>
      </c>
      <c r="C5024" s="2" t="s">
        <v>4393</v>
      </c>
      <c r="D5024" s="2" t="s">
        <v>1115</v>
      </c>
      <c r="E5024" s="3"/>
    </row>
    <row r="5025" spans="1:5" ht="24.75" customHeight="1">
      <c r="A5025" s="2">
        <v>5023</v>
      </c>
      <c r="B5025" s="2" t="str">
        <f>"唐於昕"</f>
        <v>唐於昕</v>
      </c>
      <c r="C5025" s="2" t="s">
        <v>4393</v>
      </c>
      <c r="D5025" s="2" t="s">
        <v>1495</v>
      </c>
      <c r="E5025" s="3"/>
    </row>
    <row r="5026" spans="1:5" ht="24.75" customHeight="1">
      <c r="A5026" s="2">
        <v>5024</v>
      </c>
      <c r="B5026" s="2" t="str">
        <f>"陈圣天"</f>
        <v>陈圣天</v>
      </c>
      <c r="C5026" s="2" t="s">
        <v>4393</v>
      </c>
      <c r="D5026" s="2" t="s">
        <v>4403</v>
      </c>
      <c r="E5026" s="3"/>
    </row>
    <row r="5027" spans="1:5" ht="24.75" customHeight="1">
      <c r="A5027" s="2">
        <v>5025</v>
      </c>
      <c r="B5027" s="2" t="str">
        <f>"陈驰"</f>
        <v>陈驰</v>
      </c>
      <c r="C5027" s="2" t="s">
        <v>4404</v>
      </c>
      <c r="D5027" s="2" t="s">
        <v>4405</v>
      </c>
      <c r="E5027" s="3"/>
    </row>
    <row r="5028" spans="1:5" ht="24.75" customHeight="1">
      <c r="A5028" s="2">
        <v>5026</v>
      </c>
      <c r="B5028" s="2" t="str">
        <f>"赵文立"</f>
        <v>赵文立</v>
      </c>
      <c r="C5028" s="2" t="s">
        <v>4404</v>
      </c>
      <c r="D5028" s="2" t="s">
        <v>2819</v>
      </c>
      <c r="E5028" s="3"/>
    </row>
    <row r="5029" spans="1:5" ht="24.75" customHeight="1">
      <c r="A5029" s="2">
        <v>5027</v>
      </c>
      <c r="B5029" s="2" t="str">
        <f>"陈柳屹"</f>
        <v>陈柳屹</v>
      </c>
      <c r="C5029" s="2" t="s">
        <v>4404</v>
      </c>
      <c r="D5029" s="2" t="s">
        <v>4406</v>
      </c>
      <c r="E5029" s="3"/>
    </row>
    <row r="5030" spans="1:5" ht="24.75" customHeight="1">
      <c r="A5030" s="2">
        <v>5028</v>
      </c>
      <c r="B5030" s="2" t="str">
        <f>"张彩瑶"</f>
        <v>张彩瑶</v>
      </c>
      <c r="C5030" s="2" t="s">
        <v>4404</v>
      </c>
      <c r="D5030" s="2" t="s">
        <v>4407</v>
      </c>
      <c r="E5030" s="3"/>
    </row>
    <row r="5031" spans="1:5" ht="24.75" customHeight="1">
      <c r="A5031" s="2">
        <v>5029</v>
      </c>
      <c r="B5031" s="2" t="str">
        <f>"董院防"</f>
        <v>董院防</v>
      </c>
      <c r="C5031" s="2" t="s">
        <v>4404</v>
      </c>
      <c r="D5031" s="2" t="s">
        <v>4408</v>
      </c>
      <c r="E5031" s="3"/>
    </row>
    <row r="5032" spans="1:5" ht="24.75" customHeight="1">
      <c r="A5032" s="2">
        <v>5030</v>
      </c>
      <c r="B5032" s="2" t="str">
        <f>"练霞"</f>
        <v>练霞</v>
      </c>
      <c r="C5032" s="2" t="s">
        <v>4404</v>
      </c>
      <c r="D5032" s="2" t="s">
        <v>47</v>
      </c>
      <c r="E5032" s="3"/>
    </row>
    <row r="5033" spans="1:5" ht="24.75" customHeight="1">
      <c r="A5033" s="2">
        <v>5031</v>
      </c>
      <c r="B5033" s="2" t="str">
        <f>"陈良"</f>
        <v>陈良</v>
      </c>
      <c r="C5033" s="2" t="s">
        <v>4404</v>
      </c>
      <c r="D5033" s="2" t="s">
        <v>4409</v>
      </c>
      <c r="E5033" s="3"/>
    </row>
    <row r="5034" spans="1:5" ht="24.75" customHeight="1">
      <c r="A5034" s="2">
        <v>5032</v>
      </c>
      <c r="B5034" s="2" t="str">
        <f>"唐娥飞"</f>
        <v>唐娥飞</v>
      </c>
      <c r="C5034" s="2" t="s">
        <v>4404</v>
      </c>
      <c r="D5034" s="2" t="s">
        <v>4410</v>
      </c>
      <c r="E5034" s="3"/>
    </row>
    <row r="5035" spans="1:5" ht="24.75" customHeight="1">
      <c r="A5035" s="2">
        <v>5033</v>
      </c>
      <c r="B5035" s="2" t="str">
        <f>"韦晓慧"</f>
        <v>韦晓慧</v>
      </c>
      <c r="C5035" s="2" t="s">
        <v>4404</v>
      </c>
      <c r="D5035" s="2" t="s">
        <v>4411</v>
      </c>
      <c r="E5035" s="3"/>
    </row>
    <row r="5036" spans="1:5" ht="24.75" customHeight="1">
      <c r="A5036" s="2">
        <v>5034</v>
      </c>
      <c r="B5036" s="2" t="str">
        <f>"罗美"</f>
        <v>罗美</v>
      </c>
      <c r="C5036" s="2" t="s">
        <v>4404</v>
      </c>
      <c r="D5036" s="2" t="s">
        <v>4412</v>
      </c>
      <c r="E5036" s="3"/>
    </row>
    <row r="5037" spans="1:5" ht="24.75" customHeight="1">
      <c r="A5037" s="2">
        <v>5035</v>
      </c>
      <c r="B5037" s="2" t="str">
        <f>"石云峰"</f>
        <v>石云峰</v>
      </c>
      <c r="C5037" s="2" t="s">
        <v>4404</v>
      </c>
      <c r="D5037" s="2" t="s">
        <v>4170</v>
      </c>
      <c r="E5037" s="3"/>
    </row>
    <row r="5038" spans="1:5" ht="24.75" customHeight="1">
      <c r="A5038" s="2">
        <v>5036</v>
      </c>
      <c r="B5038" s="2" t="str">
        <f>"陈世珲"</f>
        <v>陈世珲</v>
      </c>
      <c r="C5038" s="2" t="s">
        <v>4404</v>
      </c>
      <c r="D5038" s="2" t="s">
        <v>4413</v>
      </c>
      <c r="E5038" s="3"/>
    </row>
    <row r="5039" spans="1:5" ht="24.75" customHeight="1">
      <c r="A5039" s="2">
        <v>5037</v>
      </c>
      <c r="B5039" s="2" t="str">
        <f>"王品然"</f>
        <v>王品然</v>
      </c>
      <c r="C5039" s="2" t="s">
        <v>4404</v>
      </c>
      <c r="D5039" s="2" t="s">
        <v>4414</v>
      </c>
      <c r="E5039" s="3"/>
    </row>
    <row r="5040" spans="1:5" ht="24.75" customHeight="1">
      <c r="A5040" s="2">
        <v>5038</v>
      </c>
      <c r="B5040" s="2" t="str">
        <f>"赵日绵"</f>
        <v>赵日绵</v>
      </c>
      <c r="C5040" s="2" t="s">
        <v>4404</v>
      </c>
      <c r="D5040" s="2" t="s">
        <v>4415</v>
      </c>
      <c r="E5040" s="3"/>
    </row>
    <row r="5041" spans="1:5" ht="24.75" customHeight="1">
      <c r="A5041" s="2">
        <v>5039</v>
      </c>
      <c r="B5041" s="2" t="str">
        <f>"林小楚"</f>
        <v>林小楚</v>
      </c>
      <c r="C5041" s="2" t="s">
        <v>4404</v>
      </c>
      <c r="D5041" s="2" t="s">
        <v>4416</v>
      </c>
      <c r="E5041" s="3"/>
    </row>
    <row r="5042" spans="1:5" ht="24.75" customHeight="1">
      <c r="A5042" s="2">
        <v>5040</v>
      </c>
      <c r="B5042" s="2" t="str">
        <f>"李丽洁"</f>
        <v>李丽洁</v>
      </c>
      <c r="C5042" s="2" t="s">
        <v>4404</v>
      </c>
      <c r="D5042" s="2" t="s">
        <v>4417</v>
      </c>
      <c r="E5042" s="3"/>
    </row>
    <row r="5043" spans="1:5" ht="24.75" customHeight="1">
      <c r="A5043" s="2">
        <v>5041</v>
      </c>
      <c r="B5043" s="2" t="str">
        <f>"陈汉钊"</f>
        <v>陈汉钊</v>
      </c>
      <c r="C5043" s="2" t="s">
        <v>4404</v>
      </c>
      <c r="D5043" s="2" t="s">
        <v>4080</v>
      </c>
      <c r="E5043" s="3"/>
    </row>
    <row r="5044" spans="1:5" ht="24.75" customHeight="1">
      <c r="A5044" s="2">
        <v>5042</v>
      </c>
      <c r="B5044" s="2" t="str">
        <f>"李荣昌"</f>
        <v>李荣昌</v>
      </c>
      <c r="C5044" s="2" t="s">
        <v>4404</v>
      </c>
      <c r="D5044" s="2" t="s">
        <v>4418</v>
      </c>
      <c r="E5044" s="3"/>
    </row>
    <row r="5045" spans="1:5" ht="24.75" customHeight="1">
      <c r="A5045" s="2">
        <v>5043</v>
      </c>
      <c r="B5045" s="2" t="str">
        <f>"吴卓里"</f>
        <v>吴卓里</v>
      </c>
      <c r="C5045" s="2" t="s">
        <v>4404</v>
      </c>
      <c r="D5045" s="2" t="s">
        <v>4419</v>
      </c>
      <c r="E5045" s="3"/>
    </row>
    <row r="5046" spans="1:5" ht="24.75" customHeight="1">
      <c r="A5046" s="2">
        <v>5044</v>
      </c>
      <c r="B5046" s="2" t="str">
        <f>"陈光潭"</f>
        <v>陈光潭</v>
      </c>
      <c r="C5046" s="2" t="s">
        <v>4404</v>
      </c>
      <c r="D5046" s="2" t="s">
        <v>4420</v>
      </c>
      <c r="E5046" s="3"/>
    </row>
    <row r="5047" spans="1:5" ht="24.75" customHeight="1">
      <c r="A5047" s="2">
        <v>5045</v>
      </c>
      <c r="B5047" s="2" t="str">
        <f>"罗希特"</f>
        <v>罗希特</v>
      </c>
      <c r="C5047" s="2" t="s">
        <v>4404</v>
      </c>
      <c r="D5047" s="2" t="s">
        <v>4421</v>
      </c>
      <c r="E5047" s="3"/>
    </row>
    <row r="5048" spans="1:5" ht="24.75" customHeight="1">
      <c r="A5048" s="2">
        <v>5046</v>
      </c>
      <c r="B5048" s="2" t="str">
        <f>"张福烘"</f>
        <v>张福烘</v>
      </c>
      <c r="C5048" s="2" t="s">
        <v>4404</v>
      </c>
      <c r="D5048" s="2" t="s">
        <v>2868</v>
      </c>
      <c r="E5048" s="3"/>
    </row>
    <row r="5049" spans="1:5" ht="24.75" customHeight="1">
      <c r="A5049" s="2">
        <v>5047</v>
      </c>
      <c r="B5049" s="2" t="str">
        <f>"李妹妹"</f>
        <v>李妹妹</v>
      </c>
      <c r="C5049" s="2" t="s">
        <v>4404</v>
      </c>
      <c r="D5049" s="2" t="s">
        <v>4422</v>
      </c>
      <c r="E5049" s="3"/>
    </row>
    <row r="5050" spans="1:5" ht="24.75" customHeight="1">
      <c r="A5050" s="2">
        <v>5048</v>
      </c>
      <c r="B5050" s="2" t="str">
        <f>"吴虹虹"</f>
        <v>吴虹虹</v>
      </c>
      <c r="C5050" s="2" t="s">
        <v>4404</v>
      </c>
      <c r="D5050" s="2" t="s">
        <v>4423</v>
      </c>
      <c r="E5050" s="3"/>
    </row>
    <row r="5051" spans="1:5" ht="24.75" customHeight="1">
      <c r="A5051" s="2">
        <v>5049</v>
      </c>
      <c r="B5051" s="2" t="str">
        <f>"翁琼霞"</f>
        <v>翁琼霞</v>
      </c>
      <c r="C5051" s="2" t="s">
        <v>4404</v>
      </c>
      <c r="D5051" s="2" t="s">
        <v>4424</v>
      </c>
      <c r="E5051" s="3"/>
    </row>
    <row r="5052" spans="1:5" ht="24.75" customHeight="1">
      <c r="A5052" s="2">
        <v>5050</v>
      </c>
      <c r="B5052" s="2" t="str">
        <f>"邢琪凯"</f>
        <v>邢琪凯</v>
      </c>
      <c r="C5052" s="2" t="s">
        <v>4404</v>
      </c>
      <c r="D5052" s="2" t="s">
        <v>4425</v>
      </c>
      <c r="E5052" s="3"/>
    </row>
    <row r="5053" spans="1:5" ht="24.75" customHeight="1">
      <c r="A5053" s="2">
        <v>5051</v>
      </c>
      <c r="B5053" s="2" t="str">
        <f>"卓丽娟"</f>
        <v>卓丽娟</v>
      </c>
      <c r="C5053" s="2" t="s">
        <v>4404</v>
      </c>
      <c r="D5053" s="2" t="s">
        <v>4426</v>
      </c>
      <c r="E5053" s="3"/>
    </row>
    <row r="5054" spans="1:5" ht="24.75" customHeight="1">
      <c r="A5054" s="2">
        <v>5052</v>
      </c>
      <c r="B5054" s="2" t="str">
        <f>"万志雪"</f>
        <v>万志雪</v>
      </c>
      <c r="C5054" s="2" t="s">
        <v>4404</v>
      </c>
      <c r="D5054" s="2" t="s">
        <v>4427</v>
      </c>
      <c r="E5054" s="3"/>
    </row>
    <row r="5055" spans="1:5" ht="24.75" customHeight="1">
      <c r="A5055" s="2">
        <v>5053</v>
      </c>
      <c r="B5055" s="2" t="str">
        <f>"邝自强"</f>
        <v>邝自强</v>
      </c>
      <c r="C5055" s="2" t="s">
        <v>4404</v>
      </c>
      <c r="D5055" s="2" t="s">
        <v>3764</v>
      </c>
      <c r="E5055" s="3"/>
    </row>
    <row r="5056" spans="1:5" ht="24.75" customHeight="1">
      <c r="A5056" s="2">
        <v>5054</v>
      </c>
      <c r="B5056" s="2" t="str">
        <f>"李双灼"</f>
        <v>李双灼</v>
      </c>
      <c r="C5056" s="2" t="s">
        <v>4404</v>
      </c>
      <c r="D5056" s="2" t="s">
        <v>1584</v>
      </c>
      <c r="E5056" s="3"/>
    </row>
    <row r="5057" spans="1:5" ht="24.75" customHeight="1">
      <c r="A5057" s="2">
        <v>5055</v>
      </c>
      <c r="B5057" s="2" t="str">
        <f>"莫丽花"</f>
        <v>莫丽花</v>
      </c>
      <c r="C5057" s="2" t="s">
        <v>4404</v>
      </c>
      <c r="D5057" s="2" t="s">
        <v>1516</v>
      </c>
      <c r="E5057" s="3"/>
    </row>
    <row r="5058" spans="1:5" ht="24.75" customHeight="1">
      <c r="A5058" s="2">
        <v>5056</v>
      </c>
      <c r="B5058" s="2" t="str">
        <f>"马星智"</f>
        <v>马星智</v>
      </c>
      <c r="C5058" s="2" t="s">
        <v>4404</v>
      </c>
      <c r="D5058" s="2" t="s">
        <v>4428</v>
      </c>
      <c r="E5058" s="3"/>
    </row>
    <row r="5059" spans="1:5" ht="24.75" customHeight="1">
      <c r="A5059" s="2">
        <v>5057</v>
      </c>
      <c r="B5059" s="2" t="str">
        <f>"陈火琳"</f>
        <v>陈火琳</v>
      </c>
      <c r="C5059" s="2" t="s">
        <v>4404</v>
      </c>
      <c r="D5059" s="2" t="s">
        <v>4429</v>
      </c>
      <c r="E5059" s="3"/>
    </row>
    <row r="5060" spans="1:5" ht="24.75" customHeight="1">
      <c r="A5060" s="2">
        <v>5058</v>
      </c>
      <c r="B5060" s="2" t="str">
        <f>"黎万师"</f>
        <v>黎万师</v>
      </c>
      <c r="C5060" s="2" t="s">
        <v>4404</v>
      </c>
      <c r="D5060" s="2" t="s">
        <v>4430</v>
      </c>
      <c r="E5060" s="3"/>
    </row>
    <row r="5061" spans="1:5" ht="24.75" customHeight="1">
      <c r="A5061" s="2">
        <v>5059</v>
      </c>
      <c r="B5061" s="2" t="str">
        <f>"陈纪炎"</f>
        <v>陈纪炎</v>
      </c>
      <c r="C5061" s="2" t="s">
        <v>4404</v>
      </c>
      <c r="D5061" s="2" t="s">
        <v>4431</v>
      </c>
      <c r="E5061" s="3"/>
    </row>
    <row r="5062" spans="1:5" ht="24.75" customHeight="1">
      <c r="A5062" s="2">
        <v>5060</v>
      </c>
      <c r="B5062" s="2" t="str">
        <f>"陈春霞"</f>
        <v>陈春霞</v>
      </c>
      <c r="C5062" s="2" t="s">
        <v>4404</v>
      </c>
      <c r="D5062" s="2" t="s">
        <v>4432</v>
      </c>
      <c r="E5062" s="3"/>
    </row>
    <row r="5063" spans="1:5" ht="24.75" customHeight="1">
      <c r="A5063" s="2">
        <v>5061</v>
      </c>
      <c r="B5063" s="2" t="str">
        <f>"王汝彬"</f>
        <v>王汝彬</v>
      </c>
      <c r="C5063" s="2" t="s">
        <v>4404</v>
      </c>
      <c r="D5063" s="2" t="s">
        <v>4433</v>
      </c>
      <c r="E5063" s="3"/>
    </row>
    <row r="5064" spans="1:5" ht="24.75" customHeight="1">
      <c r="A5064" s="2">
        <v>5062</v>
      </c>
      <c r="B5064" s="2" t="str">
        <f>"吴毓焕"</f>
        <v>吴毓焕</v>
      </c>
      <c r="C5064" s="2" t="s">
        <v>4404</v>
      </c>
      <c r="D5064" s="2" t="s">
        <v>4434</v>
      </c>
      <c r="E5064" s="3"/>
    </row>
    <row r="5065" spans="1:5" ht="24.75" customHeight="1">
      <c r="A5065" s="2">
        <v>5063</v>
      </c>
      <c r="B5065" s="2" t="str">
        <f>"李丽仙"</f>
        <v>李丽仙</v>
      </c>
      <c r="C5065" s="2" t="s">
        <v>4404</v>
      </c>
      <c r="D5065" s="2" t="s">
        <v>4435</v>
      </c>
      <c r="E5065" s="3"/>
    </row>
    <row r="5066" spans="1:5" ht="24.75" customHeight="1">
      <c r="A5066" s="2">
        <v>5064</v>
      </c>
      <c r="B5066" s="2" t="str">
        <f>"王晓燕"</f>
        <v>王晓燕</v>
      </c>
      <c r="C5066" s="2" t="s">
        <v>4404</v>
      </c>
      <c r="D5066" s="2" t="s">
        <v>4436</v>
      </c>
      <c r="E5066" s="3"/>
    </row>
    <row r="5067" spans="1:5" ht="24.75" customHeight="1">
      <c r="A5067" s="2">
        <v>5065</v>
      </c>
      <c r="B5067" s="2" t="str">
        <f>"李远安"</f>
        <v>李远安</v>
      </c>
      <c r="C5067" s="2" t="s">
        <v>4404</v>
      </c>
      <c r="D5067" s="2" t="s">
        <v>4437</v>
      </c>
      <c r="E5067" s="3"/>
    </row>
    <row r="5068" spans="1:5" ht="24.75" customHeight="1">
      <c r="A5068" s="2">
        <v>5066</v>
      </c>
      <c r="B5068" s="2" t="str">
        <f>"符文莹"</f>
        <v>符文莹</v>
      </c>
      <c r="C5068" s="2" t="s">
        <v>4404</v>
      </c>
      <c r="D5068" s="2" t="s">
        <v>4438</v>
      </c>
      <c r="E5068" s="3"/>
    </row>
    <row r="5069" spans="1:5" ht="24.75" customHeight="1">
      <c r="A5069" s="2">
        <v>5067</v>
      </c>
      <c r="B5069" s="2" t="str">
        <f>"钟植标"</f>
        <v>钟植标</v>
      </c>
      <c r="C5069" s="2" t="s">
        <v>4404</v>
      </c>
      <c r="D5069" s="2" t="s">
        <v>4043</v>
      </c>
      <c r="E5069" s="3"/>
    </row>
    <row r="5070" spans="1:5" ht="24.75" customHeight="1">
      <c r="A5070" s="2">
        <v>5068</v>
      </c>
      <c r="B5070" s="2" t="str">
        <f>"卢俏慧"</f>
        <v>卢俏慧</v>
      </c>
      <c r="C5070" s="2" t="s">
        <v>4404</v>
      </c>
      <c r="D5070" s="2" t="s">
        <v>4439</v>
      </c>
      <c r="E5070" s="3"/>
    </row>
    <row r="5071" spans="1:5" ht="24.75" customHeight="1">
      <c r="A5071" s="2">
        <v>5069</v>
      </c>
      <c r="B5071" s="2" t="str">
        <f>"张晋鹏"</f>
        <v>张晋鹏</v>
      </c>
      <c r="C5071" s="2" t="s">
        <v>4404</v>
      </c>
      <c r="D5071" s="2" t="s">
        <v>4440</v>
      </c>
      <c r="E5071" s="3"/>
    </row>
    <row r="5072" spans="1:5" ht="24.75" customHeight="1">
      <c r="A5072" s="2">
        <v>5070</v>
      </c>
      <c r="B5072" s="2" t="str">
        <f>"韦力"</f>
        <v>韦力</v>
      </c>
      <c r="C5072" s="2" t="s">
        <v>4404</v>
      </c>
      <c r="D5072" s="2" t="s">
        <v>4441</v>
      </c>
      <c r="E5072" s="3"/>
    </row>
    <row r="5073" spans="1:5" ht="24.75" customHeight="1">
      <c r="A5073" s="2">
        <v>5071</v>
      </c>
      <c r="B5073" s="2" t="str">
        <f>"郭芳菊"</f>
        <v>郭芳菊</v>
      </c>
      <c r="C5073" s="2" t="s">
        <v>4404</v>
      </c>
      <c r="D5073" s="2" t="s">
        <v>2951</v>
      </c>
      <c r="E5073" s="3"/>
    </row>
    <row r="5074" spans="1:5" ht="24.75" customHeight="1">
      <c r="A5074" s="2">
        <v>5072</v>
      </c>
      <c r="B5074" s="2" t="str">
        <f>"陈思思"</f>
        <v>陈思思</v>
      </c>
      <c r="C5074" s="2" t="s">
        <v>4404</v>
      </c>
      <c r="D5074" s="2" t="s">
        <v>4442</v>
      </c>
      <c r="E5074" s="3"/>
    </row>
    <row r="5075" spans="1:5" ht="24.75" customHeight="1">
      <c r="A5075" s="2">
        <v>5073</v>
      </c>
      <c r="B5075" s="2" t="str">
        <f>"陈蕾"</f>
        <v>陈蕾</v>
      </c>
      <c r="C5075" s="2" t="s">
        <v>4404</v>
      </c>
      <c r="D5075" s="2" t="s">
        <v>1393</v>
      </c>
      <c r="E5075" s="3"/>
    </row>
    <row r="5076" spans="1:5" ht="24.75" customHeight="1">
      <c r="A5076" s="2">
        <v>5074</v>
      </c>
      <c r="B5076" s="2" t="str">
        <f>"林忠诚"</f>
        <v>林忠诚</v>
      </c>
      <c r="C5076" s="2" t="s">
        <v>4404</v>
      </c>
      <c r="D5076" s="2" t="s">
        <v>4443</v>
      </c>
      <c r="E5076" s="3"/>
    </row>
    <row r="5077" spans="1:5" ht="24.75" customHeight="1">
      <c r="A5077" s="2">
        <v>5075</v>
      </c>
      <c r="B5077" s="2" t="str">
        <f>"卢莹"</f>
        <v>卢莹</v>
      </c>
      <c r="C5077" s="2" t="s">
        <v>4404</v>
      </c>
      <c r="D5077" s="2" t="s">
        <v>4444</v>
      </c>
      <c r="E5077" s="3"/>
    </row>
    <row r="5078" spans="1:5" ht="24.75" customHeight="1">
      <c r="A5078" s="2">
        <v>5076</v>
      </c>
      <c r="B5078" s="2" t="str">
        <f>"林芸"</f>
        <v>林芸</v>
      </c>
      <c r="C5078" s="2" t="s">
        <v>4404</v>
      </c>
      <c r="D5078" s="2" t="s">
        <v>2529</v>
      </c>
      <c r="E5078" s="3"/>
    </row>
    <row r="5079" spans="1:5" ht="24.75" customHeight="1">
      <c r="A5079" s="2">
        <v>5077</v>
      </c>
      <c r="B5079" s="2" t="str">
        <f>"林小娜"</f>
        <v>林小娜</v>
      </c>
      <c r="C5079" s="2" t="s">
        <v>4404</v>
      </c>
      <c r="D5079" s="2" t="s">
        <v>4445</v>
      </c>
      <c r="E5079" s="3"/>
    </row>
    <row r="5080" spans="1:5" ht="24.75" customHeight="1">
      <c r="A5080" s="2">
        <v>5078</v>
      </c>
      <c r="B5080" s="2" t="str">
        <f>"文世芬"</f>
        <v>文世芬</v>
      </c>
      <c r="C5080" s="2" t="s">
        <v>4404</v>
      </c>
      <c r="D5080" s="2" t="s">
        <v>4446</v>
      </c>
      <c r="E5080" s="3"/>
    </row>
    <row r="5081" spans="1:5" ht="24.75" customHeight="1">
      <c r="A5081" s="2">
        <v>5079</v>
      </c>
      <c r="B5081" s="2" t="str">
        <f>"王康州"</f>
        <v>王康州</v>
      </c>
      <c r="C5081" s="2" t="s">
        <v>4404</v>
      </c>
      <c r="D5081" s="2" t="s">
        <v>2798</v>
      </c>
      <c r="E5081" s="3"/>
    </row>
    <row r="5082" spans="1:5" ht="24.75" customHeight="1">
      <c r="A5082" s="2">
        <v>5080</v>
      </c>
      <c r="B5082" s="2" t="str">
        <f>"陈俏华"</f>
        <v>陈俏华</v>
      </c>
      <c r="C5082" s="2" t="s">
        <v>4404</v>
      </c>
      <c r="D5082" s="2" t="s">
        <v>4447</v>
      </c>
      <c r="E5082" s="3"/>
    </row>
    <row r="5083" spans="1:5" ht="24.75" customHeight="1">
      <c r="A5083" s="2">
        <v>5081</v>
      </c>
      <c r="B5083" s="2" t="str">
        <f>"刘发因"</f>
        <v>刘发因</v>
      </c>
      <c r="C5083" s="2" t="s">
        <v>4404</v>
      </c>
      <c r="D5083" s="2" t="s">
        <v>4448</v>
      </c>
      <c r="E5083" s="3"/>
    </row>
    <row r="5084" spans="1:5" ht="24.75" customHeight="1">
      <c r="A5084" s="2">
        <v>5082</v>
      </c>
      <c r="B5084" s="2" t="str">
        <f>"吉亚球"</f>
        <v>吉亚球</v>
      </c>
      <c r="C5084" s="2" t="s">
        <v>4404</v>
      </c>
      <c r="D5084" s="2" t="s">
        <v>4449</v>
      </c>
      <c r="E5084" s="3"/>
    </row>
    <row r="5085" spans="1:5" ht="24.75" customHeight="1">
      <c r="A5085" s="2">
        <v>5083</v>
      </c>
      <c r="B5085" s="2" t="str">
        <f>"万佳华"</f>
        <v>万佳华</v>
      </c>
      <c r="C5085" s="2" t="s">
        <v>4404</v>
      </c>
      <c r="D5085" s="2" t="s">
        <v>4450</v>
      </c>
      <c r="E5085" s="3"/>
    </row>
    <row r="5086" spans="1:5" ht="24.75" customHeight="1">
      <c r="A5086" s="2">
        <v>5084</v>
      </c>
      <c r="B5086" s="2" t="str">
        <f>"林珍"</f>
        <v>林珍</v>
      </c>
      <c r="C5086" s="2" t="s">
        <v>4404</v>
      </c>
      <c r="D5086" s="2" t="s">
        <v>4451</v>
      </c>
      <c r="E5086" s="3"/>
    </row>
    <row r="5087" spans="1:5" ht="24.75" customHeight="1">
      <c r="A5087" s="2">
        <v>5085</v>
      </c>
      <c r="B5087" s="2" t="str">
        <f>"周蔚祚"</f>
        <v>周蔚祚</v>
      </c>
      <c r="C5087" s="2" t="s">
        <v>4404</v>
      </c>
      <c r="D5087" s="2" t="s">
        <v>4452</v>
      </c>
      <c r="E5087" s="3"/>
    </row>
    <row r="5088" spans="1:5" ht="24.75" customHeight="1">
      <c r="A5088" s="2">
        <v>5086</v>
      </c>
      <c r="B5088" s="2" t="str">
        <f>"王茜茜"</f>
        <v>王茜茜</v>
      </c>
      <c r="C5088" s="2" t="s">
        <v>4404</v>
      </c>
      <c r="D5088" s="2" t="s">
        <v>873</v>
      </c>
      <c r="E5088" s="3"/>
    </row>
    <row r="5089" spans="1:5" ht="24.75" customHeight="1">
      <c r="A5089" s="2">
        <v>5087</v>
      </c>
      <c r="B5089" s="2" t="str">
        <f>"赵日妮"</f>
        <v>赵日妮</v>
      </c>
      <c r="C5089" s="2" t="s">
        <v>4404</v>
      </c>
      <c r="D5089" s="2" t="s">
        <v>1055</v>
      </c>
      <c r="E5089" s="3"/>
    </row>
    <row r="5090" spans="1:5" ht="24.75" customHeight="1">
      <c r="A5090" s="2">
        <v>5088</v>
      </c>
      <c r="B5090" s="2" t="str">
        <f>"李宗清"</f>
        <v>李宗清</v>
      </c>
      <c r="C5090" s="2" t="s">
        <v>4404</v>
      </c>
      <c r="D5090" s="2" t="s">
        <v>4453</v>
      </c>
      <c r="E5090" s="3"/>
    </row>
    <row r="5091" spans="1:5" ht="24.75" customHeight="1">
      <c r="A5091" s="2">
        <v>5089</v>
      </c>
      <c r="B5091" s="2" t="str">
        <f>"林子婷"</f>
        <v>林子婷</v>
      </c>
      <c r="C5091" s="2" t="s">
        <v>4404</v>
      </c>
      <c r="D5091" s="2" t="s">
        <v>2623</v>
      </c>
      <c r="E5091" s="3"/>
    </row>
    <row r="5092" spans="1:5" ht="24.75" customHeight="1">
      <c r="A5092" s="2">
        <v>5090</v>
      </c>
      <c r="B5092" s="2" t="str">
        <f>"黎壮林"</f>
        <v>黎壮林</v>
      </c>
      <c r="C5092" s="2" t="s">
        <v>4404</v>
      </c>
      <c r="D5092" s="2" t="s">
        <v>4454</v>
      </c>
      <c r="E5092" s="3"/>
    </row>
    <row r="5093" spans="1:5" ht="24.75" customHeight="1">
      <c r="A5093" s="2">
        <v>5091</v>
      </c>
      <c r="B5093" s="2" t="str">
        <f>"邢慧慧"</f>
        <v>邢慧慧</v>
      </c>
      <c r="C5093" s="2" t="s">
        <v>4404</v>
      </c>
      <c r="D5093" s="2" t="s">
        <v>4455</v>
      </c>
      <c r="E5093" s="3"/>
    </row>
    <row r="5094" spans="1:5" ht="24.75" customHeight="1">
      <c r="A5094" s="2">
        <v>5092</v>
      </c>
      <c r="B5094" s="2" t="str">
        <f>"黄文骞"</f>
        <v>黄文骞</v>
      </c>
      <c r="C5094" s="2" t="s">
        <v>4404</v>
      </c>
      <c r="D5094" s="2" t="s">
        <v>2025</v>
      </c>
      <c r="E5094" s="3"/>
    </row>
    <row r="5095" spans="1:5" ht="24.75" customHeight="1">
      <c r="A5095" s="2">
        <v>5093</v>
      </c>
      <c r="B5095" s="2" t="str">
        <f>"林国胜"</f>
        <v>林国胜</v>
      </c>
      <c r="C5095" s="2" t="s">
        <v>4404</v>
      </c>
      <c r="D5095" s="2" t="s">
        <v>4456</v>
      </c>
      <c r="E5095" s="3"/>
    </row>
    <row r="5096" spans="1:5" ht="24.75" customHeight="1">
      <c r="A5096" s="2">
        <v>5094</v>
      </c>
      <c r="B5096" s="2" t="str">
        <f>"林玉慧"</f>
        <v>林玉慧</v>
      </c>
      <c r="C5096" s="2" t="s">
        <v>4404</v>
      </c>
      <c r="D5096" s="2" t="s">
        <v>4457</v>
      </c>
      <c r="E5096" s="3"/>
    </row>
    <row r="5097" spans="1:5" ht="24.75" customHeight="1">
      <c r="A5097" s="2">
        <v>5095</v>
      </c>
      <c r="B5097" s="2" t="str">
        <f>"何学祯"</f>
        <v>何学祯</v>
      </c>
      <c r="C5097" s="2" t="s">
        <v>4404</v>
      </c>
      <c r="D5097" s="2" t="s">
        <v>4458</v>
      </c>
      <c r="E5097" s="3"/>
    </row>
    <row r="5098" spans="1:5" ht="24.75" customHeight="1">
      <c r="A5098" s="2">
        <v>5096</v>
      </c>
      <c r="B5098" s="2" t="str">
        <f>"刘忆恒"</f>
        <v>刘忆恒</v>
      </c>
      <c r="C5098" s="2" t="s">
        <v>4404</v>
      </c>
      <c r="D5098" s="2" t="s">
        <v>4459</v>
      </c>
      <c r="E5098" s="3"/>
    </row>
    <row r="5099" spans="1:5" ht="24.75" customHeight="1">
      <c r="A5099" s="2">
        <v>5097</v>
      </c>
      <c r="B5099" s="2" t="str">
        <f>"黎秋飘"</f>
        <v>黎秋飘</v>
      </c>
      <c r="C5099" s="2" t="s">
        <v>4404</v>
      </c>
      <c r="D5099" s="2" t="s">
        <v>892</v>
      </c>
      <c r="E5099" s="3"/>
    </row>
    <row r="5100" spans="1:5" ht="24.75" customHeight="1">
      <c r="A5100" s="2">
        <v>5098</v>
      </c>
      <c r="B5100" s="2" t="str">
        <f>"黄娇"</f>
        <v>黄娇</v>
      </c>
      <c r="C5100" s="2" t="s">
        <v>4404</v>
      </c>
      <c r="D5100" s="2" t="s">
        <v>3903</v>
      </c>
      <c r="E5100" s="3"/>
    </row>
    <row r="5101" spans="1:5" ht="24.75" customHeight="1">
      <c r="A5101" s="2">
        <v>5099</v>
      </c>
      <c r="B5101" s="2" t="str">
        <f>"麦楠楠"</f>
        <v>麦楠楠</v>
      </c>
      <c r="C5101" s="2" t="s">
        <v>4404</v>
      </c>
      <c r="D5101" s="2" t="s">
        <v>4460</v>
      </c>
      <c r="E5101" s="3"/>
    </row>
    <row r="5102" spans="1:5" ht="24.75" customHeight="1">
      <c r="A5102" s="2">
        <v>5100</v>
      </c>
      <c r="B5102" s="2" t="str">
        <f>"唐惠柏"</f>
        <v>唐惠柏</v>
      </c>
      <c r="C5102" s="2" t="s">
        <v>4404</v>
      </c>
      <c r="D5102" s="2" t="s">
        <v>4461</v>
      </c>
      <c r="E5102" s="3"/>
    </row>
    <row r="5103" spans="1:5" ht="24.75" customHeight="1">
      <c r="A5103" s="2">
        <v>5101</v>
      </c>
      <c r="B5103" s="2" t="str">
        <f>"吴东满"</f>
        <v>吴东满</v>
      </c>
      <c r="C5103" s="2" t="s">
        <v>4404</v>
      </c>
      <c r="D5103" s="2" t="s">
        <v>4248</v>
      </c>
      <c r="E5103" s="3"/>
    </row>
    <row r="5104" spans="1:5" ht="24.75" customHeight="1">
      <c r="A5104" s="2">
        <v>5102</v>
      </c>
      <c r="B5104" s="2" t="str">
        <f>"余水茜"</f>
        <v>余水茜</v>
      </c>
      <c r="C5104" s="2" t="s">
        <v>4404</v>
      </c>
      <c r="D5104" s="2" t="s">
        <v>4462</v>
      </c>
      <c r="E5104" s="3"/>
    </row>
    <row r="5105" spans="1:5" ht="24.75" customHeight="1">
      <c r="A5105" s="2">
        <v>5103</v>
      </c>
      <c r="B5105" s="2" t="str">
        <f>"陈子仲"</f>
        <v>陈子仲</v>
      </c>
      <c r="C5105" s="2" t="s">
        <v>4404</v>
      </c>
      <c r="D5105" s="2" t="s">
        <v>4463</v>
      </c>
      <c r="E5105" s="3"/>
    </row>
    <row r="5106" spans="1:5" ht="24.75" customHeight="1">
      <c r="A5106" s="2">
        <v>5104</v>
      </c>
      <c r="B5106" s="2" t="str">
        <f>"李龙"</f>
        <v>李龙</v>
      </c>
      <c r="C5106" s="2" t="s">
        <v>4404</v>
      </c>
      <c r="D5106" s="2" t="s">
        <v>4464</v>
      </c>
      <c r="E5106" s="3"/>
    </row>
    <row r="5107" spans="1:5" ht="24.75" customHeight="1">
      <c r="A5107" s="2">
        <v>5105</v>
      </c>
      <c r="B5107" s="2" t="str">
        <f>"李青青"</f>
        <v>李青青</v>
      </c>
      <c r="C5107" s="2" t="s">
        <v>4404</v>
      </c>
      <c r="D5107" s="2" t="s">
        <v>4465</v>
      </c>
      <c r="E5107" s="3"/>
    </row>
    <row r="5108" spans="1:5" ht="24.75" customHeight="1">
      <c r="A5108" s="2">
        <v>5106</v>
      </c>
      <c r="B5108" s="2" t="str">
        <f>"唐婷婷"</f>
        <v>唐婷婷</v>
      </c>
      <c r="C5108" s="2" t="s">
        <v>4404</v>
      </c>
      <c r="D5108" s="2" t="s">
        <v>2572</v>
      </c>
      <c r="E5108" s="3"/>
    </row>
    <row r="5109" spans="1:5" ht="24.75" customHeight="1">
      <c r="A5109" s="2">
        <v>5107</v>
      </c>
      <c r="B5109" s="2" t="str">
        <f>"钟永莹"</f>
        <v>钟永莹</v>
      </c>
      <c r="C5109" s="2" t="s">
        <v>4404</v>
      </c>
      <c r="D5109" s="2" t="s">
        <v>3018</v>
      </c>
      <c r="E5109" s="3"/>
    </row>
    <row r="5110" spans="1:5" ht="24.75" customHeight="1">
      <c r="A5110" s="2">
        <v>5108</v>
      </c>
      <c r="B5110" s="2" t="str">
        <f>"朱蕾"</f>
        <v>朱蕾</v>
      </c>
      <c r="C5110" s="2" t="s">
        <v>4404</v>
      </c>
      <c r="D5110" s="2" t="s">
        <v>4466</v>
      </c>
      <c r="E5110" s="3"/>
    </row>
    <row r="5111" spans="1:5" ht="24.75" customHeight="1">
      <c r="A5111" s="2">
        <v>5109</v>
      </c>
      <c r="B5111" s="2" t="str">
        <f>"符冬"</f>
        <v>符冬</v>
      </c>
      <c r="C5111" s="2" t="s">
        <v>4404</v>
      </c>
      <c r="D5111" s="2" t="s">
        <v>4467</v>
      </c>
      <c r="E5111" s="3"/>
    </row>
    <row r="5112" spans="1:5" ht="24.75" customHeight="1">
      <c r="A5112" s="2">
        <v>5110</v>
      </c>
      <c r="B5112" s="2" t="str">
        <f>"黄方值"</f>
        <v>黄方值</v>
      </c>
      <c r="C5112" s="2" t="s">
        <v>4404</v>
      </c>
      <c r="D5112" s="2" t="s">
        <v>4468</v>
      </c>
      <c r="E5112" s="3"/>
    </row>
    <row r="5113" spans="1:5" ht="24.75" customHeight="1">
      <c r="A5113" s="2">
        <v>5111</v>
      </c>
      <c r="B5113" s="2" t="str">
        <f>"杜天云"</f>
        <v>杜天云</v>
      </c>
      <c r="C5113" s="2" t="s">
        <v>4404</v>
      </c>
      <c r="D5113" s="2" t="s">
        <v>4469</v>
      </c>
      <c r="E5113" s="3"/>
    </row>
    <row r="5114" spans="1:5" ht="24.75" customHeight="1">
      <c r="A5114" s="2">
        <v>5112</v>
      </c>
      <c r="B5114" s="2" t="str">
        <f>"陈柏汕"</f>
        <v>陈柏汕</v>
      </c>
      <c r="C5114" s="2" t="s">
        <v>4404</v>
      </c>
      <c r="D5114" s="2" t="s">
        <v>4470</v>
      </c>
      <c r="E5114" s="3"/>
    </row>
    <row r="5115" spans="1:5" ht="24.75" customHeight="1">
      <c r="A5115" s="2">
        <v>5113</v>
      </c>
      <c r="B5115" s="2" t="str">
        <f>"万珈利"</f>
        <v>万珈利</v>
      </c>
      <c r="C5115" s="2" t="s">
        <v>4404</v>
      </c>
      <c r="D5115" s="2" t="s">
        <v>4471</v>
      </c>
      <c r="E5115" s="3"/>
    </row>
    <row r="5116" spans="1:5" ht="24.75" customHeight="1">
      <c r="A5116" s="2">
        <v>5114</v>
      </c>
      <c r="B5116" s="2" t="str">
        <f>"符明熠"</f>
        <v>符明熠</v>
      </c>
      <c r="C5116" s="2" t="s">
        <v>4404</v>
      </c>
      <c r="D5116" s="2" t="s">
        <v>4472</v>
      </c>
      <c r="E5116" s="3"/>
    </row>
    <row r="5117" spans="1:5" ht="24.75" customHeight="1">
      <c r="A5117" s="2">
        <v>5115</v>
      </c>
      <c r="B5117" s="2" t="str">
        <f>"吴青穗"</f>
        <v>吴青穗</v>
      </c>
      <c r="C5117" s="2" t="s">
        <v>4404</v>
      </c>
      <c r="D5117" s="2" t="s">
        <v>4473</v>
      </c>
      <c r="E5117" s="3"/>
    </row>
    <row r="5118" spans="1:5" ht="24.75" customHeight="1">
      <c r="A5118" s="2">
        <v>5116</v>
      </c>
      <c r="B5118" s="2" t="str">
        <f>"黄丹洋"</f>
        <v>黄丹洋</v>
      </c>
      <c r="C5118" s="2" t="s">
        <v>4404</v>
      </c>
      <c r="D5118" s="2" t="s">
        <v>4474</v>
      </c>
      <c r="E5118" s="3"/>
    </row>
    <row r="5119" spans="1:5" ht="24.75" customHeight="1">
      <c r="A5119" s="2">
        <v>5117</v>
      </c>
      <c r="B5119" s="2" t="str">
        <f>"周亚贞"</f>
        <v>周亚贞</v>
      </c>
      <c r="C5119" s="2" t="s">
        <v>4404</v>
      </c>
      <c r="D5119" s="2" t="s">
        <v>4475</v>
      </c>
      <c r="E5119" s="3"/>
    </row>
    <row r="5120" spans="1:5" ht="24.75" customHeight="1">
      <c r="A5120" s="2">
        <v>5118</v>
      </c>
      <c r="B5120" s="2" t="str">
        <f>"羊茵"</f>
        <v>羊茵</v>
      </c>
      <c r="C5120" s="2" t="s">
        <v>4404</v>
      </c>
      <c r="D5120" s="2" t="s">
        <v>697</v>
      </c>
      <c r="E5120" s="3"/>
    </row>
    <row r="5121" spans="1:5" ht="24.75" customHeight="1">
      <c r="A5121" s="2">
        <v>5119</v>
      </c>
      <c r="B5121" s="2" t="str">
        <f>"林道鹏"</f>
        <v>林道鹏</v>
      </c>
      <c r="C5121" s="2" t="s">
        <v>4404</v>
      </c>
      <c r="D5121" s="2" t="s">
        <v>1061</v>
      </c>
      <c r="E5121" s="3"/>
    </row>
    <row r="5122" spans="1:5" ht="24.75" customHeight="1">
      <c r="A5122" s="2">
        <v>5120</v>
      </c>
      <c r="B5122" s="2" t="str">
        <f>"黄翠蓉"</f>
        <v>黄翠蓉</v>
      </c>
      <c r="C5122" s="2" t="s">
        <v>4404</v>
      </c>
      <c r="D5122" s="2" t="s">
        <v>4476</v>
      </c>
      <c r="E5122" s="3"/>
    </row>
    <row r="5123" spans="1:5" ht="24.75" customHeight="1">
      <c r="A5123" s="2">
        <v>5121</v>
      </c>
      <c r="B5123" s="2" t="str">
        <f>"丁紫欣"</f>
        <v>丁紫欣</v>
      </c>
      <c r="C5123" s="2" t="s">
        <v>4404</v>
      </c>
      <c r="D5123" s="2" t="s">
        <v>1940</v>
      </c>
      <c r="E5123" s="3"/>
    </row>
    <row r="5124" spans="1:5" ht="24.75" customHeight="1">
      <c r="A5124" s="2">
        <v>5122</v>
      </c>
      <c r="B5124" s="2" t="str">
        <f>"莫明明"</f>
        <v>莫明明</v>
      </c>
      <c r="C5124" s="2" t="s">
        <v>4477</v>
      </c>
      <c r="D5124" s="2" t="s">
        <v>2473</v>
      </c>
      <c r="E5124" s="3"/>
    </row>
    <row r="5125" spans="1:5" ht="24.75" customHeight="1">
      <c r="A5125" s="2">
        <v>5123</v>
      </c>
      <c r="B5125" s="2" t="str">
        <f>"李盛培"</f>
        <v>李盛培</v>
      </c>
      <c r="C5125" s="2" t="s">
        <v>4477</v>
      </c>
      <c r="D5125" s="2" t="s">
        <v>4478</v>
      </c>
      <c r="E5125" s="3"/>
    </row>
    <row r="5126" spans="1:5" ht="24.75" customHeight="1">
      <c r="A5126" s="2">
        <v>5124</v>
      </c>
      <c r="B5126" s="2" t="str">
        <f>"赵光浪"</f>
        <v>赵光浪</v>
      </c>
      <c r="C5126" s="2" t="s">
        <v>4477</v>
      </c>
      <c r="D5126" s="2" t="s">
        <v>2590</v>
      </c>
      <c r="E5126" s="3"/>
    </row>
    <row r="5127" spans="1:5" ht="24.75" customHeight="1">
      <c r="A5127" s="2">
        <v>5125</v>
      </c>
      <c r="B5127" s="2" t="str">
        <f>"王宇宇"</f>
        <v>王宇宇</v>
      </c>
      <c r="C5127" s="2" t="s">
        <v>4477</v>
      </c>
      <c r="D5127" s="2" t="s">
        <v>4479</v>
      </c>
      <c r="E5127" s="3"/>
    </row>
    <row r="5128" spans="1:5" ht="24.75" customHeight="1">
      <c r="A5128" s="2">
        <v>5126</v>
      </c>
      <c r="B5128" s="2" t="str">
        <f>"杨发勇"</f>
        <v>杨发勇</v>
      </c>
      <c r="C5128" s="2" t="s">
        <v>4477</v>
      </c>
      <c r="D5128" s="2" t="s">
        <v>4480</v>
      </c>
      <c r="E5128" s="3"/>
    </row>
    <row r="5129" spans="1:5" ht="24.75" customHeight="1">
      <c r="A5129" s="2">
        <v>5127</v>
      </c>
      <c r="B5129" s="2" t="str">
        <f>"施林忠"</f>
        <v>施林忠</v>
      </c>
      <c r="C5129" s="2" t="s">
        <v>4477</v>
      </c>
      <c r="D5129" s="2" t="s">
        <v>4481</v>
      </c>
      <c r="E5129" s="3"/>
    </row>
    <row r="5130" spans="1:5" ht="24.75" customHeight="1">
      <c r="A5130" s="2">
        <v>5128</v>
      </c>
      <c r="B5130" s="2" t="str">
        <f>"林文"</f>
        <v>林文</v>
      </c>
      <c r="C5130" s="2" t="s">
        <v>4477</v>
      </c>
      <c r="D5130" s="2" t="s">
        <v>4482</v>
      </c>
      <c r="E5130" s="3"/>
    </row>
    <row r="5131" spans="1:5" ht="24.75" customHeight="1">
      <c r="A5131" s="2">
        <v>5129</v>
      </c>
      <c r="B5131" s="2" t="str">
        <f>"刘子婷"</f>
        <v>刘子婷</v>
      </c>
      <c r="C5131" s="2" t="s">
        <v>4477</v>
      </c>
      <c r="D5131" s="2" t="s">
        <v>4483</v>
      </c>
      <c r="E5131" s="3"/>
    </row>
    <row r="5132" spans="1:5" ht="24.75" customHeight="1">
      <c r="A5132" s="2">
        <v>5130</v>
      </c>
      <c r="B5132" s="2" t="str">
        <f>"代福"</f>
        <v>代福</v>
      </c>
      <c r="C5132" s="2" t="s">
        <v>4477</v>
      </c>
      <c r="D5132" s="2" t="s">
        <v>4484</v>
      </c>
      <c r="E5132" s="3"/>
    </row>
    <row r="5133" spans="1:5" ht="24.75" customHeight="1">
      <c r="A5133" s="2">
        <v>5131</v>
      </c>
      <c r="B5133" s="2" t="str">
        <f>"刘顺献"</f>
        <v>刘顺献</v>
      </c>
      <c r="C5133" s="2" t="s">
        <v>4477</v>
      </c>
      <c r="D5133" s="2" t="s">
        <v>4485</v>
      </c>
      <c r="E5133" s="3"/>
    </row>
    <row r="5134" spans="1:5" ht="24.75" customHeight="1">
      <c r="A5134" s="2">
        <v>5132</v>
      </c>
      <c r="B5134" s="2" t="str">
        <f>"关洛桐"</f>
        <v>关洛桐</v>
      </c>
      <c r="C5134" s="2" t="s">
        <v>4477</v>
      </c>
      <c r="D5134" s="2" t="s">
        <v>4486</v>
      </c>
      <c r="E5134" s="3"/>
    </row>
    <row r="5135" spans="1:5" ht="24.75" customHeight="1">
      <c r="A5135" s="2">
        <v>5133</v>
      </c>
      <c r="B5135" s="2" t="str">
        <f>"王秋武"</f>
        <v>王秋武</v>
      </c>
      <c r="C5135" s="2" t="s">
        <v>4477</v>
      </c>
      <c r="D5135" s="2" t="s">
        <v>137</v>
      </c>
      <c r="E5135" s="3"/>
    </row>
    <row r="5136" spans="1:5" ht="24.75" customHeight="1">
      <c r="A5136" s="2">
        <v>5134</v>
      </c>
      <c r="B5136" s="2" t="str">
        <f>"陈泰锎"</f>
        <v>陈泰锎</v>
      </c>
      <c r="C5136" s="2" t="s">
        <v>4477</v>
      </c>
      <c r="D5136" s="2" t="s">
        <v>4487</v>
      </c>
      <c r="E5136" s="3"/>
    </row>
    <row r="5137" spans="1:5" ht="24.75" customHeight="1">
      <c r="A5137" s="2">
        <v>5135</v>
      </c>
      <c r="B5137" s="2" t="str">
        <f>"康丹丹"</f>
        <v>康丹丹</v>
      </c>
      <c r="C5137" s="2" t="s">
        <v>4477</v>
      </c>
      <c r="D5137" s="2" t="s">
        <v>4488</v>
      </c>
      <c r="E5137" s="3"/>
    </row>
    <row r="5138" spans="1:5" ht="24.75" customHeight="1">
      <c r="A5138" s="2">
        <v>5136</v>
      </c>
      <c r="B5138" s="2" t="str">
        <f>"肖俊志"</f>
        <v>肖俊志</v>
      </c>
      <c r="C5138" s="2" t="s">
        <v>4477</v>
      </c>
      <c r="D5138" s="2" t="s">
        <v>3424</v>
      </c>
      <c r="E5138" s="3"/>
    </row>
    <row r="5139" spans="1:5" ht="24.75" customHeight="1">
      <c r="A5139" s="2">
        <v>5137</v>
      </c>
      <c r="B5139" s="2" t="str">
        <f>"葛佳钰"</f>
        <v>葛佳钰</v>
      </c>
      <c r="C5139" s="2" t="s">
        <v>4477</v>
      </c>
      <c r="D5139" s="2" t="s">
        <v>4489</v>
      </c>
      <c r="E5139" s="3"/>
    </row>
    <row r="5140" spans="1:5" ht="24.75" customHeight="1">
      <c r="A5140" s="2">
        <v>5138</v>
      </c>
      <c r="B5140" s="2" t="str">
        <f>"陈清豪"</f>
        <v>陈清豪</v>
      </c>
      <c r="C5140" s="2" t="s">
        <v>4477</v>
      </c>
      <c r="D5140" s="2" t="s">
        <v>4490</v>
      </c>
      <c r="E5140" s="3"/>
    </row>
    <row r="5141" spans="1:5" ht="24.75" customHeight="1">
      <c r="A5141" s="2">
        <v>5139</v>
      </c>
      <c r="B5141" s="2" t="str">
        <f>"李昇龙"</f>
        <v>李昇龙</v>
      </c>
      <c r="C5141" s="2" t="s">
        <v>4477</v>
      </c>
      <c r="D5141" s="2" t="s">
        <v>4491</v>
      </c>
      <c r="E5141" s="3"/>
    </row>
    <row r="5142" spans="1:5" ht="24.75" customHeight="1">
      <c r="A5142" s="2">
        <v>5140</v>
      </c>
      <c r="B5142" s="2" t="str">
        <f>"赖玉芳"</f>
        <v>赖玉芳</v>
      </c>
      <c r="C5142" s="2" t="s">
        <v>4477</v>
      </c>
      <c r="D5142" s="2" t="s">
        <v>4492</v>
      </c>
      <c r="E5142" s="3"/>
    </row>
    <row r="5143" spans="1:5" ht="24.75" customHeight="1">
      <c r="A5143" s="2">
        <v>5141</v>
      </c>
      <c r="B5143" s="2" t="str">
        <f>"海彪"</f>
        <v>海彪</v>
      </c>
      <c r="C5143" s="2" t="s">
        <v>4477</v>
      </c>
      <c r="D5143" s="2" t="s">
        <v>4493</v>
      </c>
      <c r="E5143" s="3"/>
    </row>
    <row r="5144" spans="1:5" ht="24.75" customHeight="1">
      <c r="A5144" s="2">
        <v>5142</v>
      </c>
      <c r="B5144" s="2" t="str">
        <f>"孙华容"</f>
        <v>孙华容</v>
      </c>
      <c r="C5144" s="2" t="s">
        <v>4477</v>
      </c>
      <c r="D5144" s="2" t="s">
        <v>4435</v>
      </c>
      <c r="E5144" s="3"/>
    </row>
    <row r="5145" spans="1:5" ht="24.75" customHeight="1">
      <c r="A5145" s="2">
        <v>5143</v>
      </c>
      <c r="B5145" s="2" t="str">
        <f>"张福培"</f>
        <v>张福培</v>
      </c>
      <c r="C5145" s="2" t="s">
        <v>4477</v>
      </c>
      <c r="D5145" s="2" t="s">
        <v>3629</v>
      </c>
      <c r="E5145" s="3"/>
    </row>
    <row r="5146" spans="1:5" ht="24.75" customHeight="1">
      <c r="A5146" s="2">
        <v>5144</v>
      </c>
      <c r="B5146" s="2" t="str">
        <f>"刘鑫蕾"</f>
        <v>刘鑫蕾</v>
      </c>
      <c r="C5146" s="2" t="s">
        <v>4477</v>
      </c>
      <c r="D5146" s="2" t="s">
        <v>4494</v>
      </c>
      <c r="E5146" s="3"/>
    </row>
    <row r="5147" spans="1:5" ht="24.75" customHeight="1">
      <c r="A5147" s="2">
        <v>5145</v>
      </c>
      <c r="B5147" s="2" t="str">
        <f>"张艺珂"</f>
        <v>张艺珂</v>
      </c>
      <c r="C5147" s="2" t="s">
        <v>4477</v>
      </c>
      <c r="D5147" s="2" t="s">
        <v>4495</v>
      </c>
      <c r="E5147" s="3"/>
    </row>
    <row r="5148" spans="1:5" ht="24.75" customHeight="1">
      <c r="A5148" s="2">
        <v>5146</v>
      </c>
      <c r="B5148" s="2" t="str">
        <f>"吉少稀"</f>
        <v>吉少稀</v>
      </c>
      <c r="C5148" s="2" t="s">
        <v>4477</v>
      </c>
      <c r="D5148" s="2" t="s">
        <v>4496</v>
      </c>
      <c r="E5148" s="3"/>
    </row>
    <row r="5149" spans="1:5" ht="24.75" customHeight="1">
      <c r="A5149" s="2">
        <v>5147</v>
      </c>
      <c r="B5149" s="2" t="str">
        <f>"陈积姑"</f>
        <v>陈积姑</v>
      </c>
      <c r="C5149" s="2" t="s">
        <v>4477</v>
      </c>
      <c r="D5149" s="2" t="s">
        <v>4497</v>
      </c>
      <c r="E5149" s="3"/>
    </row>
    <row r="5150" spans="1:5" ht="24.75" customHeight="1">
      <c r="A5150" s="2">
        <v>5148</v>
      </c>
      <c r="B5150" s="2" t="str">
        <f>"邢婉"</f>
        <v>邢婉</v>
      </c>
      <c r="C5150" s="2" t="s">
        <v>4477</v>
      </c>
      <c r="D5150" s="2" t="s">
        <v>4498</v>
      </c>
      <c r="E5150" s="3"/>
    </row>
    <row r="5151" spans="1:5" ht="24.75" customHeight="1">
      <c r="A5151" s="2">
        <v>5149</v>
      </c>
      <c r="B5151" s="2" t="str">
        <f>"邢书华"</f>
        <v>邢书华</v>
      </c>
      <c r="C5151" s="2" t="s">
        <v>4477</v>
      </c>
      <c r="D5151" s="2" t="s">
        <v>3413</v>
      </c>
      <c r="E5151" s="3"/>
    </row>
    <row r="5152" spans="1:5" ht="24.75" customHeight="1">
      <c r="A5152" s="2">
        <v>5150</v>
      </c>
      <c r="B5152" s="2" t="str">
        <f>"徐茂钧"</f>
        <v>徐茂钧</v>
      </c>
      <c r="C5152" s="2" t="s">
        <v>4477</v>
      </c>
      <c r="D5152" s="2" t="s">
        <v>4105</v>
      </c>
      <c r="E5152" s="3"/>
    </row>
    <row r="5153" spans="1:5" ht="24.75" customHeight="1">
      <c r="A5153" s="2">
        <v>5151</v>
      </c>
      <c r="B5153" s="2" t="str">
        <f>"王隆智"</f>
        <v>王隆智</v>
      </c>
      <c r="C5153" s="2" t="s">
        <v>4477</v>
      </c>
      <c r="D5153" s="2" t="s">
        <v>4499</v>
      </c>
      <c r="E5153" s="3"/>
    </row>
    <row r="5154" spans="1:5" ht="24.75" customHeight="1">
      <c r="A5154" s="2">
        <v>5152</v>
      </c>
      <c r="B5154" s="2" t="str">
        <f>"李红"</f>
        <v>李红</v>
      </c>
      <c r="C5154" s="2" t="s">
        <v>4477</v>
      </c>
      <c r="D5154" s="2" t="s">
        <v>2728</v>
      </c>
      <c r="E5154" s="3"/>
    </row>
    <row r="5155" spans="1:5" ht="24.75" customHeight="1">
      <c r="A5155" s="2">
        <v>5153</v>
      </c>
      <c r="B5155" s="2" t="str">
        <f>"郑思凯"</f>
        <v>郑思凯</v>
      </c>
      <c r="C5155" s="2" t="s">
        <v>4477</v>
      </c>
      <c r="D5155" s="2" t="s">
        <v>4500</v>
      </c>
      <c r="E5155" s="3"/>
    </row>
    <row r="5156" spans="1:5" ht="24.75" customHeight="1">
      <c r="A5156" s="2">
        <v>5154</v>
      </c>
      <c r="B5156" s="2" t="str">
        <f>"朱振夫"</f>
        <v>朱振夫</v>
      </c>
      <c r="C5156" s="2" t="s">
        <v>4477</v>
      </c>
      <c r="D5156" s="2" t="s">
        <v>4501</v>
      </c>
      <c r="E5156" s="3"/>
    </row>
    <row r="5157" spans="1:5" ht="24.75" customHeight="1">
      <c r="A5157" s="2">
        <v>5155</v>
      </c>
      <c r="B5157" s="2" t="str">
        <f>"李诗杰"</f>
        <v>李诗杰</v>
      </c>
      <c r="C5157" s="2" t="s">
        <v>4477</v>
      </c>
      <c r="D5157" s="2" t="s">
        <v>4502</v>
      </c>
      <c r="E5157" s="3"/>
    </row>
    <row r="5158" spans="1:5" ht="24.75" customHeight="1">
      <c r="A5158" s="2">
        <v>5156</v>
      </c>
      <c r="B5158" s="2" t="str">
        <f>"叶子姗"</f>
        <v>叶子姗</v>
      </c>
      <c r="C5158" s="2" t="s">
        <v>4477</v>
      </c>
      <c r="D5158" s="2" t="s">
        <v>4503</v>
      </c>
      <c r="E5158" s="3"/>
    </row>
    <row r="5159" spans="1:5" ht="24.75" customHeight="1">
      <c r="A5159" s="2">
        <v>5157</v>
      </c>
      <c r="B5159" s="2" t="str">
        <f>"赵宗权"</f>
        <v>赵宗权</v>
      </c>
      <c r="C5159" s="2" t="s">
        <v>4477</v>
      </c>
      <c r="D5159" s="2" t="s">
        <v>4504</v>
      </c>
      <c r="E5159" s="3"/>
    </row>
    <row r="5160" spans="1:5" ht="24.75" customHeight="1">
      <c r="A5160" s="2">
        <v>5158</v>
      </c>
      <c r="B5160" s="2" t="str">
        <f>"谢春花"</f>
        <v>谢春花</v>
      </c>
      <c r="C5160" s="2" t="s">
        <v>4477</v>
      </c>
      <c r="D5160" s="2" t="s">
        <v>4505</v>
      </c>
      <c r="E5160" s="3"/>
    </row>
    <row r="5161" spans="1:5" ht="24.75" customHeight="1">
      <c r="A5161" s="2">
        <v>5159</v>
      </c>
      <c r="B5161" s="2" t="str">
        <f>"蔡昌龙"</f>
        <v>蔡昌龙</v>
      </c>
      <c r="C5161" s="2" t="s">
        <v>4477</v>
      </c>
      <c r="D5161" s="2" t="s">
        <v>4506</v>
      </c>
      <c r="E5161" s="3"/>
    </row>
    <row r="5162" spans="1:5" ht="24.75" customHeight="1">
      <c r="A5162" s="2">
        <v>5160</v>
      </c>
      <c r="B5162" s="2" t="str">
        <f>"陈兴盛"</f>
        <v>陈兴盛</v>
      </c>
      <c r="C5162" s="2" t="s">
        <v>4477</v>
      </c>
      <c r="D5162" s="2" t="s">
        <v>4507</v>
      </c>
      <c r="E5162" s="3"/>
    </row>
    <row r="5163" spans="1:5" ht="24.75" customHeight="1">
      <c r="A5163" s="2">
        <v>5161</v>
      </c>
      <c r="B5163" s="2" t="str">
        <f>"邢孔浩"</f>
        <v>邢孔浩</v>
      </c>
      <c r="C5163" s="2" t="s">
        <v>4477</v>
      </c>
      <c r="D5163" s="2" t="s">
        <v>1233</v>
      </c>
      <c r="E5163" s="3"/>
    </row>
    <row r="5164" spans="1:5" ht="24.75" customHeight="1">
      <c r="A5164" s="2">
        <v>5162</v>
      </c>
      <c r="B5164" s="2" t="str">
        <f>"林永基"</f>
        <v>林永基</v>
      </c>
      <c r="C5164" s="2" t="s">
        <v>4508</v>
      </c>
      <c r="D5164" s="2" t="s">
        <v>4509</v>
      </c>
      <c r="E5164" s="3"/>
    </row>
    <row r="5165" spans="1:5" ht="24.75" customHeight="1">
      <c r="A5165" s="2">
        <v>5163</v>
      </c>
      <c r="B5165" s="2" t="str">
        <f>"蔡仁景"</f>
        <v>蔡仁景</v>
      </c>
      <c r="C5165" s="2" t="s">
        <v>4508</v>
      </c>
      <c r="D5165" s="2" t="s">
        <v>4510</v>
      </c>
      <c r="E5165" s="3"/>
    </row>
    <row r="5166" spans="1:5" ht="24.75" customHeight="1">
      <c r="A5166" s="2">
        <v>5164</v>
      </c>
      <c r="B5166" s="2" t="str">
        <f>"杨柔"</f>
        <v>杨柔</v>
      </c>
      <c r="C5166" s="2" t="s">
        <v>4508</v>
      </c>
      <c r="D5166" s="2" t="s">
        <v>517</v>
      </c>
      <c r="E5166" s="3"/>
    </row>
    <row r="5167" spans="1:5" ht="24.75" customHeight="1">
      <c r="A5167" s="2">
        <v>5165</v>
      </c>
      <c r="B5167" s="2" t="str">
        <f>"符礼诗"</f>
        <v>符礼诗</v>
      </c>
      <c r="C5167" s="2" t="s">
        <v>4508</v>
      </c>
      <c r="D5167" s="2" t="s">
        <v>4511</v>
      </c>
      <c r="E5167" s="3"/>
    </row>
    <row r="5168" spans="1:5" ht="24.75" customHeight="1">
      <c r="A5168" s="2">
        <v>5166</v>
      </c>
      <c r="B5168" s="2" t="str">
        <f>"何业聪"</f>
        <v>何业聪</v>
      </c>
      <c r="C5168" s="2" t="s">
        <v>4508</v>
      </c>
      <c r="D5168" s="2" t="s">
        <v>4512</v>
      </c>
      <c r="E5168" s="3"/>
    </row>
    <row r="5169" spans="1:5" ht="24.75" customHeight="1">
      <c r="A5169" s="2">
        <v>5167</v>
      </c>
      <c r="B5169" s="2" t="str">
        <f>"许环成"</f>
        <v>许环成</v>
      </c>
      <c r="C5169" s="2" t="s">
        <v>4508</v>
      </c>
      <c r="D5169" s="2" t="s">
        <v>1694</v>
      </c>
      <c r="E5169" s="3"/>
    </row>
    <row r="5170" spans="1:5" ht="24.75" customHeight="1">
      <c r="A5170" s="2">
        <v>5168</v>
      </c>
      <c r="B5170" s="2" t="str">
        <f>"陈太堂"</f>
        <v>陈太堂</v>
      </c>
      <c r="C5170" s="2" t="s">
        <v>4508</v>
      </c>
      <c r="D5170" s="2" t="s">
        <v>4513</v>
      </c>
      <c r="E5170" s="3"/>
    </row>
    <row r="5171" spans="1:5" ht="24.75" customHeight="1">
      <c r="A5171" s="2">
        <v>5169</v>
      </c>
      <c r="B5171" s="2" t="str">
        <f>"李总懂"</f>
        <v>李总懂</v>
      </c>
      <c r="C5171" s="2" t="s">
        <v>4508</v>
      </c>
      <c r="D5171" s="2" t="s">
        <v>4514</v>
      </c>
      <c r="E5171" s="3"/>
    </row>
    <row r="5172" spans="1:5" ht="24.75" customHeight="1">
      <c r="A5172" s="2">
        <v>5170</v>
      </c>
      <c r="B5172" s="2" t="str">
        <f>"黄鑫銮"</f>
        <v>黄鑫銮</v>
      </c>
      <c r="C5172" s="2" t="s">
        <v>4508</v>
      </c>
      <c r="D5172" s="2" t="s">
        <v>371</v>
      </c>
      <c r="E5172" s="3"/>
    </row>
    <row r="5173" spans="1:5" ht="24.75" customHeight="1">
      <c r="A5173" s="2">
        <v>5171</v>
      </c>
      <c r="B5173" s="2" t="str">
        <f>"陈旭龙"</f>
        <v>陈旭龙</v>
      </c>
      <c r="C5173" s="2" t="s">
        <v>4508</v>
      </c>
      <c r="D5173" s="2" t="s">
        <v>4515</v>
      </c>
      <c r="E5173" s="3"/>
    </row>
    <row r="5174" spans="1:5" ht="24.75" customHeight="1">
      <c r="A5174" s="2">
        <v>5172</v>
      </c>
      <c r="B5174" s="2" t="str">
        <f>"王莉"</f>
        <v>王莉</v>
      </c>
      <c r="C5174" s="2" t="s">
        <v>4508</v>
      </c>
      <c r="D5174" s="2" t="s">
        <v>4516</v>
      </c>
      <c r="E5174" s="3"/>
    </row>
    <row r="5175" spans="1:5" ht="24.75" customHeight="1">
      <c r="A5175" s="2">
        <v>5173</v>
      </c>
      <c r="B5175" s="2" t="str">
        <f>"林敏亮"</f>
        <v>林敏亮</v>
      </c>
      <c r="C5175" s="2" t="s">
        <v>4508</v>
      </c>
      <c r="D5175" s="2" t="s">
        <v>4517</v>
      </c>
      <c r="E5175" s="3"/>
    </row>
    <row r="5176" spans="1:5" ht="24.75" customHeight="1">
      <c r="A5176" s="2">
        <v>5174</v>
      </c>
      <c r="B5176" s="2" t="str">
        <f>"邢维斌"</f>
        <v>邢维斌</v>
      </c>
      <c r="C5176" s="2" t="s">
        <v>4508</v>
      </c>
      <c r="D5176" s="2" t="s">
        <v>4518</v>
      </c>
      <c r="E5176" s="3"/>
    </row>
    <row r="5177" spans="1:5" ht="24.75" customHeight="1">
      <c r="A5177" s="2">
        <v>5175</v>
      </c>
      <c r="B5177" s="2" t="str">
        <f>"曾德穗"</f>
        <v>曾德穗</v>
      </c>
      <c r="C5177" s="2" t="s">
        <v>4508</v>
      </c>
      <c r="D5177" s="2" t="s">
        <v>4519</v>
      </c>
      <c r="E5177" s="3"/>
    </row>
    <row r="5178" spans="1:5" ht="24.75" customHeight="1">
      <c r="A5178" s="2">
        <v>5176</v>
      </c>
      <c r="B5178" s="2" t="str">
        <f>"吉茜"</f>
        <v>吉茜</v>
      </c>
      <c r="C5178" s="2" t="s">
        <v>4508</v>
      </c>
      <c r="D5178" s="2" t="s">
        <v>4520</v>
      </c>
      <c r="E5178" s="3"/>
    </row>
    <row r="5179" spans="1:5" ht="24.75" customHeight="1">
      <c r="A5179" s="2">
        <v>5177</v>
      </c>
      <c r="B5179" s="2" t="str">
        <f>"吉家文"</f>
        <v>吉家文</v>
      </c>
      <c r="C5179" s="2" t="s">
        <v>4508</v>
      </c>
      <c r="D5179" s="2" t="s">
        <v>4499</v>
      </c>
      <c r="E5179" s="3"/>
    </row>
    <row r="5180" spans="1:5" ht="24.75" customHeight="1">
      <c r="A5180" s="2">
        <v>5178</v>
      </c>
      <c r="B5180" s="2" t="str">
        <f>"吴菲菲"</f>
        <v>吴菲菲</v>
      </c>
      <c r="C5180" s="2" t="s">
        <v>4508</v>
      </c>
      <c r="D5180" s="2" t="s">
        <v>40</v>
      </c>
      <c r="E5180" s="3"/>
    </row>
    <row r="5181" spans="1:5" ht="24.75" customHeight="1">
      <c r="A5181" s="2">
        <v>5179</v>
      </c>
      <c r="B5181" s="2" t="str">
        <f>"邢孔体"</f>
        <v>邢孔体</v>
      </c>
      <c r="C5181" s="2" t="s">
        <v>4508</v>
      </c>
      <c r="D5181" s="2" t="s">
        <v>4521</v>
      </c>
      <c r="E5181" s="3"/>
    </row>
    <row r="5182" spans="1:5" ht="24.75" customHeight="1">
      <c r="A5182" s="2">
        <v>5180</v>
      </c>
      <c r="B5182" s="2" t="str">
        <f>"黎训飞"</f>
        <v>黎训飞</v>
      </c>
      <c r="C5182" s="2" t="s">
        <v>4508</v>
      </c>
      <c r="D5182" s="2" t="s">
        <v>4522</v>
      </c>
      <c r="E5182" s="3"/>
    </row>
    <row r="5183" spans="1:5" ht="24.75" customHeight="1">
      <c r="A5183" s="2">
        <v>5181</v>
      </c>
      <c r="B5183" s="2" t="str">
        <f>"卓雪玉"</f>
        <v>卓雪玉</v>
      </c>
      <c r="C5183" s="2" t="s">
        <v>4508</v>
      </c>
      <c r="D5183" s="2" t="s">
        <v>3183</v>
      </c>
      <c r="E5183" s="3"/>
    </row>
    <row r="5184" spans="1:5" ht="24.75" customHeight="1">
      <c r="A5184" s="2">
        <v>5182</v>
      </c>
      <c r="B5184" s="2" t="str">
        <f>"盛受能"</f>
        <v>盛受能</v>
      </c>
      <c r="C5184" s="2" t="s">
        <v>4508</v>
      </c>
      <c r="D5184" s="2" t="s">
        <v>4523</v>
      </c>
      <c r="E5184" s="3"/>
    </row>
    <row r="5185" spans="1:5" ht="24.75" customHeight="1">
      <c r="A5185" s="2">
        <v>5183</v>
      </c>
      <c r="B5185" s="2" t="str">
        <f>"钟宇"</f>
        <v>钟宇</v>
      </c>
      <c r="C5185" s="2" t="s">
        <v>4508</v>
      </c>
      <c r="D5185" s="2" t="s">
        <v>4524</v>
      </c>
      <c r="E5185" s="3"/>
    </row>
    <row r="5186" spans="1:5" ht="24.75" customHeight="1">
      <c r="A5186" s="2">
        <v>5184</v>
      </c>
      <c r="B5186" s="2" t="str">
        <f>"吴源俊"</f>
        <v>吴源俊</v>
      </c>
      <c r="C5186" s="2" t="s">
        <v>4508</v>
      </c>
      <c r="D5186" s="2" t="s">
        <v>4525</v>
      </c>
      <c r="E5186" s="3"/>
    </row>
    <row r="5187" spans="1:5" ht="24.75" customHeight="1">
      <c r="A5187" s="2">
        <v>5185</v>
      </c>
      <c r="B5187" s="2" t="str">
        <f>"赵春雨"</f>
        <v>赵春雨</v>
      </c>
      <c r="C5187" s="2" t="s">
        <v>4508</v>
      </c>
      <c r="D5187" s="2" t="s">
        <v>4526</v>
      </c>
      <c r="E5187" s="3"/>
    </row>
    <row r="5188" spans="1:5" ht="24.75" customHeight="1">
      <c r="A5188" s="2">
        <v>5186</v>
      </c>
      <c r="B5188" s="2" t="str">
        <f>"卢晓辉"</f>
        <v>卢晓辉</v>
      </c>
      <c r="C5188" s="2" t="s">
        <v>4508</v>
      </c>
      <c r="D5188" s="2" t="s">
        <v>4527</v>
      </c>
      <c r="E5188" s="3"/>
    </row>
    <row r="5189" spans="1:5" ht="24.75" customHeight="1">
      <c r="A5189" s="2">
        <v>5187</v>
      </c>
      <c r="B5189" s="2" t="str">
        <f>"苏志民"</f>
        <v>苏志民</v>
      </c>
      <c r="C5189" s="2" t="s">
        <v>4508</v>
      </c>
      <c r="D5189" s="2" t="s">
        <v>1428</v>
      </c>
      <c r="E5189" s="3"/>
    </row>
    <row r="5190" spans="1:5" ht="24.75" customHeight="1">
      <c r="A5190" s="2">
        <v>5188</v>
      </c>
      <c r="B5190" s="2" t="str">
        <f>"邢孔锐"</f>
        <v>邢孔锐</v>
      </c>
      <c r="C5190" s="2" t="s">
        <v>4508</v>
      </c>
      <c r="D5190" s="2" t="s">
        <v>4527</v>
      </c>
      <c r="E5190" s="3"/>
    </row>
    <row r="5191" spans="1:5" ht="24.75" customHeight="1">
      <c r="A5191" s="2">
        <v>5189</v>
      </c>
      <c r="B5191" s="2" t="str">
        <f>"兰博涵"</f>
        <v>兰博涵</v>
      </c>
      <c r="C5191" s="2" t="s">
        <v>4508</v>
      </c>
      <c r="D5191" s="2" t="s">
        <v>4528</v>
      </c>
      <c r="E5191" s="3"/>
    </row>
    <row r="5192" spans="1:5" ht="24.75" customHeight="1">
      <c r="A5192" s="2">
        <v>5190</v>
      </c>
      <c r="B5192" s="2" t="str">
        <f>"符传明"</f>
        <v>符传明</v>
      </c>
      <c r="C5192" s="2" t="s">
        <v>4508</v>
      </c>
      <c r="D5192" s="2" t="s">
        <v>4529</v>
      </c>
      <c r="E5192" s="3"/>
    </row>
    <row r="5193" spans="1:5" ht="24.75" customHeight="1">
      <c r="A5193" s="2">
        <v>5191</v>
      </c>
      <c r="B5193" s="2" t="str">
        <f>"罗江莹"</f>
        <v>罗江莹</v>
      </c>
      <c r="C5193" s="2" t="s">
        <v>4508</v>
      </c>
      <c r="D5193" s="2" t="s">
        <v>4530</v>
      </c>
      <c r="E5193" s="3"/>
    </row>
    <row r="5194" spans="1:5" ht="24.75" customHeight="1">
      <c r="A5194" s="2">
        <v>5192</v>
      </c>
      <c r="B5194" s="2" t="str">
        <f>"王伟"</f>
        <v>王伟</v>
      </c>
      <c r="C5194" s="2" t="s">
        <v>4508</v>
      </c>
      <c r="D5194" s="2" t="s">
        <v>1247</v>
      </c>
      <c r="E5194" s="3"/>
    </row>
    <row r="5195" spans="1:5" ht="24.75" customHeight="1">
      <c r="A5195" s="2">
        <v>5193</v>
      </c>
      <c r="B5195" s="2" t="str">
        <f>"王威"</f>
        <v>王威</v>
      </c>
      <c r="C5195" s="2" t="s">
        <v>4508</v>
      </c>
      <c r="D5195" s="2" t="s">
        <v>4531</v>
      </c>
      <c r="E5195" s="3"/>
    </row>
    <row r="5196" spans="1:5" ht="24.75" customHeight="1">
      <c r="A5196" s="2">
        <v>5194</v>
      </c>
      <c r="B5196" s="2" t="str">
        <f>"许燕芬"</f>
        <v>许燕芬</v>
      </c>
      <c r="C5196" s="2" t="s">
        <v>4508</v>
      </c>
      <c r="D5196" s="2" t="s">
        <v>4532</v>
      </c>
      <c r="E5196" s="3"/>
    </row>
    <row r="5197" spans="1:5" ht="24.75" customHeight="1">
      <c r="A5197" s="2">
        <v>5195</v>
      </c>
      <c r="B5197" s="2" t="str">
        <f>"常田青"</f>
        <v>常田青</v>
      </c>
      <c r="C5197" s="2" t="s">
        <v>4508</v>
      </c>
      <c r="D5197" s="2" t="s">
        <v>4533</v>
      </c>
      <c r="E5197" s="3"/>
    </row>
    <row r="5198" spans="1:5" ht="24.75" customHeight="1">
      <c r="A5198" s="2">
        <v>5196</v>
      </c>
      <c r="B5198" s="2" t="str">
        <f>"谢再学"</f>
        <v>谢再学</v>
      </c>
      <c r="C5198" s="2" t="s">
        <v>4508</v>
      </c>
      <c r="D5198" s="2" t="s">
        <v>4534</v>
      </c>
      <c r="E5198" s="3"/>
    </row>
    <row r="5199" spans="1:5" ht="24.75" customHeight="1">
      <c r="A5199" s="2">
        <v>5197</v>
      </c>
      <c r="B5199" s="2" t="str">
        <f>"邢增龙"</f>
        <v>邢增龙</v>
      </c>
      <c r="C5199" s="2" t="s">
        <v>4508</v>
      </c>
      <c r="D5199" s="2" t="s">
        <v>2374</v>
      </c>
      <c r="E5199" s="3"/>
    </row>
    <row r="5200" spans="1:5" ht="24.75" customHeight="1">
      <c r="A5200" s="2">
        <v>5198</v>
      </c>
      <c r="B5200" s="2" t="str">
        <f>"曾弟"</f>
        <v>曾弟</v>
      </c>
      <c r="C5200" s="2" t="s">
        <v>4508</v>
      </c>
      <c r="D5200" s="2" t="s">
        <v>4535</v>
      </c>
      <c r="E5200" s="3"/>
    </row>
    <row r="5201" spans="1:5" ht="24.75" customHeight="1">
      <c r="A5201" s="2">
        <v>5199</v>
      </c>
      <c r="B5201" s="2" t="str">
        <f>"孙文舅"</f>
        <v>孙文舅</v>
      </c>
      <c r="C5201" s="2" t="s">
        <v>4508</v>
      </c>
      <c r="D5201" s="2" t="s">
        <v>2701</v>
      </c>
      <c r="E5201" s="3"/>
    </row>
    <row r="5202" spans="1:5" ht="24.75" customHeight="1">
      <c r="A5202" s="2">
        <v>5200</v>
      </c>
      <c r="B5202" s="2" t="str">
        <f>"詹才佳"</f>
        <v>詹才佳</v>
      </c>
      <c r="C5202" s="2" t="s">
        <v>4508</v>
      </c>
      <c r="D5202" s="2" t="s">
        <v>4536</v>
      </c>
      <c r="E5202" s="3"/>
    </row>
    <row r="5203" spans="1:5" ht="24.75" customHeight="1">
      <c r="A5203" s="2">
        <v>5201</v>
      </c>
      <c r="B5203" s="2" t="str">
        <f>"纪新春"</f>
        <v>纪新春</v>
      </c>
      <c r="C5203" s="2" t="s">
        <v>4508</v>
      </c>
      <c r="D5203" s="2" t="s">
        <v>4537</v>
      </c>
      <c r="E5203" s="3"/>
    </row>
    <row r="5204" spans="1:5" ht="24.75" customHeight="1">
      <c r="A5204" s="2">
        <v>5202</v>
      </c>
      <c r="B5204" s="2" t="str">
        <f>"孙树梦"</f>
        <v>孙树梦</v>
      </c>
      <c r="C5204" s="2" t="s">
        <v>4508</v>
      </c>
      <c r="D5204" s="2" t="s">
        <v>2950</v>
      </c>
      <c r="E5204" s="3"/>
    </row>
    <row r="5205" spans="1:5" ht="24.75" customHeight="1">
      <c r="A5205" s="2">
        <v>5203</v>
      </c>
      <c r="B5205" s="2" t="str">
        <f>"陈核"</f>
        <v>陈核</v>
      </c>
      <c r="C5205" s="2" t="s">
        <v>4508</v>
      </c>
      <c r="D5205" s="2" t="s">
        <v>4538</v>
      </c>
      <c r="E5205" s="3"/>
    </row>
    <row r="5206" spans="1:5" ht="24.75" customHeight="1">
      <c r="A5206" s="2">
        <v>5204</v>
      </c>
      <c r="B5206" s="2" t="str">
        <f>"陈泰良"</f>
        <v>陈泰良</v>
      </c>
      <c r="C5206" s="2" t="s">
        <v>4508</v>
      </c>
      <c r="D5206" s="2" t="s">
        <v>1188</v>
      </c>
      <c r="E5206" s="3"/>
    </row>
    <row r="5207" spans="1:5" ht="24.75" customHeight="1">
      <c r="A5207" s="2">
        <v>5205</v>
      </c>
      <c r="B5207" s="2" t="str">
        <f>"毛桂玲"</f>
        <v>毛桂玲</v>
      </c>
      <c r="C5207" s="2" t="s">
        <v>4508</v>
      </c>
      <c r="D5207" s="2" t="s">
        <v>4539</v>
      </c>
      <c r="E5207" s="3"/>
    </row>
    <row r="5208" spans="1:5" ht="24.75" customHeight="1">
      <c r="A5208" s="2">
        <v>5206</v>
      </c>
      <c r="B5208" s="2" t="str">
        <f>"赵蜀东"</f>
        <v>赵蜀东</v>
      </c>
      <c r="C5208" s="2" t="s">
        <v>4508</v>
      </c>
      <c r="D5208" s="2" t="s">
        <v>4540</v>
      </c>
      <c r="E5208" s="3"/>
    </row>
    <row r="5209" spans="1:5" ht="24.75" customHeight="1">
      <c r="A5209" s="2">
        <v>5207</v>
      </c>
      <c r="B5209" s="2" t="str">
        <f>"潘志权"</f>
        <v>潘志权</v>
      </c>
      <c r="C5209" s="2" t="s">
        <v>4508</v>
      </c>
      <c r="D5209" s="2" t="s">
        <v>4541</v>
      </c>
      <c r="E5209" s="3"/>
    </row>
  </sheetData>
  <sheetProtection/>
  <autoFilter ref="A2:E5209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2023-02-08T10:33:19Z</dcterms:created>
  <dcterms:modified xsi:type="dcterms:W3CDTF">2023-02-10T09:26:53Z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E3D1359CD2A146AFA0215EB8930288AF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