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笔试+结构化面试成绩" sheetId="1" r:id="rId1"/>
    <sheet name="笔试+专业技能测试成绩" sheetId="2" r:id="rId2"/>
  </sheets>
  <definedNames/>
  <calcPr fullCalcOnLoad="1"/>
</workbook>
</file>

<file path=xl/sharedStrings.xml><?xml version="1.0" encoding="utf-8"?>
<sst xmlns="http://schemas.openxmlformats.org/spreadsheetml/2006/main" count="1662" uniqueCount="417">
  <si>
    <t>2022年库伦旗事业单位公开招聘工作人员总成绩</t>
  </si>
  <si>
    <t>岗位代码</t>
  </si>
  <si>
    <t>岗位名称</t>
  </si>
  <si>
    <t>姓名</t>
  </si>
  <si>
    <t>准考证号</t>
  </si>
  <si>
    <t>笔试成绩</t>
  </si>
  <si>
    <t>面试成绩</t>
  </si>
  <si>
    <t>总成绩</t>
  </si>
  <si>
    <t>是否进入体检</t>
  </si>
  <si>
    <t>职员1（普通岗位）</t>
  </si>
  <si>
    <t>是</t>
  </si>
  <si>
    <t>否</t>
  </si>
  <si>
    <t>职员2（项目人员岗位）</t>
  </si>
  <si>
    <t>职员3（普通岗位）</t>
  </si>
  <si>
    <t>0202</t>
  </si>
  <si>
    <t>王悦</t>
  </si>
  <si>
    <t>20125014220</t>
  </si>
  <si>
    <t>德乐黑</t>
  </si>
  <si>
    <t>20125014222</t>
  </si>
  <si>
    <t>张明明</t>
  </si>
  <si>
    <t>20125014221</t>
  </si>
  <si>
    <t>0301</t>
  </si>
  <si>
    <t>职员1（项目人员岗位）</t>
  </si>
  <si>
    <t>韩芳芳</t>
  </si>
  <si>
    <t>20125014223</t>
  </si>
  <si>
    <t>刘晓艳</t>
  </si>
  <si>
    <t>20125014228</t>
  </si>
  <si>
    <t>职员2 （普通岗位）</t>
  </si>
  <si>
    <t>职员4（项目人员岗位）</t>
  </si>
  <si>
    <t>职员6（普通岗位）</t>
  </si>
  <si>
    <t>0407-1</t>
  </si>
  <si>
    <t>职员7（普通岗位）</t>
  </si>
  <si>
    <t>安淑婷</t>
  </si>
  <si>
    <t>10125010410</t>
  </si>
  <si>
    <t>萨茹拉汗</t>
  </si>
  <si>
    <t>10125010412</t>
  </si>
  <si>
    <t>职员8（普通岗位）</t>
  </si>
  <si>
    <t xml:space="preserve">是 </t>
  </si>
  <si>
    <t>职员4（普通岗位）</t>
  </si>
  <si>
    <t>职员2（普通岗位）</t>
  </si>
  <si>
    <t>0603</t>
  </si>
  <si>
    <t>刘忠阳</t>
  </si>
  <si>
    <t>10125011510</t>
  </si>
  <si>
    <t>张佳琪</t>
  </si>
  <si>
    <t>10125011507</t>
  </si>
  <si>
    <t>迎春</t>
  </si>
  <si>
    <t>10125011528</t>
  </si>
  <si>
    <t>0604</t>
  </si>
  <si>
    <t>唐萨日娜</t>
  </si>
  <si>
    <t>10125011610</t>
  </si>
  <si>
    <t>0605</t>
  </si>
  <si>
    <t>职员5（蒙汉兼通岗位）</t>
  </si>
  <si>
    <t>红莲</t>
  </si>
  <si>
    <t>20125010602</t>
  </si>
  <si>
    <t>苏雅拉图</t>
  </si>
  <si>
    <t>20125010610</t>
  </si>
  <si>
    <t>秀风</t>
  </si>
  <si>
    <t>20125010502</t>
  </si>
  <si>
    <t>缺考</t>
  </si>
  <si>
    <t>0801-1</t>
  </si>
  <si>
    <t>单清云</t>
  </si>
  <si>
    <t>10125011809</t>
  </si>
  <si>
    <t>白智伟</t>
  </si>
  <si>
    <t>10125011805</t>
  </si>
  <si>
    <t>海林</t>
  </si>
  <si>
    <t>10125011808</t>
  </si>
  <si>
    <t>0802</t>
  </si>
  <si>
    <t>职员2（蒙汉兼通岗位）</t>
  </si>
  <si>
    <t>永萍</t>
  </si>
  <si>
    <t>20125010629</t>
  </si>
  <si>
    <t>银光</t>
  </si>
  <si>
    <t>20125010625</t>
  </si>
  <si>
    <t>杨小平</t>
  </si>
  <si>
    <t>20125010707</t>
  </si>
  <si>
    <t>0804</t>
  </si>
  <si>
    <t>安白斯古冷</t>
  </si>
  <si>
    <t>10125012125</t>
  </si>
  <si>
    <t>包静华</t>
  </si>
  <si>
    <t>10125012130</t>
  </si>
  <si>
    <t>青春</t>
  </si>
  <si>
    <t>10125012204</t>
  </si>
  <si>
    <t>0805</t>
  </si>
  <si>
    <t>职员5（普通岗位）</t>
  </si>
  <si>
    <t>白玮琳</t>
  </si>
  <si>
    <t>10125012312</t>
  </si>
  <si>
    <t>浩毕图</t>
  </si>
  <si>
    <t>10125012311</t>
  </si>
  <si>
    <t>艳艳</t>
  </si>
  <si>
    <t>10125012414</t>
  </si>
  <si>
    <t>0806</t>
  </si>
  <si>
    <t>职员6（蒙汉兼通岗位）</t>
  </si>
  <si>
    <t>阿日棍</t>
  </si>
  <si>
    <t>20125010722</t>
  </si>
  <si>
    <t>乌林吐雅</t>
  </si>
  <si>
    <t>20125010729</t>
  </si>
  <si>
    <t>哈斯巴图</t>
  </si>
  <si>
    <t>20125010810</t>
  </si>
  <si>
    <t>0807</t>
  </si>
  <si>
    <t>王晓亮</t>
  </si>
  <si>
    <t>10125012513</t>
  </si>
  <si>
    <t>代琴</t>
  </si>
  <si>
    <t>10125012506</t>
  </si>
  <si>
    <t>卢迪</t>
  </si>
  <si>
    <t>10125012505</t>
  </si>
  <si>
    <t>0808</t>
  </si>
  <si>
    <t>李洋</t>
  </si>
  <si>
    <t>10125012520</t>
  </si>
  <si>
    <t>秋艳</t>
  </si>
  <si>
    <t>10125012519</t>
  </si>
  <si>
    <t>宋朝纪</t>
  </si>
  <si>
    <t>10125012605</t>
  </si>
  <si>
    <t>0903-1</t>
  </si>
  <si>
    <t>李浩宇</t>
  </si>
  <si>
    <t>30125010121</t>
  </si>
  <si>
    <t>赵双</t>
  </si>
  <si>
    <t>30125010123</t>
  </si>
  <si>
    <t>敖日格乐</t>
  </si>
  <si>
    <t>30125010122</t>
  </si>
  <si>
    <t>职员（普通岗位）</t>
  </si>
  <si>
    <t>1201-1</t>
  </si>
  <si>
    <t>曹晓云</t>
  </si>
  <si>
    <t>30125010527</t>
  </si>
  <si>
    <t>特古乐德尔</t>
  </si>
  <si>
    <t>30125010521</t>
  </si>
  <si>
    <t>阿梨玛</t>
  </si>
  <si>
    <t>30125010523</t>
  </si>
  <si>
    <t>1202</t>
  </si>
  <si>
    <t>陆查干巴拉</t>
  </si>
  <si>
    <t>30125010617</t>
  </si>
  <si>
    <t>呼格吉乐</t>
  </si>
  <si>
    <t>30125010627</t>
  </si>
  <si>
    <t>包迎荷</t>
  </si>
  <si>
    <t>30125010710</t>
  </si>
  <si>
    <t>1203</t>
  </si>
  <si>
    <t>诺敏</t>
  </si>
  <si>
    <t>30125010802</t>
  </si>
  <si>
    <t>张广超</t>
  </si>
  <si>
    <t>30125010801</t>
  </si>
  <si>
    <t>1205</t>
  </si>
  <si>
    <t>张垒垒</t>
  </si>
  <si>
    <t>30125011024</t>
  </si>
  <si>
    <t>好日娃</t>
  </si>
  <si>
    <t>30125011102</t>
  </si>
  <si>
    <t>王玉香</t>
  </si>
  <si>
    <t>30125011029</t>
  </si>
  <si>
    <t>1207</t>
  </si>
  <si>
    <t>马晓晴</t>
  </si>
  <si>
    <t>30125011428</t>
  </si>
  <si>
    <t>林石峰</t>
  </si>
  <si>
    <t>30125011426</t>
  </si>
  <si>
    <t>杨景瑞</t>
  </si>
  <si>
    <t>30125011506</t>
  </si>
  <si>
    <t>韩健颖</t>
  </si>
  <si>
    <t>30125011406</t>
  </si>
  <si>
    <t>包永兴</t>
  </si>
  <si>
    <t>30125011423</t>
  </si>
  <si>
    <t>于萌萌</t>
  </si>
  <si>
    <t>30125011327</t>
  </si>
  <si>
    <t>1301</t>
  </si>
  <si>
    <t>俊峰</t>
  </si>
  <si>
    <t>30125011624</t>
  </si>
  <si>
    <t>鲍银花</t>
  </si>
  <si>
    <t>30125011626</t>
  </si>
  <si>
    <t>1302</t>
  </si>
  <si>
    <t>明明</t>
  </si>
  <si>
    <t>20125010830</t>
  </si>
  <si>
    <t>李丽</t>
  </si>
  <si>
    <t>20125010828</t>
  </si>
  <si>
    <t>伊博勒</t>
  </si>
  <si>
    <t>20125010829</t>
  </si>
  <si>
    <t>1304-1</t>
  </si>
  <si>
    <t>团月</t>
  </si>
  <si>
    <t>30125011810</t>
  </si>
  <si>
    <t>丽丽</t>
  </si>
  <si>
    <t>20125010227</t>
  </si>
  <si>
    <t>1401</t>
  </si>
  <si>
    <t>李盼</t>
  </si>
  <si>
    <t>30125011816</t>
  </si>
  <si>
    <t>牛明月</t>
  </si>
  <si>
    <t>30125011814</t>
  </si>
  <si>
    <t>1501</t>
  </si>
  <si>
    <t>职员1（蒙汉兼通岗位）</t>
  </si>
  <si>
    <t>20125010922</t>
  </si>
  <si>
    <t>小梅</t>
  </si>
  <si>
    <t>20125010930</t>
  </si>
  <si>
    <t>1502</t>
  </si>
  <si>
    <t>王腾锐</t>
  </si>
  <si>
    <t>30125012025</t>
  </si>
  <si>
    <t>邵亚娜</t>
  </si>
  <si>
    <t>30125012115</t>
  </si>
  <si>
    <t>王初一</t>
  </si>
  <si>
    <t>30125012010</t>
  </si>
  <si>
    <t>1503</t>
  </si>
  <si>
    <t>职员3（项目人员岗位）</t>
  </si>
  <si>
    <t>其乐格尔</t>
  </si>
  <si>
    <t>30125012130</t>
  </si>
  <si>
    <t>高莹</t>
  </si>
  <si>
    <t>30125012127</t>
  </si>
  <si>
    <t>王志杰</t>
  </si>
  <si>
    <t>30125012202</t>
  </si>
  <si>
    <t>1602</t>
  </si>
  <si>
    <t>职员（蒙汉兼通岗位）</t>
  </si>
  <si>
    <t>乌云高娃</t>
  </si>
  <si>
    <t>20125011025</t>
  </si>
  <si>
    <t>青云</t>
  </si>
  <si>
    <t>20125011101</t>
  </si>
  <si>
    <t>特日格勒</t>
  </si>
  <si>
    <t>20125011029</t>
  </si>
  <si>
    <t>职员4 （普通岗位）</t>
  </si>
  <si>
    <t>职员（项目人员岗位）</t>
  </si>
  <si>
    <t>1702</t>
  </si>
  <si>
    <t>田仓</t>
  </si>
  <si>
    <t>20125011104</t>
  </si>
  <si>
    <t>胡日查</t>
  </si>
  <si>
    <t>20125011129</t>
  </si>
  <si>
    <t>刘艳</t>
  </si>
  <si>
    <t>20125011127</t>
  </si>
  <si>
    <t>1704</t>
  </si>
  <si>
    <t>永海</t>
  </si>
  <si>
    <t>40125010224</t>
  </si>
  <si>
    <t>吴文芝</t>
  </si>
  <si>
    <t>40125010229</t>
  </si>
  <si>
    <t>白晓峰</t>
  </si>
  <si>
    <t>40125010301</t>
  </si>
  <si>
    <t>牧其乐</t>
  </si>
  <si>
    <t>40125010302</t>
  </si>
  <si>
    <t>凯利</t>
  </si>
  <si>
    <t>40125010223</t>
  </si>
  <si>
    <t>额日德呼</t>
  </si>
  <si>
    <t>40125010227</t>
  </si>
  <si>
    <t>1707</t>
  </si>
  <si>
    <t>崔安安</t>
  </si>
  <si>
    <t>40125010610</t>
  </si>
  <si>
    <t>子欢</t>
  </si>
  <si>
    <t>40125010627</t>
  </si>
  <si>
    <t>李元鹏</t>
  </si>
  <si>
    <t>40125010709</t>
  </si>
  <si>
    <t>杨怀成</t>
  </si>
  <si>
    <t>40125010628</t>
  </si>
  <si>
    <t>1802</t>
  </si>
  <si>
    <t>包亚平</t>
  </si>
  <si>
    <t>20125011213</t>
  </si>
  <si>
    <t>丹丹</t>
  </si>
  <si>
    <t>20125011211</t>
  </si>
  <si>
    <t>李阿如汗</t>
  </si>
  <si>
    <t>20125011216</t>
  </si>
  <si>
    <t>王玲玲</t>
  </si>
  <si>
    <t>20125011220</t>
  </si>
  <si>
    <t>1805</t>
  </si>
  <si>
    <t>刘贺</t>
  </si>
  <si>
    <t>40125011210</t>
  </si>
  <si>
    <t>韦韦</t>
  </si>
  <si>
    <t>40125011213</t>
  </si>
  <si>
    <t>毕悦</t>
  </si>
  <si>
    <t>40125011211</t>
  </si>
  <si>
    <t>乌兰</t>
  </si>
  <si>
    <t>40125011205</t>
  </si>
  <si>
    <t>2006</t>
  </si>
  <si>
    <t>职员6（项目人员岗位）</t>
  </si>
  <si>
    <t>张文平</t>
  </si>
  <si>
    <t>40125012014</t>
  </si>
  <si>
    <t>陈东升</t>
  </si>
  <si>
    <t>40125011928</t>
  </si>
  <si>
    <t>乌日丽嘎</t>
  </si>
  <si>
    <t>40125012002</t>
  </si>
  <si>
    <t>塔娜</t>
  </si>
  <si>
    <t>20125010323</t>
  </si>
  <si>
    <t>萨如拉</t>
  </si>
  <si>
    <t>40125012003</t>
  </si>
  <si>
    <t>杨晓伟</t>
  </si>
  <si>
    <t>40125012001</t>
  </si>
  <si>
    <t>2007</t>
  </si>
  <si>
    <t>职员7（蒙汉兼通岗位）</t>
  </si>
  <si>
    <t>散萨尔</t>
  </si>
  <si>
    <t>20125011310</t>
  </si>
  <si>
    <t>兰英</t>
  </si>
  <si>
    <t>20125011323</t>
  </si>
  <si>
    <t>苏日格其其格</t>
  </si>
  <si>
    <t>20125011303</t>
  </si>
  <si>
    <t>2101</t>
  </si>
  <si>
    <t>纪园园</t>
  </si>
  <si>
    <t>40125012016</t>
  </si>
  <si>
    <t>美岭</t>
  </si>
  <si>
    <t>40125012017</t>
  </si>
  <si>
    <t>青格尔</t>
  </si>
  <si>
    <t>20125010325</t>
  </si>
  <si>
    <t>2102</t>
  </si>
  <si>
    <t>海英</t>
  </si>
  <si>
    <t>20125011428</t>
  </si>
  <si>
    <t>伊力其</t>
  </si>
  <si>
    <t>20125011416</t>
  </si>
  <si>
    <t>格根其尔</t>
  </si>
  <si>
    <t>20125011502</t>
  </si>
  <si>
    <t>2104</t>
  </si>
  <si>
    <t>佰风</t>
  </si>
  <si>
    <t>40125012213</t>
  </si>
  <si>
    <t>白雪</t>
  </si>
  <si>
    <t>40125012210</t>
  </si>
  <si>
    <t>何丽娜</t>
  </si>
  <si>
    <t>40125012211</t>
  </si>
  <si>
    <t>2105</t>
  </si>
  <si>
    <t>阿古达木</t>
  </si>
  <si>
    <t>20125011514</t>
  </si>
  <si>
    <t>特尼格尔</t>
  </si>
  <si>
    <t>20125011519</t>
  </si>
  <si>
    <t>20125011520</t>
  </si>
  <si>
    <t>2107</t>
  </si>
  <si>
    <t>职员7（项目人员岗位）</t>
  </si>
  <si>
    <t>宝东升</t>
  </si>
  <si>
    <t>40125012224</t>
  </si>
  <si>
    <t>刘畅</t>
  </si>
  <si>
    <t>40125012214</t>
  </si>
  <si>
    <t>萨日</t>
  </si>
  <si>
    <t>40125012303</t>
  </si>
  <si>
    <t>曙光</t>
  </si>
  <si>
    <t>40125012218</t>
  </si>
  <si>
    <t>于春旭</t>
  </si>
  <si>
    <t>40125012220</t>
  </si>
  <si>
    <t>李佳航</t>
  </si>
  <si>
    <t>40125012216</t>
  </si>
  <si>
    <t>刘阳</t>
  </si>
  <si>
    <t>40125012301</t>
  </si>
  <si>
    <t>勿吉斯古冷</t>
  </si>
  <si>
    <t>40125012225</t>
  </si>
  <si>
    <t>白智勇</t>
  </si>
  <si>
    <t>40125012307</t>
  </si>
  <si>
    <t>2108</t>
  </si>
  <si>
    <t>职员8（蒙汉兼通岗位）</t>
  </si>
  <si>
    <t>好日瓦</t>
  </si>
  <si>
    <t>20125011619</t>
  </si>
  <si>
    <t>萨其日胡</t>
  </si>
  <si>
    <t>20125011630</t>
  </si>
  <si>
    <t>乌日罕</t>
  </si>
  <si>
    <t>20125011814</t>
  </si>
  <si>
    <t>李明</t>
  </si>
  <si>
    <t>20125011730</t>
  </si>
  <si>
    <t>其乐木格</t>
  </si>
  <si>
    <t>20125011816</t>
  </si>
  <si>
    <t>必力格图</t>
  </si>
  <si>
    <t>20125011621</t>
  </si>
  <si>
    <t>王群峰</t>
  </si>
  <si>
    <t>20125011802</t>
  </si>
  <si>
    <t>职员9（普通岗位）</t>
  </si>
  <si>
    <t>2110</t>
  </si>
  <si>
    <t>职员10（蒙汉兼通岗位）</t>
  </si>
  <si>
    <t>20125011912</t>
  </si>
  <si>
    <t>却扎布</t>
  </si>
  <si>
    <t>20125011914</t>
  </si>
  <si>
    <t>达洋</t>
  </si>
  <si>
    <t>20125011911</t>
  </si>
  <si>
    <t>职员11（普通岗位）</t>
  </si>
  <si>
    <t>职员12（项目人员岗位）</t>
  </si>
  <si>
    <t>职员13（普通岗位）</t>
  </si>
  <si>
    <t>职员14（项目人员岗位）</t>
  </si>
  <si>
    <t>2115</t>
  </si>
  <si>
    <t>职员15（蒙汉兼通岗位）</t>
  </si>
  <si>
    <t>伊敦扎布</t>
  </si>
  <si>
    <t>20125011920</t>
  </si>
  <si>
    <t>白继彦</t>
  </si>
  <si>
    <t>20125011926</t>
  </si>
  <si>
    <t>德力黑</t>
  </si>
  <si>
    <t>20125011923</t>
  </si>
  <si>
    <t>职员16（普通岗位）</t>
  </si>
  <si>
    <t>职员17（普通岗位）</t>
  </si>
  <si>
    <t>职员18（普通岗位）</t>
  </si>
  <si>
    <t>职员19（项目人员岗位）</t>
  </si>
  <si>
    <t>86.10</t>
  </si>
  <si>
    <t>81.10</t>
  </si>
  <si>
    <t>职员20（蒙汉兼通岗位）</t>
  </si>
  <si>
    <t>85.40</t>
  </si>
  <si>
    <t>82.20</t>
  </si>
  <si>
    <t>职员21（蒙汉兼通岗位）</t>
  </si>
  <si>
    <t>84.34</t>
  </si>
  <si>
    <t>81.02</t>
  </si>
  <si>
    <t>81.16</t>
  </si>
  <si>
    <t>81.40</t>
  </si>
  <si>
    <t>82.80</t>
  </si>
  <si>
    <t>81.50</t>
  </si>
  <si>
    <t>82.42</t>
  </si>
  <si>
    <t>85.80</t>
  </si>
  <si>
    <t>职员3（蒙汉兼通岗位）</t>
  </si>
  <si>
    <t>84.30</t>
  </si>
  <si>
    <t>85.90</t>
  </si>
  <si>
    <t>77.20</t>
  </si>
  <si>
    <t>82.40</t>
  </si>
  <si>
    <t>83.60</t>
  </si>
  <si>
    <t>83.70</t>
  </si>
  <si>
    <t>职员4（蒙汉兼通岗位）</t>
  </si>
  <si>
    <t>81.46</t>
  </si>
  <si>
    <t>79.40</t>
  </si>
  <si>
    <t>78.24</t>
  </si>
  <si>
    <t>51.34</t>
  </si>
  <si>
    <t>81.30</t>
  </si>
  <si>
    <t>81.70</t>
  </si>
  <si>
    <t>职员5（项目人员岗位）</t>
  </si>
  <si>
    <t>85.50</t>
  </si>
  <si>
    <t>职员9（项目人员岗位）</t>
  </si>
  <si>
    <t>88.26</t>
  </si>
  <si>
    <t>85.98</t>
  </si>
  <si>
    <t>86.50</t>
  </si>
  <si>
    <t>82.83</t>
  </si>
  <si>
    <t>86.51</t>
  </si>
  <si>
    <t>87.23</t>
  </si>
  <si>
    <t>85.46</t>
  </si>
  <si>
    <t>84.54</t>
  </si>
  <si>
    <t>83.81</t>
  </si>
  <si>
    <t>83.87</t>
  </si>
  <si>
    <t>84.47</t>
  </si>
  <si>
    <t>82.05</t>
  </si>
  <si>
    <t>83</t>
  </si>
  <si>
    <t>82.10</t>
  </si>
  <si>
    <t>职员（蒙汉兼通）</t>
  </si>
  <si>
    <t>81.80</t>
  </si>
  <si>
    <t>87.50</t>
  </si>
  <si>
    <t>83.50</t>
  </si>
  <si>
    <t>库伦旗融媒体中心岗位工作人员总成绩</t>
  </si>
  <si>
    <t>库伦旗融媒体中心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</si>
</sst>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zoomScaleSheetLayoutView="100" workbookViewId="0" topLeftCell="A1">
      <selection activeCell="B25" sqref="B25"/>
    </sheetView>
  </sheetViews>
  <sheetFormatPr defaultColWidth="9.00390625" defaultRowHeight="15" customHeight="1"/>
  <cols>
    <col min="1" max="1" width="9.00390625" style="13" customWidth="1"/>
    <col min="2" max="2" width="23.25390625" style="13" customWidth="1"/>
    <col min="3" max="3" width="12.375" style="13" customWidth="1"/>
    <col min="4" max="4" width="19.00390625" style="13" customWidth="1"/>
    <col min="5" max="7" width="7.50390625" style="10" customWidth="1"/>
    <col min="8" max="16384" width="9.00390625" style="13" customWidth="1"/>
  </cols>
  <sheetData>
    <row r="1" spans="1:8" ht="37.5" customHeight="1">
      <c r="A1" s="14" t="s">
        <v>0</v>
      </c>
      <c r="B1" s="15"/>
      <c r="C1" s="15"/>
      <c r="D1" s="15"/>
      <c r="E1" s="15"/>
      <c r="F1" s="15"/>
      <c r="G1" s="15"/>
      <c r="H1" s="16"/>
    </row>
    <row r="2" spans="1:8" s="12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pans="1:8" s="13" customFormat="1" ht="15" customHeight="1">
      <c r="A3" s="7" t="str">
        <f>"0101"</f>
        <v>0101</v>
      </c>
      <c r="B3" s="7" t="s">
        <v>9</v>
      </c>
      <c r="C3" s="7" t="str">
        <f>"何浩然"</f>
        <v>何浩然</v>
      </c>
      <c r="D3" s="7" t="str">
        <f>"20125013728"</f>
        <v>20125013728</v>
      </c>
      <c r="E3" s="8">
        <v>80</v>
      </c>
      <c r="F3" s="8">
        <v>85.08</v>
      </c>
      <c r="G3" s="9">
        <v>82.032</v>
      </c>
      <c r="H3" s="7" t="s">
        <v>10</v>
      </c>
    </row>
    <row r="4" spans="1:8" s="13" customFormat="1" ht="15" customHeight="1">
      <c r="A4" s="7" t="str">
        <f>"0101"</f>
        <v>0101</v>
      </c>
      <c r="B4" s="7" t="s">
        <v>9</v>
      </c>
      <c r="C4" s="7" t="str">
        <f>"萨茹拉"</f>
        <v>萨茹拉</v>
      </c>
      <c r="D4" s="7" t="str">
        <f>"20125013816"</f>
        <v>20125013816</v>
      </c>
      <c r="E4" s="8">
        <v>80</v>
      </c>
      <c r="F4" s="8">
        <v>84.22</v>
      </c>
      <c r="G4" s="9">
        <v>81.688</v>
      </c>
      <c r="H4" s="7" t="s">
        <v>11</v>
      </c>
    </row>
    <row r="5" spans="1:8" s="13" customFormat="1" ht="15" customHeight="1">
      <c r="A5" s="7" t="str">
        <f>"0102"</f>
        <v>0102</v>
      </c>
      <c r="B5" s="7" t="s">
        <v>12</v>
      </c>
      <c r="C5" s="7" t="str">
        <f>"房佳慧"</f>
        <v>房佳慧</v>
      </c>
      <c r="D5" s="7" t="str">
        <f>"20125013827"</f>
        <v>20125013827</v>
      </c>
      <c r="E5" s="8">
        <v>75</v>
      </c>
      <c r="F5" s="8">
        <v>81.32</v>
      </c>
      <c r="G5" s="9">
        <v>77.52799999999999</v>
      </c>
      <c r="H5" s="7" t="s">
        <v>11</v>
      </c>
    </row>
    <row r="6" spans="1:8" s="13" customFormat="1" ht="15" customHeight="1">
      <c r="A6" s="7" t="str">
        <f>"0103"</f>
        <v>0103</v>
      </c>
      <c r="B6" s="7" t="s">
        <v>13</v>
      </c>
      <c r="C6" s="7" t="str">
        <f>"魏闯"</f>
        <v>魏闯</v>
      </c>
      <c r="D6" s="7" t="str">
        <f>"20125014001"</f>
        <v>20125014001</v>
      </c>
      <c r="E6" s="8">
        <v>78</v>
      </c>
      <c r="F6" s="8">
        <v>84</v>
      </c>
      <c r="G6" s="9">
        <v>80.4</v>
      </c>
      <c r="H6" s="7" t="s">
        <v>10</v>
      </c>
    </row>
    <row r="7" spans="1:8" s="13" customFormat="1" ht="15" customHeight="1">
      <c r="A7" s="7" t="str">
        <f>"0103"</f>
        <v>0103</v>
      </c>
      <c r="B7" s="7" t="s">
        <v>13</v>
      </c>
      <c r="C7" s="7" t="str">
        <f>"范海婷"</f>
        <v>范海婷</v>
      </c>
      <c r="D7" s="7" t="str">
        <f>"20125013830"</f>
        <v>20125013830</v>
      </c>
      <c r="E7" s="8">
        <v>78.5</v>
      </c>
      <c r="F7" s="8">
        <v>81.1</v>
      </c>
      <c r="G7" s="9">
        <v>79.53999999999999</v>
      </c>
      <c r="H7" s="7" t="s">
        <v>11</v>
      </c>
    </row>
    <row r="8" spans="1:8" s="13" customFormat="1" ht="15" customHeight="1">
      <c r="A8" s="7" t="str">
        <f>"0103"</f>
        <v>0103</v>
      </c>
      <c r="B8" s="7" t="s">
        <v>13</v>
      </c>
      <c r="C8" s="7" t="str">
        <f>"李静文"</f>
        <v>李静文</v>
      </c>
      <c r="D8" s="7" t="str">
        <f>"20125014013"</f>
        <v>20125014013</v>
      </c>
      <c r="E8" s="8">
        <v>77.5</v>
      </c>
      <c r="F8" s="8">
        <v>82.2</v>
      </c>
      <c r="G8" s="9">
        <v>79.38</v>
      </c>
      <c r="H8" s="7" t="s">
        <v>11</v>
      </c>
    </row>
    <row r="9" spans="1:8" s="13" customFormat="1" ht="15" customHeight="1">
      <c r="A9" s="7" t="str">
        <f>"0201"</f>
        <v>0201</v>
      </c>
      <c r="B9" s="7" t="s">
        <v>9</v>
      </c>
      <c r="C9" s="7" t="str">
        <f>"谷秀峰"</f>
        <v>谷秀峰</v>
      </c>
      <c r="D9" s="7" t="str">
        <f>"20125014101"</f>
        <v>20125014101</v>
      </c>
      <c r="E9" s="8">
        <v>78.5</v>
      </c>
      <c r="F9" s="8">
        <v>84.5</v>
      </c>
      <c r="G9" s="9">
        <v>80.9</v>
      </c>
      <c r="H9" s="7" t="s">
        <v>10</v>
      </c>
    </row>
    <row r="10" spans="1:8" s="13" customFormat="1" ht="15" customHeight="1">
      <c r="A10" s="7" t="str">
        <f>"0201"</f>
        <v>0201</v>
      </c>
      <c r="B10" s="7" t="s">
        <v>9</v>
      </c>
      <c r="C10" s="7" t="str">
        <f>"付豪"</f>
        <v>付豪</v>
      </c>
      <c r="D10" s="7" t="str">
        <f>"20125014109"</f>
        <v>20125014109</v>
      </c>
      <c r="E10" s="8">
        <v>77</v>
      </c>
      <c r="F10" s="8">
        <v>82.06</v>
      </c>
      <c r="G10" s="9">
        <v>79.024</v>
      </c>
      <c r="H10" s="7" t="s">
        <v>11</v>
      </c>
    </row>
    <row r="11" spans="1:8" s="13" customFormat="1" ht="12.75" customHeight="1">
      <c r="A11" s="7" t="s">
        <v>14</v>
      </c>
      <c r="B11" s="7" t="s">
        <v>12</v>
      </c>
      <c r="C11" s="7" t="s">
        <v>15</v>
      </c>
      <c r="D11" s="7" t="s">
        <v>16</v>
      </c>
      <c r="E11" s="8">
        <v>75</v>
      </c>
      <c r="F11" s="8">
        <v>86.94</v>
      </c>
      <c r="G11" s="9">
        <v>79.77600000000001</v>
      </c>
      <c r="H11" s="7" t="s">
        <v>10</v>
      </c>
    </row>
    <row r="12" spans="1:8" s="13" customFormat="1" ht="15" customHeight="1">
      <c r="A12" s="7" t="s">
        <v>14</v>
      </c>
      <c r="B12" s="7" t="s">
        <v>12</v>
      </c>
      <c r="C12" s="7" t="s">
        <v>17</v>
      </c>
      <c r="D12" s="7" t="s">
        <v>18</v>
      </c>
      <c r="E12" s="8">
        <v>73</v>
      </c>
      <c r="F12" s="8">
        <v>85.62</v>
      </c>
      <c r="G12" s="9">
        <v>78.048</v>
      </c>
      <c r="H12" s="7" t="s">
        <v>11</v>
      </c>
    </row>
    <row r="13" spans="1:8" s="13" customFormat="1" ht="15" customHeight="1">
      <c r="A13" s="7" t="s">
        <v>14</v>
      </c>
      <c r="B13" s="7" t="s">
        <v>12</v>
      </c>
      <c r="C13" s="7" t="s">
        <v>19</v>
      </c>
      <c r="D13" s="7" t="s">
        <v>20</v>
      </c>
      <c r="E13" s="8">
        <v>69.5</v>
      </c>
      <c r="F13" s="8">
        <v>82.35</v>
      </c>
      <c r="G13" s="9">
        <v>74.63999999999999</v>
      </c>
      <c r="H13" s="7" t="s">
        <v>11</v>
      </c>
    </row>
    <row r="14" spans="1:8" s="13" customFormat="1" ht="15" customHeight="1">
      <c r="A14" s="7" t="s">
        <v>21</v>
      </c>
      <c r="B14" s="7" t="s">
        <v>22</v>
      </c>
      <c r="C14" s="7" t="s">
        <v>23</v>
      </c>
      <c r="D14" s="7" t="s">
        <v>24</v>
      </c>
      <c r="E14" s="8">
        <v>68</v>
      </c>
      <c r="F14" s="8">
        <v>86.2</v>
      </c>
      <c r="G14" s="9">
        <v>75.28</v>
      </c>
      <c r="H14" s="7" t="s">
        <v>10</v>
      </c>
    </row>
    <row r="15" spans="1:8" s="13" customFormat="1" ht="15" customHeight="1">
      <c r="A15" s="7" t="s">
        <v>21</v>
      </c>
      <c r="B15" s="7" t="s">
        <v>22</v>
      </c>
      <c r="C15" s="7" t="s">
        <v>25</v>
      </c>
      <c r="D15" s="7" t="s">
        <v>26</v>
      </c>
      <c r="E15" s="8">
        <v>65</v>
      </c>
      <c r="F15" s="8">
        <v>79.94</v>
      </c>
      <c r="G15" s="9">
        <v>70.976</v>
      </c>
      <c r="H15" s="7" t="s">
        <v>11</v>
      </c>
    </row>
    <row r="16" spans="1:8" s="13" customFormat="1" ht="15" customHeight="1">
      <c r="A16" s="7" t="str">
        <f>"0302"</f>
        <v>0302</v>
      </c>
      <c r="B16" s="7" t="s">
        <v>27</v>
      </c>
      <c r="C16" s="7" t="str">
        <f>"聂殿鑫"</f>
        <v>聂殿鑫</v>
      </c>
      <c r="D16" s="7" t="str">
        <f>"20125014302"</f>
        <v>20125014302</v>
      </c>
      <c r="E16" s="8">
        <v>78.5</v>
      </c>
      <c r="F16" s="8">
        <v>86.8</v>
      </c>
      <c r="G16" s="9">
        <v>81.82</v>
      </c>
      <c r="H16" s="7" t="s">
        <v>10</v>
      </c>
    </row>
    <row r="17" spans="1:8" s="13" customFormat="1" ht="15" customHeight="1">
      <c r="A17" s="7" t="str">
        <f>"0302"</f>
        <v>0302</v>
      </c>
      <c r="B17" s="7" t="s">
        <v>27</v>
      </c>
      <c r="C17" s="7" t="str">
        <f>"张红丽"</f>
        <v>张红丽</v>
      </c>
      <c r="D17" s="7" t="str">
        <f>"20125014325"</f>
        <v>20125014325</v>
      </c>
      <c r="E17" s="8">
        <v>80.5</v>
      </c>
      <c r="F17" s="8">
        <v>83.52</v>
      </c>
      <c r="G17" s="9">
        <v>81.708</v>
      </c>
      <c r="H17" s="7" t="s">
        <v>11</v>
      </c>
    </row>
    <row r="18" spans="1:8" s="13" customFormat="1" ht="15" customHeight="1">
      <c r="A18" s="7" t="str">
        <f>"0302"</f>
        <v>0302</v>
      </c>
      <c r="B18" s="7" t="s">
        <v>27</v>
      </c>
      <c r="C18" s="7" t="str">
        <f>"白芳芳"</f>
        <v>白芳芳</v>
      </c>
      <c r="D18" s="7" t="str">
        <f>"20125014310"</f>
        <v>20125014310</v>
      </c>
      <c r="E18" s="8">
        <v>78.5</v>
      </c>
      <c r="F18" s="8">
        <v>83.6</v>
      </c>
      <c r="G18" s="9">
        <v>80.53999999999999</v>
      </c>
      <c r="H18" s="7" t="s">
        <v>11</v>
      </c>
    </row>
    <row r="19" spans="1:8" s="13" customFormat="1" ht="15" customHeight="1">
      <c r="A19" s="7" t="str">
        <f>"0302"</f>
        <v>0302</v>
      </c>
      <c r="B19" s="7" t="s">
        <v>27</v>
      </c>
      <c r="C19" s="7" t="str">
        <f>"沈永生"</f>
        <v>沈永生</v>
      </c>
      <c r="D19" s="7" t="str">
        <f>"20125014327"</f>
        <v>20125014327</v>
      </c>
      <c r="E19" s="8">
        <v>82.5</v>
      </c>
      <c r="F19" s="8">
        <v>73.7</v>
      </c>
      <c r="G19" s="9">
        <v>78.98</v>
      </c>
      <c r="H19" s="7" t="s">
        <v>11</v>
      </c>
    </row>
    <row r="20" spans="1:8" s="13" customFormat="1" ht="15" customHeight="1">
      <c r="A20" s="7" t="str">
        <f>"0303"</f>
        <v>0303</v>
      </c>
      <c r="B20" s="7" t="s">
        <v>13</v>
      </c>
      <c r="C20" s="7" t="str">
        <f>"步晓华"</f>
        <v>步晓华</v>
      </c>
      <c r="D20" s="7" t="str">
        <f>"20125014518"</f>
        <v>20125014518</v>
      </c>
      <c r="E20" s="8">
        <v>76.5</v>
      </c>
      <c r="F20" s="8">
        <v>80.04</v>
      </c>
      <c r="G20" s="9">
        <v>77.916</v>
      </c>
      <c r="H20" s="7" t="s">
        <v>10</v>
      </c>
    </row>
    <row r="21" spans="1:8" s="13" customFormat="1" ht="15" customHeight="1">
      <c r="A21" s="7" t="str">
        <f>"0303"</f>
        <v>0303</v>
      </c>
      <c r="B21" s="7" t="s">
        <v>13</v>
      </c>
      <c r="C21" s="7" t="str">
        <f>"腾涛"</f>
        <v>腾涛</v>
      </c>
      <c r="D21" s="7" t="str">
        <f>"20125014504"</f>
        <v>20125014504</v>
      </c>
      <c r="E21" s="8">
        <v>75.5</v>
      </c>
      <c r="F21" s="8">
        <v>77.92</v>
      </c>
      <c r="G21" s="9">
        <v>76.468</v>
      </c>
      <c r="H21" s="7" t="s">
        <v>11</v>
      </c>
    </row>
    <row r="22" spans="1:8" s="13" customFormat="1" ht="15" customHeight="1">
      <c r="A22" s="7" t="str">
        <f>"0403"</f>
        <v>0403</v>
      </c>
      <c r="B22" s="7" t="s">
        <v>13</v>
      </c>
      <c r="C22" s="7" t="str">
        <f>"包文浩"</f>
        <v>包文浩</v>
      </c>
      <c r="D22" s="7" t="str">
        <f>"10125010210"</f>
        <v>10125010210</v>
      </c>
      <c r="E22" s="8">
        <v>70.5</v>
      </c>
      <c r="F22" s="8">
        <v>85</v>
      </c>
      <c r="G22" s="9">
        <v>76.3</v>
      </c>
      <c r="H22" s="7" t="s">
        <v>10</v>
      </c>
    </row>
    <row r="23" spans="1:8" s="13" customFormat="1" ht="15" customHeight="1">
      <c r="A23" s="7" t="str">
        <f>"0403"</f>
        <v>0403</v>
      </c>
      <c r="B23" s="7" t="s">
        <v>13</v>
      </c>
      <c r="C23" s="7" t="str">
        <f>"喜吉尔"</f>
        <v>喜吉尔</v>
      </c>
      <c r="D23" s="7" t="str">
        <f>"10125010206"</f>
        <v>10125010206</v>
      </c>
      <c r="E23" s="8">
        <v>57.5</v>
      </c>
      <c r="F23" s="8">
        <v>79.8</v>
      </c>
      <c r="G23" s="9">
        <v>66.42</v>
      </c>
      <c r="H23" s="7" t="s">
        <v>11</v>
      </c>
    </row>
    <row r="24" spans="1:8" s="13" customFormat="1" ht="15" customHeight="1">
      <c r="A24" s="7" t="str">
        <f>"0404"</f>
        <v>0404</v>
      </c>
      <c r="B24" s="7" t="s">
        <v>28</v>
      </c>
      <c r="C24" s="7" t="str">
        <f>"赵建平"</f>
        <v>赵建平</v>
      </c>
      <c r="D24" s="7" t="str">
        <f>"10125010213"</f>
        <v>10125010213</v>
      </c>
      <c r="E24" s="8">
        <v>72.5</v>
      </c>
      <c r="F24" s="8">
        <v>84.6</v>
      </c>
      <c r="G24" s="9">
        <v>77.34</v>
      </c>
      <c r="H24" s="7" t="s">
        <v>10</v>
      </c>
    </row>
    <row r="25" spans="1:8" s="13" customFormat="1" ht="15" customHeight="1">
      <c r="A25" s="7" t="str">
        <f>"0406"</f>
        <v>0406</v>
      </c>
      <c r="B25" s="7" t="s">
        <v>29</v>
      </c>
      <c r="C25" s="7" t="str">
        <f>"崔旭东"</f>
        <v>崔旭东</v>
      </c>
      <c r="D25" s="7" t="str">
        <f>"10125010408"</f>
        <v>10125010408</v>
      </c>
      <c r="E25" s="8">
        <v>83</v>
      </c>
      <c r="F25" s="8">
        <v>80.36</v>
      </c>
      <c r="G25" s="9">
        <v>81.94399999999999</v>
      </c>
      <c r="H25" s="7" t="s">
        <v>11</v>
      </c>
    </row>
    <row r="26" spans="1:8" s="13" customFormat="1" ht="15" customHeight="1">
      <c r="A26" s="7" t="s">
        <v>30</v>
      </c>
      <c r="B26" s="7" t="s">
        <v>31</v>
      </c>
      <c r="C26" s="7" t="s">
        <v>32</v>
      </c>
      <c r="D26" s="7" t="s">
        <v>33</v>
      </c>
      <c r="E26" s="8">
        <v>64.5</v>
      </c>
      <c r="F26" s="8">
        <v>81.68</v>
      </c>
      <c r="G26" s="9">
        <v>71.372</v>
      </c>
      <c r="H26" s="7" t="s">
        <v>10</v>
      </c>
    </row>
    <row r="27" spans="1:8" s="13" customFormat="1" ht="15" customHeight="1">
      <c r="A27" s="7" t="s">
        <v>30</v>
      </c>
      <c r="B27" s="7" t="s">
        <v>31</v>
      </c>
      <c r="C27" s="7" t="s">
        <v>34</v>
      </c>
      <c r="D27" s="7" t="s">
        <v>35</v>
      </c>
      <c r="E27" s="8">
        <v>57</v>
      </c>
      <c r="F27" s="8">
        <v>82.54</v>
      </c>
      <c r="G27" s="9">
        <v>67.21600000000001</v>
      </c>
      <c r="H27" s="7" t="s">
        <v>11</v>
      </c>
    </row>
    <row r="28" spans="1:8" s="13" customFormat="1" ht="15" customHeight="1">
      <c r="A28" s="7" t="str">
        <f>"0408"</f>
        <v>0408</v>
      </c>
      <c r="B28" s="7" t="s">
        <v>36</v>
      </c>
      <c r="C28" s="7" t="str">
        <f>"李文泽"</f>
        <v>李文泽</v>
      </c>
      <c r="D28" s="7" t="str">
        <f>"10125010424"</f>
        <v>10125010424</v>
      </c>
      <c r="E28" s="8">
        <v>78.5</v>
      </c>
      <c r="F28" s="8">
        <v>85.18</v>
      </c>
      <c r="G28" s="9">
        <v>81.172</v>
      </c>
      <c r="H28" s="7" t="s">
        <v>10</v>
      </c>
    </row>
    <row r="29" spans="1:8" s="13" customFormat="1" ht="15" customHeight="1">
      <c r="A29" s="7" t="str">
        <f>"0408"</f>
        <v>0408</v>
      </c>
      <c r="B29" s="7" t="s">
        <v>36</v>
      </c>
      <c r="C29" s="7" t="str">
        <f>"李闯"</f>
        <v>李闯</v>
      </c>
      <c r="D29" s="7" t="str">
        <f>"10125010513"</f>
        <v>10125010513</v>
      </c>
      <c r="E29" s="8">
        <v>77.5</v>
      </c>
      <c r="F29" s="8">
        <v>82.66</v>
      </c>
      <c r="G29" s="9">
        <v>79.564</v>
      </c>
      <c r="H29" s="7" t="s">
        <v>10</v>
      </c>
    </row>
    <row r="30" spans="1:8" s="13" customFormat="1" ht="15" customHeight="1">
      <c r="A30" s="7" t="str">
        <f>"0501"</f>
        <v>0501</v>
      </c>
      <c r="B30" s="7" t="s">
        <v>9</v>
      </c>
      <c r="C30" s="7" t="str">
        <f>"于浩然"</f>
        <v>于浩然</v>
      </c>
      <c r="D30" s="7" t="str">
        <f>"10125010614"</f>
        <v>10125010614</v>
      </c>
      <c r="E30" s="8">
        <v>77.5</v>
      </c>
      <c r="F30" s="8">
        <v>85.76</v>
      </c>
      <c r="G30" s="9">
        <v>80.804</v>
      </c>
      <c r="H30" s="7" t="s">
        <v>10</v>
      </c>
    </row>
    <row r="31" spans="1:8" s="13" customFormat="1" ht="15" customHeight="1">
      <c r="A31" s="7" t="str">
        <f>"0501"</f>
        <v>0501</v>
      </c>
      <c r="B31" s="7" t="s">
        <v>9</v>
      </c>
      <c r="C31" s="7" t="str">
        <f>"包振"</f>
        <v>包振</v>
      </c>
      <c r="D31" s="7" t="str">
        <f>"10125010710"</f>
        <v>10125010710</v>
      </c>
      <c r="E31" s="8">
        <v>76.5</v>
      </c>
      <c r="F31" s="8">
        <v>86.8</v>
      </c>
      <c r="G31" s="9">
        <v>80.62</v>
      </c>
      <c r="H31" s="7" t="s">
        <v>11</v>
      </c>
    </row>
    <row r="32" spans="1:8" s="13" customFormat="1" ht="15" customHeight="1">
      <c r="A32" s="7" t="str">
        <f>"0501"</f>
        <v>0501</v>
      </c>
      <c r="B32" s="7" t="s">
        <v>9</v>
      </c>
      <c r="C32" s="7" t="str">
        <f>"霍凯婷"</f>
        <v>霍凯婷</v>
      </c>
      <c r="D32" s="7" t="str">
        <f>"10125010627"</f>
        <v>10125010627</v>
      </c>
      <c r="E32" s="8">
        <v>77.5</v>
      </c>
      <c r="F32" s="8">
        <v>84.12</v>
      </c>
      <c r="G32" s="9">
        <v>80.148</v>
      </c>
      <c r="H32" s="7" t="s">
        <v>11</v>
      </c>
    </row>
    <row r="33" spans="1:8" s="13" customFormat="1" ht="15" customHeight="1">
      <c r="A33" s="7" t="str">
        <f>"0502"</f>
        <v>0502</v>
      </c>
      <c r="B33" s="7" t="s">
        <v>12</v>
      </c>
      <c r="C33" s="7" t="str">
        <f>"潘宝兴"</f>
        <v>潘宝兴</v>
      </c>
      <c r="D33" s="7" t="str">
        <f>"10125010717"</f>
        <v>10125010717</v>
      </c>
      <c r="E33" s="8">
        <v>67.5</v>
      </c>
      <c r="F33" s="8">
        <v>82.18</v>
      </c>
      <c r="G33" s="9">
        <v>73.37200000000001</v>
      </c>
      <c r="H33" s="7" t="s">
        <v>11</v>
      </c>
    </row>
    <row r="34" spans="1:8" s="13" customFormat="1" ht="15" customHeight="1">
      <c r="A34" s="7" t="str">
        <f>"0503"</f>
        <v>0503</v>
      </c>
      <c r="B34" s="7" t="s">
        <v>13</v>
      </c>
      <c r="C34" s="7" t="str">
        <f>"江青山"</f>
        <v>江青山</v>
      </c>
      <c r="D34" s="7" t="str">
        <f>"10125010812"</f>
        <v>10125010812</v>
      </c>
      <c r="E34" s="8">
        <v>79.5</v>
      </c>
      <c r="F34" s="8">
        <v>83.09</v>
      </c>
      <c r="G34" s="9">
        <v>80.936</v>
      </c>
      <c r="H34" s="7" t="s">
        <v>37</v>
      </c>
    </row>
    <row r="35" spans="1:8" s="13" customFormat="1" ht="15" customHeight="1">
      <c r="A35" s="7" t="str">
        <f>"0503"</f>
        <v>0503</v>
      </c>
      <c r="B35" s="7" t="s">
        <v>13</v>
      </c>
      <c r="C35" s="7" t="str">
        <f>"姬兆晗"</f>
        <v>姬兆晗</v>
      </c>
      <c r="D35" s="7" t="str">
        <f>"10125010726"</f>
        <v>10125010726</v>
      </c>
      <c r="E35" s="8">
        <v>77.5</v>
      </c>
      <c r="F35" s="8">
        <v>85.92</v>
      </c>
      <c r="G35" s="9">
        <v>80.868</v>
      </c>
      <c r="H35" s="7" t="s">
        <v>11</v>
      </c>
    </row>
    <row r="36" spans="1:8" s="13" customFormat="1" ht="15" customHeight="1">
      <c r="A36" s="7" t="str">
        <f>"0503"</f>
        <v>0503</v>
      </c>
      <c r="B36" s="7" t="s">
        <v>13</v>
      </c>
      <c r="C36" s="7" t="str">
        <f>"朱佳辉"</f>
        <v>朱佳辉</v>
      </c>
      <c r="D36" s="7" t="str">
        <f>"10125010908"</f>
        <v>10125010908</v>
      </c>
      <c r="E36" s="8">
        <v>78.5</v>
      </c>
      <c r="F36" s="8">
        <v>84.2</v>
      </c>
      <c r="G36" s="9">
        <v>80.78</v>
      </c>
      <c r="H36" s="7" t="s">
        <v>11</v>
      </c>
    </row>
    <row r="37" spans="1:8" s="13" customFormat="1" ht="15" customHeight="1">
      <c r="A37" s="7" t="str">
        <f>"0503"</f>
        <v>0503</v>
      </c>
      <c r="B37" s="7" t="s">
        <v>13</v>
      </c>
      <c r="C37" s="7" t="str">
        <f>"赵全波"</f>
        <v>赵全波</v>
      </c>
      <c r="D37" s="7" t="str">
        <f>"10125010814"</f>
        <v>10125010814</v>
      </c>
      <c r="E37" s="8">
        <v>77.5</v>
      </c>
      <c r="F37" s="8">
        <v>75.2</v>
      </c>
      <c r="G37" s="9">
        <v>76.58</v>
      </c>
      <c r="H37" s="7" t="s">
        <v>11</v>
      </c>
    </row>
    <row r="38" spans="1:8" s="13" customFormat="1" ht="15" customHeight="1">
      <c r="A38" s="7" t="str">
        <f>"0504"</f>
        <v>0504</v>
      </c>
      <c r="B38" s="7" t="s">
        <v>38</v>
      </c>
      <c r="C38" s="7" t="str">
        <f>"商月蕾"</f>
        <v>商月蕾</v>
      </c>
      <c r="D38" s="7" t="str">
        <f>"10125010929"</f>
        <v>10125010929</v>
      </c>
      <c r="E38" s="8">
        <v>79</v>
      </c>
      <c r="F38" s="8">
        <v>85.18</v>
      </c>
      <c r="G38" s="9">
        <v>81.47200000000001</v>
      </c>
      <c r="H38" s="7" t="s">
        <v>10</v>
      </c>
    </row>
    <row r="39" spans="1:8" s="13" customFormat="1" ht="15" customHeight="1">
      <c r="A39" s="7" t="str">
        <f>"0504"</f>
        <v>0504</v>
      </c>
      <c r="B39" s="7" t="s">
        <v>38</v>
      </c>
      <c r="C39" s="7" t="str">
        <f>"赵泽瑞"</f>
        <v>赵泽瑞</v>
      </c>
      <c r="D39" s="7" t="str">
        <f>"10125011022"</f>
        <v>10125011022</v>
      </c>
      <c r="E39" s="8">
        <v>79</v>
      </c>
      <c r="F39" s="8">
        <v>84.12</v>
      </c>
      <c r="G39" s="9">
        <v>81.048</v>
      </c>
      <c r="H39" s="7" t="s">
        <v>11</v>
      </c>
    </row>
    <row r="40" spans="1:8" s="13" customFormat="1" ht="15" customHeight="1">
      <c r="A40" s="7" t="str">
        <f>"0504"</f>
        <v>0504</v>
      </c>
      <c r="B40" s="7" t="s">
        <v>38</v>
      </c>
      <c r="C40" s="7" t="str">
        <f>"王铮"</f>
        <v>王铮</v>
      </c>
      <c r="D40" s="7" t="str">
        <f>"10125011003"</f>
        <v>10125011003</v>
      </c>
      <c r="E40" s="8">
        <v>80.5</v>
      </c>
      <c r="F40" s="8">
        <v>78.24</v>
      </c>
      <c r="G40" s="9">
        <v>79.596</v>
      </c>
      <c r="H40" s="7" t="s">
        <v>11</v>
      </c>
    </row>
    <row r="41" spans="1:8" s="13" customFormat="1" ht="15" customHeight="1">
      <c r="A41" s="7" t="str">
        <f>"0601-1"</f>
        <v>0601-1</v>
      </c>
      <c r="B41" s="7" t="s">
        <v>9</v>
      </c>
      <c r="C41" s="7" t="str">
        <f>"刘明毅"</f>
        <v>刘明毅</v>
      </c>
      <c r="D41" s="7" t="str">
        <f>"10125011111"</f>
        <v>10125011111</v>
      </c>
      <c r="E41" s="8">
        <v>76.5</v>
      </c>
      <c r="F41" s="8">
        <v>81.64</v>
      </c>
      <c r="G41" s="9">
        <v>78.556</v>
      </c>
      <c r="H41" s="7" t="s">
        <v>10</v>
      </c>
    </row>
    <row r="42" spans="1:8" s="13" customFormat="1" ht="15" customHeight="1">
      <c r="A42" s="7" t="str">
        <f>"0601-1"</f>
        <v>0601-1</v>
      </c>
      <c r="B42" s="7" t="s">
        <v>9</v>
      </c>
      <c r="C42" s="7" t="str">
        <f>"费振磊"</f>
        <v>费振磊</v>
      </c>
      <c r="D42" s="7" t="str">
        <f>"10125011110"</f>
        <v>10125011110</v>
      </c>
      <c r="E42" s="8">
        <v>74.5</v>
      </c>
      <c r="F42" s="8">
        <v>84.3</v>
      </c>
      <c r="G42" s="9">
        <v>78.41999999999999</v>
      </c>
      <c r="H42" s="7" t="s">
        <v>11</v>
      </c>
    </row>
    <row r="43" spans="1:8" s="13" customFormat="1" ht="15" customHeight="1">
      <c r="A43" s="7" t="str">
        <f>"0601-1"</f>
        <v>0601-1</v>
      </c>
      <c r="B43" s="7" t="s">
        <v>9</v>
      </c>
      <c r="C43" s="7" t="str">
        <f>"苏晓光"</f>
        <v>苏晓光</v>
      </c>
      <c r="D43" s="7" t="str">
        <f>"10125011119"</f>
        <v>10125011119</v>
      </c>
      <c r="E43" s="8">
        <v>73.5</v>
      </c>
      <c r="F43" s="8">
        <v>80</v>
      </c>
      <c r="G43" s="9">
        <v>76.1</v>
      </c>
      <c r="H43" s="7" t="s">
        <v>11</v>
      </c>
    </row>
    <row r="44" spans="1:8" s="13" customFormat="1" ht="15" customHeight="1">
      <c r="A44" s="7" t="str">
        <f>"0602"</f>
        <v>0602</v>
      </c>
      <c r="B44" s="7" t="s">
        <v>39</v>
      </c>
      <c r="C44" s="7" t="str">
        <f>"吴永权"</f>
        <v>吴永权</v>
      </c>
      <c r="D44" s="7" t="str">
        <f>"10125011212"</f>
        <v>10125011212</v>
      </c>
      <c r="E44" s="8">
        <v>77.5</v>
      </c>
      <c r="F44" s="8">
        <v>85.18</v>
      </c>
      <c r="G44" s="9">
        <v>80.572</v>
      </c>
      <c r="H44" s="7" t="s">
        <v>10</v>
      </c>
    </row>
    <row r="45" spans="1:8" s="13" customFormat="1" ht="15" customHeight="1">
      <c r="A45" s="7" t="str">
        <f>"0602"</f>
        <v>0602</v>
      </c>
      <c r="B45" s="7" t="s">
        <v>39</v>
      </c>
      <c r="C45" s="7" t="str">
        <f>"张鹏旭"</f>
        <v>张鹏旭</v>
      </c>
      <c r="D45" s="7" t="str">
        <f>"10125011128"</f>
        <v>10125011128</v>
      </c>
      <c r="E45" s="8">
        <v>76</v>
      </c>
      <c r="F45" s="8">
        <v>84.52</v>
      </c>
      <c r="G45" s="9">
        <v>79.408</v>
      </c>
      <c r="H45" s="7" t="s">
        <v>11</v>
      </c>
    </row>
    <row r="46" spans="1:8" s="13" customFormat="1" ht="15" customHeight="1">
      <c r="A46" s="7" t="str">
        <f>"0602"</f>
        <v>0602</v>
      </c>
      <c r="B46" s="7" t="s">
        <v>39</v>
      </c>
      <c r="C46" s="7" t="str">
        <f>"孙博"</f>
        <v>孙博</v>
      </c>
      <c r="D46" s="7" t="str">
        <f>"10125011215"</f>
        <v>10125011215</v>
      </c>
      <c r="E46" s="8">
        <v>76</v>
      </c>
      <c r="F46" s="8">
        <v>80.62</v>
      </c>
      <c r="G46" s="9">
        <v>77.84800000000001</v>
      </c>
      <c r="H46" s="7" t="s">
        <v>11</v>
      </c>
    </row>
    <row r="47" spans="1:8" s="13" customFormat="1" ht="15" customHeight="1">
      <c r="A47" s="7" t="s">
        <v>40</v>
      </c>
      <c r="B47" s="7" t="s">
        <v>13</v>
      </c>
      <c r="C47" s="7" t="s">
        <v>41</v>
      </c>
      <c r="D47" s="7" t="s">
        <v>42</v>
      </c>
      <c r="E47" s="8">
        <v>79.5</v>
      </c>
      <c r="F47" s="8">
        <v>87.92</v>
      </c>
      <c r="G47" s="9">
        <v>82.868</v>
      </c>
      <c r="H47" s="7" t="s">
        <v>10</v>
      </c>
    </row>
    <row r="48" spans="1:8" s="13" customFormat="1" ht="15" customHeight="1">
      <c r="A48" s="7" t="s">
        <v>40</v>
      </c>
      <c r="B48" s="7" t="s">
        <v>13</v>
      </c>
      <c r="C48" s="7" t="s">
        <v>43</v>
      </c>
      <c r="D48" s="7" t="s">
        <v>44</v>
      </c>
      <c r="E48" s="8">
        <v>78.5</v>
      </c>
      <c r="F48" s="8">
        <v>88.58</v>
      </c>
      <c r="G48" s="9">
        <v>82.53200000000001</v>
      </c>
      <c r="H48" s="7" t="s">
        <v>11</v>
      </c>
    </row>
    <row r="49" spans="1:8" s="13" customFormat="1" ht="15" customHeight="1">
      <c r="A49" s="7" t="s">
        <v>40</v>
      </c>
      <c r="B49" s="7" t="s">
        <v>13</v>
      </c>
      <c r="C49" s="7" t="s">
        <v>45</v>
      </c>
      <c r="D49" s="7" t="s">
        <v>46</v>
      </c>
      <c r="E49" s="8">
        <v>79</v>
      </c>
      <c r="F49" s="8">
        <v>82.66</v>
      </c>
      <c r="G49" s="9">
        <v>80.464</v>
      </c>
      <c r="H49" s="7" t="s">
        <v>11</v>
      </c>
    </row>
    <row r="50" spans="1:8" s="13" customFormat="1" ht="15" customHeight="1">
      <c r="A50" s="7" t="s">
        <v>47</v>
      </c>
      <c r="B50" s="7" t="s">
        <v>28</v>
      </c>
      <c r="C50" s="7" t="s">
        <v>48</v>
      </c>
      <c r="D50" s="7" t="s">
        <v>49</v>
      </c>
      <c r="E50" s="8">
        <v>74</v>
      </c>
      <c r="F50" s="8">
        <v>81.98</v>
      </c>
      <c r="G50" s="9">
        <v>77.19200000000001</v>
      </c>
      <c r="H50" s="7" t="s">
        <v>11</v>
      </c>
    </row>
    <row r="51" spans="1:8" s="13" customFormat="1" ht="15" customHeight="1">
      <c r="A51" s="7" t="s">
        <v>50</v>
      </c>
      <c r="B51" s="7" t="s">
        <v>51</v>
      </c>
      <c r="C51" s="7" t="s">
        <v>52</v>
      </c>
      <c r="D51" s="7" t="s">
        <v>53</v>
      </c>
      <c r="E51" s="8">
        <v>77</v>
      </c>
      <c r="F51" s="8">
        <v>87.3</v>
      </c>
      <c r="G51" s="9">
        <v>81.12</v>
      </c>
      <c r="H51" s="7" t="s">
        <v>10</v>
      </c>
    </row>
    <row r="52" spans="1:8" s="13" customFormat="1" ht="15" customHeight="1">
      <c r="A52" s="7" t="s">
        <v>50</v>
      </c>
      <c r="B52" s="7" t="s">
        <v>51</v>
      </c>
      <c r="C52" s="7" t="s">
        <v>54</v>
      </c>
      <c r="D52" s="7" t="s">
        <v>55</v>
      </c>
      <c r="E52" s="8">
        <v>76</v>
      </c>
      <c r="F52" s="8">
        <v>85.76</v>
      </c>
      <c r="G52" s="9">
        <v>79.904</v>
      </c>
      <c r="H52" s="7" t="s">
        <v>11</v>
      </c>
    </row>
    <row r="53" spans="1:8" s="13" customFormat="1" ht="15" customHeight="1">
      <c r="A53" s="7" t="s">
        <v>50</v>
      </c>
      <c r="B53" s="7" t="s">
        <v>51</v>
      </c>
      <c r="C53" s="7" t="s">
        <v>56</v>
      </c>
      <c r="D53" s="7" t="s">
        <v>57</v>
      </c>
      <c r="E53" s="8">
        <v>73</v>
      </c>
      <c r="F53" s="8" t="s">
        <v>58</v>
      </c>
      <c r="G53" s="9">
        <v>43.8</v>
      </c>
      <c r="H53" s="7" t="s">
        <v>11</v>
      </c>
    </row>
    <row r="54" spans="1:8" s="13" customFormat="1" ht="15" customHeight="1">
      <c r="A54" s="7" t="str">
        <f>"0701"</f>
        <v>0701</v>
      </c>
      <c r="B54" s="7" t="s">
        <v>22</v>
      </c>
      <c r="C54" s="7" t="str">
        <f>"姜世程"</f>
        <v>姜世程</v>
      </c>
      <c r="D54" s="7" t="str">
        <f>"10125011612"</f>
        <v>10125011612</v>
      </c>
      <c r="E54" s="8">
        <v>73</v>
      </c>
      <c r="F54" s="8">
        <v>83.74</v>
      </c>
      <c r="G54" s="9">
        <v>77.29599999999999</v>
      </c>
      <c r="H54" s="7" t="s">
        <v>10</v>
      </c>
    </row>
    <row r="55" spans="1:8" s="13" customFormat="1" ht="15" customHeight="1">
      <c r="A55" s="7" t="str">
        <f>"0701"</f>
        <v>0701</v>
      </c>
      <c r="B55" s="7" t="s">
        <v>22</v>
      </c>
      <c r="C55" s="7" t="str">
        <f>"阿如汗"</f>
        <v>阿如汗</v>
      </c>
      <c r="D55" s="7" t="str">
        <f>"10125011613"</f>
        <v>10125011613</v>
      </c>
      <c r="E55" s="8">
        <v>66</v>
      </c>
      <c r="F55" s="8">
        <v>81.02</v>
      </c>
      <c r="G55" s="9">
        <v>72.00800000000001</v>
      </c>
      <c r="H55" s="7" t="s">
        <v>11</v>
      </c>
    </row>
    <row r="56" spans="1:8" s="13" customFormat="1" ht="15" customHeight="1">
      <c r="A56" s="7" t="str">
        <f>"0701"</f>
        <v>0701</v>
      </c>
      <c r="B56" s="7" t="s">
        <v>22</v>
      </c>
      <c r="C56" s="7" t="str">
        <f>"特木其勒"</f>
        <v>特木其勒</v>
      </c>
      <c r="D56" s="7" t="str">
        <f>"10125011614"</f>
        <v>10125011614</v>
      </c>
      <c r="E56" s="8">
        <v>60</v>
      </c>
      <c r="F56" s="8">
        <v>81.82</v>
      </c>
      <c r="G56" s="9">
        <v>68.72800000000001</v>
      </c>
      <c r="H56" s="7" t="s">
        <v>11</v>
      </c>
    </row>
    <row r="57" spans="1:8" s="13" customFormat="1" ht="15" customHeight="1">
      <c r="A57" s="7" t="str">
        <f>"0702"</f>
        <v>0702</v>
      </c>
      <c r="B57" s="7" t="s">
        <v>39</v>
      </c>
      <c r="C57" s="7" t="str">
        <f>"王卓"</f>
        <v>王卓</v>
      </c>
      <c r="D57" s="7" t="str">
        <f>"10125011625"</f>
        <v>10125011625</v>
      </c>
      <c r="E57" s="8">
        <v>79.5</v>
      </c>
      <c r="F57" s="8">
        <v>85.84</v>
      </c>
      <c r="G57" s="9">
        <v>82.036</v>
      </c>
      <c r="H57" s="7" t="s">
        <v>10</v>
      </c>
    </row>
    <row r="58" spans="1:8" s="13" customFormat="1" ht="15" customHeight="1">
      <c r="A58" s="7" t="str">
        <f>"0702"</f>
        <v>0702</v>
      </c>
      <c r="B58" s="7" t="s">
        <v>39</v>
      </c>
      <c r="C58" s="7" t="str">
        <f>"郭威"</f>
        <v>郭威</v>
      </c>
      <c r="D58" s="7" t="str">
        <f>"10125011711"</f>
        <v>10125011711</v>
      </c>
      <c r="E58" s="8">
        <v>78.5</v>
      </c>
      <c r="F58" s="8">
        <v>84.94</v>
      </c>
      <c r="G58" s="9">
        <v>81.076</v>
      </c>
      <c r="H58" s="7" t="s">
        <v>11</v>
      </c>
    </row>
    <row r="59" spans="1:8" s="13" customFormat="1" ht="15" customHeight="1">
      <c r="A59" s="7" t="str">
        <f>"0702"</f>
        <v>0702</v>
      </c>
      <c r="B59" s="7" t="s">
        <v>39</v>
      </c>
      <c r="C59" s="7" t="str">
        <f>"李梦迪"</f>
        <v>李梦迪</v>
      </c>
      <c r="D59" s="7" t="str">
        <f>"10125011701"</f>
        <v>10125011701</v>
      </c>
      <c r="E59" s="8">
        <v>78</v>
      </c>
      <c r="F59" s="8">
        <v>78.3</v>
      </c>
      <c r="G59" s="9">
        <v>78.12</v>
      </c>
      <c r="H59" s="7" t="s">
        <v>11</v>
      </c>
    </row>
    <row r="60" spans="1:8" s="13" customFormat="1" ht="15" customHeight="1">
      <c r="A60" s="7" t="s">
        <v>59</v>
      </c>
      <c r="B60" s="7" t="s">
        <v>9</v>
      </c>
      <c r="C60" s="7" t="s">
        <v>60</v>
      </c>
      <c r="D60" s="7" t="s">
        <v>61</v>
      </c>
      <c r="E60" s="8">
        <v>71</v>
      </c>
      <c r="F60" s="8">
        <v>80.54</v>
      </c>
      <c r="G60" s="9">
        <v>74.816</v>
      </c>
      <c r="H60" s="7" t="s">
        <v>10</v>
      </c>
    </row>
    <row r="61" spans="1:8" s="13" customFormat="1" ht="15" customHeight="1">
      <c r="A61" s="7" t="s">
        <v>59</v>
      </c>
      <c r="B61" s="7" t="s">
        <v>9</v>
      </c>
      <c r="C61" s="7" t="s">
        <v>62</v>
      </c>
      <c r="D61" s="7" t="s">
        <v>63</v>
      </c>
      <c r="E61" s="8">
        <v>68</v>
      </c>
      <c r="F61" s="8">
        <v>79.42</v>
      </c>
      <c r="G61" s="9">
        <v>72.568</v>
      </c>
      <c r="H61" s="7" t="s">
        <v>11</v>
      </c>
    </row>
    <row r="62" spans="1:8" s="13" customFormat="1" ht="15" customHeight="1">
      <c r="A62" s="7" t="s">
        <v>59</v>
      </c>
      <c r="B62" s="7" t="s">
        <v>9</v>
      </c>
      <c r="C62" s="7" t="s">
        <v>64</v>
      </c>
      <c r="D62" s="7" t="s">
        <v>65</v>
      </c>
      <c r="E62" s="8">
        <v>59.5</v>
      </c>
      <c r="F62" s="8">
        <v>84.1</v>
      </c>
      <c r="G62" s="9">
        <v>69.34</v>
      </c>
      <c r="H62" s="7" t="s">
        <v>11</v>
      </c>
    </row>
    <row r="63" spans="1:8" s="13" customFormat="1" ht="15" customHeight="1">
      <c r="A63" s="7" t="s">
        <v>66</v>
      </c>
      <c r="B63" s="7" t="s">
        <v>67</v>
      </c>
      <c r="C63" s="7" t="s">
        <v>68</v>
      </c>
      <c r="D63" s="7" t="s">
        <v>69</v>
      </c>
      <c r="E63" s="8">
        <v>73</v>
      </c>
      <c r="F63" s="8">
        <v>84.74</v>
      </c>
      <c r="G63" s="9">
        <v>77.696</v>
      </c>
      <c r="H63" s="7" t="s">
        <v>10</v>
      </c>
    </row>
    <row r="64" spans="1:8" s="13" customFormat="1" ht="15" customHeight="1">
      <c r="A64" s="7" t="s">
        <v>66</v>
      </c>
      <c r="B64" s="7" t="s">
        <v>67</v>
      </c>
      <c r="C64" s="7" t="s">
        <v>70</v>
      </c>
      <c r="D64" s="7" t="s">
        <v>71</v>
      </c>
      <c r="E64" s="8">
        <v>71.5</v>
      </c>
      <c r="F64" s="8">
        <v>84.89</v>
      </c>
      <c r="G64" s="9">
        <v>76.856</v>
      </c>
      <c r="H64" s="7" t="s">
        <v>11</v>
      </c>
    </row>
    <row r="65" spans="1:8" s="13" customFormat="1" ht="15" customHeight="1">
      <c r="A65" s="7" t="s">
        <v>66</v>
      </c>
      <c r="B65" s="7" t="s">
        <v>67</v>
      </c>
      <c r="C65" s="7" t="s">
        <v>72</v>
      </c>
      <c r="D65" s="7" t="s">
        <v>73</v>
      </c>
      <c r="E65" s="8">
        <v>70.5</v>
      </c>
      <c r="F65" s="8">
        <v>81.5</v>
      </c>
      <c r="G65" s="9">
        <v>74.9</v>
      </c>
      <c r="H65" s="7" t="s">
        <v>11</v>
      </c>
    </row>
    <row r="66" spans="1:8" s="13" customFormat="1" ht="15" customHeight="1">
      <c r="A66" s="7" t="str">
        <f>"0803"</f>
        <v>0803</v>
      </c>
      <c r="B66" s="7" t="s">
        <v>13</v>
      </c>
      <c r="C66" s="7" t="str">
        <f>"刘佳奇"</f>
        <v>刘佳奇</v>
      </c>
      <c r="D66" s="7" t="str">
        <f>"10125011923"</f>
        <v>10125011923</v>
      </c>
      <c r="E66" s="8">
        <v>74.5</v>
      </c>
      <c r="F66" s="8">
        <v>85.46</v>
      </c>
      <c r="G66" s="9">
        <v>78.88399999999999</v>
      </c>
      <c r="H66" s="7" t="s">
        <v>10</v>
      </c>
    </row>
    <row r="67" spans="1:8" s="13" customFormat="1" ht="15" customHeight="1">
      <c r="A67" s="7" t="str">
        <f>"0803"</f>
        <v>0803</v>
      </c>
      <c r="B67" s="7" t="s">
        <v>13</v>
      </c>
      <c r="C67" s="7" t="str">
        <f>"王杨"</f>
        <v>王杨</v>
      </c>
      <c r="D67" s="7" t="str">
        <f>"10125011909"</f>
        <v>10125011909</v>
      </c>
      <c r="E67" s="8">
        <v>77</v>
      </c>
      <c r="F67" s="8">
        <v>80.76</v>
      </c>
      <c r="G67" s="9">
        <v>78.50399999999999</v>
      </c>
      <c r="H67" s="7" t="s">
        <v>10</v>
      </c>
    </row>
    <row r="68" spans="1:8" s="13" customFormat="1" ht="15" customHeight="1">
      <c r="A68" s="7" t="str">
        <f>"0803"</f>
        <v>0803</v>
      </c>
      <c r="B68" s="7" t="s">
        <v>13</v>
      </c>
      <c r="C68" s="7" t="str">
        <f>"曹鹏"</f>
        <v>曹鹏</v>
      </c>
      <c r="D68" s="7" t="str">
        <f>"10125011901"</f>
        <v>10125011901</v>
      </c>
      <c r="E68" s="8">
        <v>75.5</v>
      </c>
      <c r="F68" s="8">
        <v>82.96</v>
      </c>
      <c r="G68" s="9">
        <v>78.484</v>
      </c>
      <c r="H68" s="7" t="s">
        <v>11</v>
      </c>
    </row>
    <row r="69" spans="1:8" s="13" customFormat="1" ht="15" customHeight="1">
      <c r="A69" s="7" t="str">
        <f>"0803"</f>
        <v>0803</v>
      </c>
      <c r="B69" s="7" t="s">
        <v>13</v>
      </c>
      <c r="C69" s="7" t="str">
        <f>"莫日根"</f>
        <v>莫日根</v>
      </c>
      <c r="D69" s="7" t="str">
        <f>"10125011903"</f>
        <v>10125011903</v>
      </c>
      <c r="E69" s="8">
        <v>76</v>
      </c>
      <c r="F69" s="8">
        <v>79.74</v>
      </c>
      <c r="G69" s="9">
        <v>77.49600000000001</v>
      </c>
      <c r="H69" s="7" t="s">
        <v>11</v>
      </c>
    </row>
    <row r="70" spans="1:10" s="13" customFormat="1" ht="15" customHeight="1">
      <c r="A70" s="7" t="str">
        <f>"0803"</f>
        <v>0803</v>
      </c>
      <c r="B70" s="7" t="s">
        <v>13</v>
      </c>
      <c r="C70" s="7" t="str">
        <f>"张萌"</f>
        <v>张萌</v>
      </c>
      <c r="D70" s="7" t="str">
        <f>"10125011918"</f>
        <v>10125011918</v>
      </c>
      <c r="E70" s="8">
        <v>75</v>
      </c>
      <c r="F70" s="8" t="s">
        <v>58</v>
      </c>
      <c r="G70" s="9">
        <v>45</v>
      </c>
      <c r="H70" s="7" t="s">
        <v>11</v>
      </c>
      <c r="J70" s="10"/>
    </row>
    <row r="71" spans="1:8" s="13" customFormat="1" ht="15" customHeight="1">
      <c r="A71" s="7" t="s">
        <v>74</v>
      </c>
      <c r="B71" s="7" t="s">
        <v>38</v>
      </c>
      <c r="C71" s="7" t="s">
        <v>75</v>
      </c>
      <c r="D71" s="7" t="s">
        <v>76</v>
      </c>
      <c r="E71" s="8">
        <v>77.5</v>
      </c>
      <c r="F71" s="8">
        <v>85.38</v>
      </c>
      <c r="G71" s="9">
        <v>80.652</v>
      </c>
      <c r="H71" s="7" t="s">
        <v>10</v>
      </c>
    </row>
    <row r="72" spans="1:8" s="13" customFormat="1" ht="15" customHeight="1">
      <c r="A72" s="7" t="s">
        <v>74</v>
      </c>
      <c r="B72" s="7" t="s">
        <v>38</v>
      </c>
      <c r="C72" s="7" t="s">
        <v>77</v>
      </c>
      <c r="D72" s="7" t="s">
        <v>78</v>
      </c>
      <c r="E72" s="8">
        <v>73.5</v>
      </c>
      <c r="F72" s="8">
        <v>83.44</v>
      </c>
      <c r="G72" s="9">
        <v>77.476</v>
      </c>
      <c r="H72" s="7" t="s">
        <v>11</v>
      </c>
    </row>
    <row r="73" spans="1:8" s="13" customFormat="1" ht="15" customHeight="1">
      <c r="A73" s="7" t="s">
        <v>74</v>
      </c>
      <c r="B73" s="7" t="s">
        <v>38</v>
      </c>
      <c r="C73" s="7" t="s">
        <v>79</v>
      </c>
      <c r="D73" s="7" t="s">
        <v>80</v>
      </c>
      <c r="E73" s="8">
        <v>73.5</v>
      </c>
      <c r="F73" s="8">
        <v>82.2</v>
      </c>
      <c r="G73" s="9">
        <v>76.98</v>
      </c>
      <c r="H73" s="7" t="s">
        <v>11</v>
      </c>
    </row>
    <row r="74" spans="1:8" s="13" customFormat="1" ht="15" customHeight="1">
      <c r="A74" s="7" t="s">
        <v>81</v>
      </c>
      <c r="B74" s="7" t="s">
        <v>82</v>
      </c>
      <c r="C74" s="7" t="s">
        <v>83</v>
      </c>
      <c r="D74" s="7" t="s">
        <v>84</v>
      </c>
      <c r="E74" s="8">
        <v>80.5</v>
      </c>
      <c r="F74" s="8">
        <v>84.48</v>
      </c>
      <c r="G74" s="9">
        <v>82.092</v>
      </c>
      <c r="H74" s="7" t="s">
        <v>10</v>
      </c>
    </row>
    <row r="75" spans="1:8" s="13" customFormat="1" ht="15" customHeight="1">
      <c r="A75" s="7" t="s">
        <v>81</v>
      </c>
      <c r="B75" s="7" t="s">
        <v>82</v>
      </c>
      <c r="C75" s="7" t="s">
        <v>85</v>
      </c>
      <c r="D75" s="7" t="s">
        <v>86</v>
      </c>
      <c r="E75" s="8">
        <v>79</v>
      </c>
      <c r="F75" s="8">
        <v>84.52</v>
      </c>
      <c r="G75" s="9">
        <v>81.208</v>
      </c>
      <c r="H75" s="7" t="s">
        <v>11</v>
      </c>
    </row>
    <row r="76" spans="1:8" s="13" customFormat="1" ht="15" customHeight="1">
      <c r="A76" s="7" t="s">
        <v>81</v>
      </c>
      <c r="B76" s="7" t="s">
        <v>82</v>
      </c>
      <c r="C76" s="7" t="s">
        <v>87</v>
      </c>
      <c r="D76" s="7" t="s">
        <v>88</v>
      </c>
      <c r="E76" s="8">
        <v>80</v>
      </c>
      <c r="F76" s="8">
        <v>82.34</v>
      </c>
      <c r="G76" s="9">
        <v>80.936</v>
      </c>
      <c r="H76" s="7" t="s">
        <v>11</v>
      </c>
    </row>
    <row r="77" spans="1:8" s="13" customFormat="1" ht="15" customHeight="1">
      <c r="A77" s="7" t="s">
        <v>89</v>
      </c>
      <c r="B77" s="7" t="s">
        <v>90</v>
      </c>
      <c r="C77" s="7" t="s">
        <v>91</v>
      </c>
      <c r="D77" s="7" t="s">
        <v>92</v>
      </c>
      <c r="E77" s="8">
        <v>74</v>
      </c>
      <c r="F77" s="8">
        <v>85.2</v>
      </c>
      <c r="G77" s="9">
        <v>78.48</v>
      </c>
      <c r="H77" s="7" t="s">
        <v>10</v>
      </c>
    </row>
    <row r="78" spans="1:8" s="13" customFormat="1" ht="15" customHeight="1">
      <c r="A78" s="7" t="s">
        <v>89</v>
      </c>
      <c r="B78" s="7" t="s">
        <v>90</v>
      </c>
      <c r="C78" s="7" t="s">
        <v>93</v>
      </c>
      <c r="D78" s="7" t="s">
        <v>94</v>
      </c>
      <c r="E78" s="8">
        <v>74</v>
      </c>
      <c r="F78" s="8">
        <v>82.95</v>
      </c>
      <c r="G78" s="9">
        <v>77.58</v>
      </c>
      <c r="H78" s="7" t="s">
        <v>11</v>
      </c>
    </row>
    <row r="79" spans="1:8" s="13" customFormat="1" ht="15" customHeight="1">
      <c r="A79" s="7" t="s">
        <v>89</v>
      </c>
      <c r="B79" s="7" t="s">
        <v>90</v>
      </c>
      <c r="C79" s="7" t="s">
        <v>95</v>
      </c>
      <c r="D79" s="7" t="s">
        <v>96</v>
      </c>
      <c r="E79" s="8">
        <v>70.5</v>
      </c>
      <c r="F79" s="8">
        <v>82.18</v>
      </c>
      <c r="G79" s="9">
        <v>75.172</v>
      </c>
      <c r="H79" s="7" t="s">
        <v>11</v>
      </c>
    </row>
    <row r="80" spans="1:8" s="13" customFormat="1" ht="15" customHeight="1">
      <c r="A80" s="7" t="s">
        <v>97</v>
      </c>
      <c r="B80" s="7" t="s">
        <v>9</v>
      </c>
      <c r="C80" s="7" t="s">
        <v>98</v>
      </c>
      <c r="D80" s="7" t="s">
        <v>99</v>
      </c>
      <c r="E80" s="8">
        <v>78.5</v>
      </c>
      <c r="F80" s="8">
        <v>83.1</v>
      </c>
      <c r="G80" s="9">
        <v>80.34</v>
      </c>
      <c r="H80" s="7" t="s">
        <v>10</v>
      </c>
    </row>
    <row r="81" spans="1:8" s="13" customFormat="1" ht="15" customHeight="1">
      <c r="A81" s="7" t="s">
        <v>97</v>
      </c>
      <c r="B81" s="7" t="s">
        <v>9</v>
      </c>
      <c r="C81" s="7" t="s">
        <v>100</v>
      </c>
      <c r="D81" s="7" t="s">
        <v>101</v>
      </c>
      <c r="E81" s="8">
        <v>76</v>
      </c>
      <c r="F81" s="8">
        <v>84.5</v>
      </c>
      <c r="G81" s="9">
        <v>79.4</v>
      </c>
      <c r="H81" s="7" t="s">
        <v>11</v>
      </c>
    </row>
    <row r="82" spans="1:8" s="13" customFormat="1" ht="15" customHeight="1">
      <c r="A82" s="7" t="s">
        <v>97</v>
      </c>
      <c r="B82" s="7" t="s">
        <v>9</v>
      </c>
      <c r="C82" s="7" t="s">
        <v>102</v>
      </c>
      <c r="D82" s="7" t="s">
        <v>103</v>
      </c>
      <c r="E82" s="8">
        <v>75</v>
      </c>
      <c r="F82" s="8">
        <v>79.56</v>
      </c>
      <c r="G82" s="9">
        <v>76.824</v>
      </c>
      <c r="H82" s="7" t="s">
        <v>11</v>
      </c>
    </row>
    <row r="83" spans="1:8" s="13" customFormat="1" ht="15" customHeight="1">
      <c r="A83" s="7" t="s">
        <v>104</v>
      </c>
      <c r="B83" s="7" t="s">
        <v>27</v>
      </c>
      <c r="C83" s="7" t="s">
        <v>105</v>
      </c>
      <c r="D83" s="7" t="s">
        <v>106</v>
      </c>
      <c r="E83" s="8">
        <v>78.5</v>
      </c>
      <c r="F83" s="8">
        <v>87.76</v>
      </c>
      <c r="G83" s="9">
        <v>82.20400000000001</v>
      </c>
      <c r="H83" s="7" t="s">
        <v>10</v>
      </c>
    </row>
    <row r="84" spans="1:8" s="13" customFormat="1" ht="15" customHeight="1">
      <c r="A84" s="7" t="s">
        <v>104</v>
      </c>
      <c r="B84" s="7" t="s">
        <v>27</v>
      </c>
      <c r="C84" s="7" t="s">
        <v>107</v>
      </c>
      <c r="D84" s="7" t="s">
        <v>108</v>
      </c>
      <c r="E84" s="8">
        <v>76</v>
      </c>
      <c r="F84" s="8">
        <v>87.76</v>
      </c>
      <c r="G84" s="9">
        <v>80.70400000000001</v>
      </c>
      <c r="H84" s="7" t="s">
        <v>11</v>
      </c>
    </row>
    <row r="85" spans="1:8" s="13" customFormat="1" ht="15" customHeight="1">
      <c r="A85" s="7" t="s">
        <v>104</v>
      </c>
      <c r="B85" s="7" t="s">
        <v>27</v>
      </c>
      <c r="C85" s="7" t="s">
        <v>109</v>
      </c>
      <c r="D85" s="7" t="s">
        <v>110</v>
      </c>
      <c r="E85" s="8">
        <v>74.5</v>
      </c>
      <c r="F85" s="8">
        <v>84.8</v>
      </c>
      <c r="G85" s="9">
        <v>78.62</v>
      </c>
      <c r="H85" s="7" t="s">
        <v>11</v>
      </c>
    </row>
    <row r="86" spans="1:8" s="13" customFormat="1" ht="15" customHeight="1">
      <c r="A86" s="7" t="str">
        <f>"0901"</f>
        <v>0901</v>
      </c>
      <c r="B86" s="7" t="s">
        <v>22</v>
      </c>
      <c r="C86" s="7" t="str">
        <f>"包玲玲"</f>
        <v>包玲玲</v>
      </c>
      <c r="D86" s="7" t="str">
        <f>"10125012709"</f>
        <v>10125012709</v>
      </c>
      <c r="E86" s="8">
        <v>74</v>
      </c>
      <c r="F86" s="8">
        <v>75.58</v>
      </c>
      <c r="G86" s="9">
        <v>74.632</v>
      </c>
      <c r="H86" s="7" t="s">
        <v>10</v>
      </c>
    </row>
    <row r="87" spans="1:8" s="13" customFormat="1" ht="15" customHeight="1">
      <c r="A87" s="7" t="str">
        <f>"0901"</f>
        <v>0901</v>
      </c>
      <c r="B87" s="7" t="s">
        <v>22</v>
      </c>
      <c r="C87" s="7" t="str">
        <f>"白日新"</f>
        <v>白日新</v>
      </c>
      <c r="D87" s="7" t="str">
        <f>"10125012710"</f>
        <v>10125012710</v>
      </c>
      <c r="E87" s="8">
        <v>66</v>
      </c>
      <c r="F87" s="8">
        <v>80.96</v>
      </c>
      <c r="G87" s="9">
        <v>71.98400000000001</v>
      </c>
      <c r="H87" s="7" t="s">
        <v>10</v>
      </c>
    </row>
    <row r="88" spans="1:8" s="13" customFormat="1" ht="15" customHeight="1">
      <c r="A88" s="7" t="str">
        <f>"0901"</f>
        <v>0901</v>
      </c>
      <c r="B88" s="7" t="s">
        <v>22</v>
      </c>
      <c r="C88" s="7" t="str">
        <f>"红光"</f>
        <v>红光</v>
      </c>
      <c r="D88" s="7" t="str">
        <f>"20125010204"</f>
        <v>20125010204</v>
      </c>
      <c r="E88" s="8">
        <v>57.5</v>
      </c>
      <c r="F88" s="8">
        <v>79.3</v>
      </c>
      <c r="G88" s="9">
        <v>66.22</v>
      </c>
      <c r="H88" s="7" t="s">
        <v>11</v>
      </c>
    </row>
    <row r="89" spans="1:8" s="13" customFormat="1" ht="15" customHeight="1">
      <c r="A89" s="7" t="str">
        <f>"0901"</f>
        <v>0901</v>
      </c>
      <c r="B89" s="7" t="s">
        <v>22</v>
      </c>
      <c r="C89" s="7" t="str">
        <f>"寨力干"</f>
        <v>寨力干</v>
      </c>
      <c r="D89" s="7" t="str">
        <f>"10125012711"</f>
        <v>10125012711</v>
      </c>
      <c r="E89" s="8">
        <v>61</v>
      </c>
      <c r="F89" s="8" t="s">
        <v>58</v>
      </c>
      <c r="G89" s="9">
        <v>36.6</v>
      </c>
      <c r="H89" s="7" t="s">
        <v>11</v>
      </c>
    </row>
    <row r="90" spans="1:8" s="13" customFormat="1" ht="15" customHeight="1">
      <c r="A90" s="7" t="str">
        <f>"0902"</f>
        <v>0902</v>
      </c>
      <c r="B90" s="7" t="s">
        <v>27</v>
      </c>
      <c r="C90" s="7" t="str">
        <f>"王子龙"</f>
        <v>王子龙</v>
      </c>
      <c r="D90" s="7" t="str">
        <f>"10125012809"</f>
        <v>10125012809</v>
      </c>
      <c r="E90" s="8">
        <v>79.5</v>
      </c>
      <c r="F90" s="8">
        <v>84.68</v>
      </c>
      <c r="G90" s="9">
        <v>81.572</v>
      </c>
      <c r="H90" s="7" t="s">
        <v>10</v>
      </c>
    </row>
    <row r="91" spans="1:8" s="13" customFormat="1" ht="15" customHeight="1">
      <c r="A91" s="7" t="str">
        <f>"0902"</f>
        <v>0902</v>
      </c>
      <c r="B91" s="7" t="s">
        <v>27</v>
      </c>
      <c r="C91" s="7" t="str">
        <f>"李巍巍"</f>
        <v>李巍巍</v>
      </c>
      <c r="D91" s="7" t="str">
        <f>"10125012725"</f>
        <v>10125012725</v>
      </c>
      <c r="E91" s="8">
        <v>78</v>
      </c>
      <c r="F91" s="8">
        <v>81.82</v>
      </c>
      <c r="G91" s="9">
        <v>79.52799999999999</v>
      </c>
      <c r="H91" s="7" t="s">
        <v>11</v>
      </c>
    </row>
    <row r="92" spans="1:8" s="13" customFormat="1" ht="15" customHeight="1">
      <c r="A92" s="7" t="str">
        <f>"0902"</f>
        <v>0902</v>
      </c>
      <c r="B92" s="7" t="s">
        <v>27</v>
      </c>
      <c r="C92" s="7" t="str">
        <f>"赵明霞"</f>
        <v>赵明霞</v>
      </c>
      <c r="D92" s="7" t="str">
        <f>"30125010108"</f>
        <v>30125010108</v>
      </c>
      <c r="E92" s="8">
        <v>77.5</v>
      </c>
      <c r="F92" s="8">
        <v>80.62</v>
      </c>
      <c r="G92" s="9">
        <v>78.748</v>
      </c>
      <c r="H92" s="7" t="s">
        <v>11</v>
      </c>
    </row>
    <row r="93" spans="1:8" s="13" customFormat="1" ht="15" customHeight="1">
      <c r="A93" s="7" t="s">
        <v>111</v>
      </c>
      <c r="B93" s="7" t="s">
        <v>13</v>
      </c>
      <c r="C93" s="7" t="s">
        <v>112</v>
      </c>
      <c r="D93" s="7" t="s">
        <v>113</v>
      </c>
      <c r="E93" s="8">
        <v>72.5</v>
      </c>
      <c r="F93" s="8">
        <v>86.6</v>
      </c>
      <c r="G93" s="9">
        <v>78.14</v>
      </c>
      <c r="H93" s="7" t="s">
        <v>10</v>
      </c>
    </row>
    <row r="94" spans="1:8" s="13" customFormat="1" ht="15" customHeight="1">
      <c r="A94" s="7" t="s">
        <v>111</v>
      </c>
      <c r="B94" s="7" t="s">
        <v>13</v>
      </c>
      <c r="C94" s="7" t="s">
        <v>114</v>
      </c>
      <c r="D94" s="7" t="s">
        <v>115</v>
      </c>
      <c r="E94" s="8">
        <v>70</v>
      </c>
      <c r="F94" s="8">
        <v>89.86</v>
      </c>
      <c r="G94" s="9">
        <v>77.944</v>
      </c>
      <c r="H94" s="7" t="s">
        <v>11</v>
      </c>
    </row>
    <row r="95" spans="1:8" s="13" customFormat="1" ht="15" customHeight="1">
      <c r="A95" s="7" t="s">
        <v>111</v>
      </c>
      <c r="B95" s="7" t="s">
        <v>13</v>
      </c>
      <c r="C95" s="7" t="s">
        <v>116</v>
      </c>
      <c r="D95" s="7" t="s">
        <v>117</v>
      </c>
      <c r="E95" s="8">
        <v>59</v>
      </c>
      <c r="F95" s="8">
        <v>79.68</v>
      </c>
      <c r="G95" s="9">
        <v>67.272</v>
      </c>
      <c r="H95" s="7" t="s">
        <v>11</v>
      </c>
    </row>
    <row r="96" spans="1:8" s="13" customFormat="1" ht="15" customHeight="1">
      <c r="A96" s="7" t="str">
        <f>"0904"</f>
        <v>0904</v>
      </c>
      <c r="B96" s="7" t="s">
        <v>38</v>
      </c>
      <c r="C96" s="7" t="str">
        <f>"包苏敏"</f>
        <v>包苏敏</v>
      </c>
      <c r="D96" s="7" t="str">
        <f>"30125010211"</f>
        <v>30125010211</v>
      </c>
      <c r="E96" s="8">
        <v>72</v>
      </c>
      <c r="F96" s="8">
        <v>83.72</v>
      </c>
      <c r="G96" s="9">
        <v>76.68799999999999</v>
      </c>
      <c r="H96" s="7" t="s">
        <v>10</v>
      </c>
    </row>
    <row r="97" spans="1:8" s="13" customFormat="1" ht="15" customHeight="1">
      <c r="A97" s="7" t="str">
        <f>"0904"</f>
        <v>0904</v>
      </c>
      <c r="B97" s="7" t="s">
        <v>38</v>
      </c>
      <c r="C97" s="7" t="str">
        <f>"翟向圆"</f>
        <v>翟向圆</v>
      </c>
      <c r="D97" s="7" t="str">
        <f>"30125010126"</f>
        <v>30125010126</v>
      </c>
      <c r="E97" s="8">
        <v>73.5</v>
      </c>
      <c r="F97" s="8">
        <v>81.4</v>
      </c>
      <c r="G97" s="9">
        <v>76.66</v>
      </c>
      <c r="H97" s="7" t="s">
        <v>11</v>
      </c>
    </row>
    <row r="98" spans="1:8" s="13" customFormat="1" ht="15" customHeight="1">
      <c r="A98" s="7" t="str">
        <f>"0904"</f>
        <v>0904</v>
      </c>
      <c r="B98" s="7" t="s">
        <v>38</v>
      </c>
      <c r="C98" s="7" t="str">
        <f>"张海杰"</f>
        <v>张海杰</v>
      </c>
      <c r="D98" s="7" t="str">
        <f>"30125010203"</f>
        <v>30125010203</v>
      </c>
      <c r="E98" s="8">
        <v>73.5</v>
      </c>
      <c r="F98" s="8">
        <v>79.4</v>
      </c>
      <c r="G98" s="9">
        <v>75.86000000000001</v>
      </c>
      <c r="H98" s="7" t="s">
        <v>11</v>
      </c>
    </row>
    <row r="99" spans="1:8" s="13" customFormat="1" ht="15" customHeight="1">
      <c r="A99" s="7" t="str">
        <f>"1001"</f>
        <v>1001</v>
      </c>
      <c r="B99" s="7" t="s">
        <v>9</v>
      </c>
      <c r="C99" s="7" t="str">
        <f>"王清昊"</f>
        <v>王清昊</v>
      </c>
      <c r="D99" s="7" t="str">
        <f>"30125010224"</f>
        <v>30125010224</v>
      </c>
      <c r="E99" s="8">
        <v>80.5</v>
      </c>
      <c r="F99" s="8">
        <v>80.62</v>
      </c>
      <c r="G99" s="9">
        <v>80.548</v>
      </c>
      <c r="H99" s="7" t="s">
        <v>10</v>
      </c>
    </row>
    <row r="100" spans="1:8" s="13" customFormat="1" ht="15" customHeight="1">
      <c r="A100" s="7" t="str">
        <f>"1001"</f>
        <v>1001</v>
      </c>
      <c r="B100" s="7" t="s">
        <v>9</v>
      </c>
      <c r="C100" s="7" t="str">
        <f>"王光华"</f>
        <v>王光华</v>
      </c>
      <c r="D100" s="7" t="str">
        <f>"30125010223"</f>
        <v>30125010223</v>
      </c>
      <c r="E100" s="8">
        <v>71.5</v>
      </c>
      <c r="F100" s="8">
        <v>82.28</v>
      </c>
      <c r="G100" s="9">
        <v>75.812</v>
      </c>
      <c r="H100" s="7" t="s">
        <v>11</v>
      </c>
    </row>
    <row r="101" spans="1:8" s="13" customFormat="1" ht="15" customHeight="1">
      <c r="A101" s="7" t="str">
        <f>"1001"</f>
        <v>1001</v>
      </c>
      <c r="B101" s="7" t="s">
        <v>9</v>
      </c>
      <c r="C101" s="7" t="str">
        <f>"杨春龙"</f>
        <v>杨春龙</v>
      </c>
      <c r="D101" s="7" t="str">
        <f>"30125010228"</f>
        <v>30125010228</v>
      </c>
      <c r="E101" s="8">
        <v>71</v>
      </c>
      <c r="F101" s="8">
        <v>66.24</v>
      </c>
      <c r="G101" s="9">
        <v>69.096</v>
      </c>
      <c r="H101" s="7" t="s">
        <v>11</v>
      </c>
    </row>
    <row r="102" spans="1:8" s="13" customFormat="1" ht="15" customHeight="1">
      <c r="A102" s="7" t="str">
        <f aca="true" t="shared" si="0" ref="A102:A107">"1002-1"</f>
        <v>1002-1</v>
      </c>
      <c r="B102" s="7" t="s">
        <v>39</v>
      </c>
      <c r="C102" s="7" t="str">
        <f>"杨光"</f>
        <v>杨光</v>
      </c>
      <c r="D102" s="7" t="str">
        <f>"30125010321"</f>
        <v>30125010321</v>
      </c>
      <c r="E102" s="8">
        <v>72</v>
      </c>
      <c r="F102" s="8">
        <v>84.32</v>
      </c>
      <c r="G102" s="9">
        <v>76.928</v>
      </c>
      <c r="H102" s="7" t="s">
        <v>10</v>
      </c>
    </row>
    <row r="103" spans="1:8" s="13" customFormat="1" ht="15" customHeight="1">
      <c r="A103" s="7" t="str">
        <f t="shared" si="0"/>
        <v>1002-1</v>
      </c>
      <c r="B103" s="7" t="s">
        <v>39</v>
      </c>
      <c r="C103" s="7" t="str">
        <f>"姜宇伦"</f>
        <v>姜宇伦</v>
      </c>
      <c r="D103" s="7" t="str">
        <f>"30125010306"</f>
        <v>30125010306</v>
      </c>
      <c r="E103" s="8">
        <v>72</v>
      </c>
      <c r="F103" s="8">
        <v>82.16</v>
      </c>
      <c r="G103" s="9">
        <v>76.064</v>
      </c>
      <c r="H103" s="7" t="s">
        <v>10</v>
      </c>
    </row>
    <row r="104" spans="1:8" s="13" customFormat="1" ht="15" customHeight="1">
      <c r="A104" s="7" t="str">
        <f t="shared" si="0"/>
        <v>1002-1</v>
      </c>
      <c r="B104" s="7" t="s">
        <v>39</v>
      </c>
      <c r="C104" s="7" t="str">
        <f>"王云龙"</f>
        <v>王云龙</v>
      </c>
      <c r="D104" s="7" t="str">
        <f>"30125010323"</f>
        <v>30125010323</v>
      </c>
      <c r="E104" s="8">
        <v>72</v>
      </c>
      <c r="F104" s="8">
        <v>81.88</v>
      </c>
      <c r="G104" s="9">
        <v>75.952</v>
      </c>
      <c r="H104" s="7" t="s">
        <v>11</v>
      </c>
    </row>
    <row r="105" spans="1:8" s="13" customFormat="1" ht="15" customHeight="1">
      <c r="A105" s="7" t="str">
        <f t="shared" si="0"/>
        <v>1002-1</v>
      </c>
      <c r="B105" s="7" t="s">
        <v>39</v>
      </c>
      <c r="C105" s="7" t="str">
        <f>"其其格"</f>
        <v>其其格</v>
      </c>
      <c r="D105" s="7" t="str">
        <f>"30125010307"</f>
        <v>30125010307</v>
      </c>
      <c r="E105" s="8">
        <v>71.5</v>
      </c>
      <c r="F105" s="8">
        <v>80.78</v>
      </c>
      <c r="G105" s="9">
        <v>75.212</v>
      </c>
      <c r="H105" s="7" t="s">
        <v>11</v>
      </c>
    </row>
    <row r="106" spans="1:8" s="13" customFormat="1" ht="15" customHeight="1">
      <c r="A106" s="7" t="str">
        <f t="shared" si="0"/>
        <v>1002-1</v>
      </c>
      <c r="B106" s="7" t="s">
        <v>39</v>
      </c>
      <c r="C106" s="7" t="str">
        <f>"敖优"</f>
        <v>敖优</v>
      </c>
      <c r="D106" s="7" t="str">
        <f>"30125010315"</f>
        <v>30125010315</v>
      </c>
      <c r="E106" s="8">
        <v>71.5</v>
      </c>
      <c r="F106" s="8">
        <v>80.02</v>
      </c>
      <c r="G106" s="9">
        <v>74.908</v>
      </c>
      <c r="H106" s="7" t="s">
        <v>11</v>
      </c>
    </row>
    <row r="107" spans="1:8" s="13" customFormat="1" ht="15" customHeight="1">
      <c r="A107" s="7" t="str">
        <f t="shared" si="0"/>
        <v>1002-1</v>
      </c>
      <c r="B107" s="7" t="s">
        <v>39</v>
      </c>
      <c r="C107" s="7" t="str">
        <f>"邓吉彬"</f>
        <v>邓吉彬</v>
      </c>
      <c r="D107" s="7" t="str">
        <f>"30125010312"</f>
        <v>30125010312</v>
      </c>
      <c r="E107" s="8">
        <v>69.5</v>
      </c>
      <c r="F107" s="8">
        <v>81.78</v>
      </c>
      <c r="G107" s="9">
        <v>74.412</v>
      </c>
      <c r="H107" s="7" t="s">
        <v>11</v>
      </c>
    </row>
    <row r="108" spans="1:8" s="13" customFormat="1" ht="15" customHeight="1">
      <c r="A108" s="7" t="str">
        <f>"1101"</f>
        <v>1101</v>
      </c>
      <c r="B108" s="7" t="s">
        <v>118</v>
      </c>
      <c r="C108" s="7" t="str">
        <f>"齐新雨"</f>
        <v>齐新雨</v>
      </c>
      <c r="D108" s="7" t="str">
        <f>"30125010327"</f>
        <v>30125010327</v>
      </c>
      <c r="E108" s="8">
        <v>76</v>
      </c>
      <c r="F108" s="8">
        <v>84.76</v>
      </c>
      <c r="G108" s="9">
        <v>79.504</v>
      </c>
      <c r="H108" s="7" t="s">
        <v>10</v>
      </c>
    </row>
    <row r="109" spans="1:8" s="13" customFormat="1" ht="15" customHeight="1">
      <c r="A109" s="7" t="str">
        <f>"1101"</f>
        <v>1101</v>
      </c>
      <c r="B109" s="7" t="s">
        <v>118</v>
      </c>
      <c r="C109" s="7" t="str">
        <f>"代立晨"</f>
        <v>代立晨</v>
      </c>
      <c r="D109" s="7" t="str">
        <f>"30125010328"</f>
        <v>30125010328</v>
      </c>
      <c r="E109" s="8">
        <v>75.5</v>
      </c>
      <c r="F109" s="8">
        <v>83.36</v>
      </c>
      <c r="G109" s="9">
        <v>78.644</v>
      </c>
      <c r="H109" s="7" t="s">
        <v>11</v>
      </c>
    </row>
    <row r="110" spans="1:8" s="13" customFormat="1" ht="15" customHeight="1">
      <c r="A110" s="7" t="str">
        <f>"1101"</f>
        <v>1101</v>
      </c>
      <c r="B110" s="7" t="s">
        <v>118</v>
      </c>
      <c r="C110" s="7" t="str">
        <f>"谭扬"</f>
        <v>谭扬</v>
      </c>
      <c r="D110" s="7" t="str">
        <f>"30125010401"</f>
        <v>30125010401</v>
      </c>
      <c r="E110" s="8">
        <v>74</v>
      </c>
      <c r="F110" s="8">
        <v>79.5</v>
      </c>
      <c r="G110" s="9">
        <v>76.2</v>
      </c>
      <c r="H110" s="7" t="s">
        <v>11</v>
      </c>
    </row>
    <row r="111" spans="1:8" s="13" customFormat="1" ht="15" customHeight="1">
      <c r="A111" s="7" t="s">
        <v>119</v>
      </c>
      <c r="B111" s="7" t="s">
        <v>9</v>
      </c>
      <c r="C111" s="7" t="s">
        <v>120</v>
      </c>
      <c r="D111" s="7" t="s">
        <v>121</v>
      </c>
      <c r="E111" s="8">
        <v>68.5</v>
      </c>
      <c r="F111" s="8">
        <v>84.9</v>
      </c>
      <c r="G111" s="9">
        <v>75.06</v>
      </c>
      <c r="H111" s="7" t="s">
        <v>10</v>
      </c>
    </row>
    <row r="112" spans="1:8" s="13" customFormat="1" ht="15" customHeight="1">
      <c r="A112" s="7" t="s">
        <v>119</v>
      </c>
      <c r="B112" s="7" t="s">
        <v>9</v>
      </c>
      <c r="C112" s="7" t="s">
        <v>122</v>
      </c>
      <c r="D112" s="7" t="s">
        <v>123</v>
      </c>
      <c r="E112" s="8">
        <v>68.5</v>
      </c>
      <c r="F112" s="8">
        <v>81.96</v>
      </c>
      <c r="G112" s="9">
        <v>73.884</v>
      </c>
      <c r="H112" s="7" t="s">
        <v>11</v>
      </c>
    </row>
    <row r="113" spans="1:8" s="13" customFormat="1" ht="15" customHeight="1">
      <c r="A113" s="7" t="s">
        <v>119</v>
      </c>
      <c r="B113" s="7" t="s">
        <v>9</v>
      </c>
      <c r="C113" s="7" t="s">
        <v>124</v>
      </c>
      <c r="D113" s="7" t="s">
        <v>125</v>
      </c>
      <c r="E113" s="8">
        <v>69</v>
      </c>
      <c r="F113" s="8">
        <v>80.54</v>
      </c>
      <c r="G113" s="9">
        <v>73.616</v>
      </c>
      <c r="H113" s="7" t="s">
        <v>11</v>
      </c>
    </row>
    <row r="114" spans="1:8" s="13" customFormat="1" ht="15" customHeight="1">
      <c r="A114" s="7" t="s">
        <v>126</v>
      </c>
      <c r="B114" s="7" t="s">
        <v>27</v>
      </c>
      <c r="C114" s="7" t="s">
        <v>127</v>
      </c>
      <c r="D114" s="7" t="s">
        <v>128</v>
      </c>
      <c r="E114" s="8">
        <v>80</v>
      </c>
      <c r="F114" s="8">
        <v>83.28</v>
      </c>
      <c r="G114" s="9">
        <v>81.31200000000001</v>
      </c>
      <c r="H114" s="7" t="s">
        <v>10</v>
      </c>
    </row>
    <row r="115" spans="1:8" s="13" customFormat="1" ht="15" customHeight="1">
      <c r="A115" s="7" t="s">
        <v>126</v>
      </c>
      <c r="B115" s="7" t="s">
        <v>27</v>
      </c>
      <c r="C115" s="7" t="s">
        <v>129</v>
      </c>
      <c r="D115" s="7" t="s">
        <v>130</v>
      </c>
      <c r="E115" s="8">
        <v>72</v>
      </c>
      <c r="F115" s="8">
        <v>84.08</v>
      </c>
      <c r="G115" s="9">
        <v>76.832</v>
      </c>
      <c r="H115" s="7" t="s">
        <v>11</v>
      </c>
    </row>
    <row r="116" spans="1:8" s="13" customFormat="1" ht="15" customHeight="1">
      <c r="A116" s="7" t="s">
        <v>126</v>
      </c>
      <c r="B116" s="7" t="s">
        <v>27</v>
      </c>
      <c r="C116" s="7" t="s">
        <v>131</v>
      </c>
      <c r="D116" s="7" t="s">
        <v>132</v>
      </c>
      <c r="E116" s="8">
        <v>75</v>
      </c>
      <c r="F116" s="8">
        <v>78.34</v>
      </c>
      <c r="G116" s="9">
        <v>76.336</v>
      </c>
      <c r="H116" s="7" t="s">
        <v>11</v>
      </c>
    </row>
    <row r="117" spans="1:8" s="13" customFormat="1" ht="15" customHeight="1">
      <c r="A117" s="7" t="s">
        <v>133</v>
      </c>
      <c r="B117" s="7" t="s">
        <v>13</v>
      </c>
      <c r="C117" s="7" t="s">
        <v>134</v>
      </c>
      <c r="D117" s="7" t="s">
        <v>135</v>
      </c>
      <c r="E117" s="8">
        <v>79.5</v>
      </c>
      <c r="F117" s="8">
        <v>88.24</v>
      </c>
      <c r="G117" s="9">
        <v>82.996</v>
      </c>
      <c r="H117" s="7" t="s">
        <v>10</v>
      </c>
    </row>
    <row r="118" spans="1:8" s="13" customFormat="1" ht="15" customHeight="1">
      <c r="A118" s="7" t="s">
        <v>133</v>
      </c>
      <c r="B118" s="7" t="s">
        <v>13</v>
      </c>
      <c r="C118" s="7" t="s">
        <v>136</v>
      </c>
      <c r="D118" s="7" t="s">
        <v>137</v>
      </c>
      <c r="E118" s="8">
        <v>77</v>
      </c>
      <c r="F118" s="8">
        <v>78.1</v>
      </c>
      <c r="G118" s="9">
        <v>77.44</v>
      </c>
      <c r="H118" s="7" t="s">
        <v>11</v>
      </c>
    </row>
    <row r="119" spans="1:8" s="13" customFormat="1" ht="15" customHeight="1">
      <c r="A119" s="7" t="str">
        <f>"1204"</f>
        <v>1204</v>
      </c>
      <c r="B119" s="7" t="s">
        <v>28</v>
      </c>
      <c r="C119" s="7" t="str">
        <f>"高洋"</f>
        <v>高洋</v>
      </c>
      <c r="D119" s="7" t="str">
        <f>"30125010930"</f>
        <v>30125010930</v>
      </c>
      <c r="E119" s="8">
        <v>66</v>
      </c>
      <c r="F119" s="8" t="s">
        <v>58</v>
      </c>
      <c r="G119" s="9">
        <v>39.6</v>
      </c>
      <c r="H119" s="7" t="s">
        <v>11</v>
      </c>
    </row>
    <row r="120" spans="1:8" s="13" customFormat="1" ht="15" customHeight="1">
      <c r="A120" s="7" t="s">
        <v>138</v>
      </c>
      <c r="B120" s="7" t="s">
        <v>82</v>
      </c>
      <c r="C120" s="7" t="s">
        <v>139</v>
      </c>
      <c r="D120" s="7" t="s">
        <v>140</v>
      </c>
      <c r="E120" s="8">
        <v>82.5</v>
      </c>
      <c r="F120" s="8">
        <v>84.22</v>
      </c>
      <c r="G120" s="9">
        <v>83.188</v>
      </c>
      <c r="H120" s="7" t="s">
        <v>10</v>
      </c>
    </row>
    <row r="121" spans="1:8" s="13" customFormat="1" ht="15" customHeight="1">
      <c r="A121" s="7" t="s">
        <v>138</v>
      </c>
      <c r="B121" s="7" t="s">
        <v>82</v>
      </c>
      <c r="C121" s="7" t="s">
        <v>141</v>
      </c>
      <c r="D121" s="7" t="s">
        <v>142</v>
      </c>
      <c r="E121" s="8">
        <v>76.5</v>
      </c>
      <c r="F121" s="8">
        <v>89.52</v>
      </c>
      <c r="G121" s="9">
        <v>81.708</v>
      </c>
      <c r="H121" s="7" t="s">
        <v>11</v>
      </c>
    </row>
    <row r="122" spans="1:8" s="13" customFormat="1" ht="15" customHeight="1">
      <c r="A122" s="7" t="s">
        <v>138</v>
      </c>
      <c r="B122" s="7" t="s">
        <v>82</v>
      </c>
      <c r="C122" s="7" t="s">
        <v>143</v>
      </c>
      <c r="D122" s="7" t="s">
        <v>144</v>
      </c>
      <c r="E122" s="8">
        <v>76.5</v>
      </c>
      <c r="F122" s="8">
        <v>82.18</v>
      </c>
      <c r="G122" s="9">
        <v>78.772</v>
      </c>
      <c r="H122" s="7" t="s">
        <v>11</v>
      </c>
    </row>
    <row r="123" spans="1:8" s="13" customFormat="1" ht="15" customHeight="1">
      <c r="A123" s="7" t="str">
        <f>"1206"</f>
        <v>1206</v>
      </c>
      <c r="B123" s="7" t="s">
        <v>29</v>
      </c>
      <c r="C123" s="7" t="str">
        <f>"王蒙鑫"</f>
        <v>王蒙鑫</v>
      </c>
      <c r="D123" s="7" t="str">
        <f>"30125011116"</f>
        <v>30125011116</v>
      </c>
      <c r="E123" s="8">
        <v>79.5</v>
      </c>
      <c r="F123" s="8">
        <v>82.62</v>
      </c>
      <c r="G123" s="9">
        <v>80.74799999999999</v>
      </c>
      <c r="H123" s="7" t="s">
        <v>10</v>
      </c>
    </row>
    <row r="124" spans="1:8" s="13" customFormat="1" ht="15" customHeight="1">
      <c r="A124" s="7" t="str">
        <f>"1206"</f>
        <v>1206</v>
      </c>
      <c r="B124" s="7" t="s">
        <v>29</v>
      </c>
      <c r="C124" s="7" t="str">
        <f>"江玉晶"</f>
        <v>江玉晶</v>
      </c>
      <c r="D124" s="7" t="str">
        <f>"30125011213"</f>
        <v>30125011213</v>
      </c>
      <c r="E124" s="8">
        <v>77</v>
      </c>
      <c r="F124" s="8">
        <v>84.68</v>
      </c>
      <c r="G124" s="9">
        <v>80.072</v>
      </c>
      <c r="H124" s="7" t="s">
        <v>11</v>
      </c>
    </row>
    <row r="125" spans="1:8" s="13" customFormat="1" ht="15" customHeight="1">
      <c r="A125" s="7" t="str">
        <f>"1206"</f>
        <v>1206</v>
      </c>
      <c r="B125" s="7" t="s">
        <v>29</v>
      </c>
      <c r="C125" s="7" t="str">
        <f>"李楠"</f>
        <v>李楠</v>
      </c>
      <c r="D125" s="7" t="str">
        <f>"30125011121"</f>
        <v>30125011121</v>
      </c>
      <c r="E125" s="8">
        <v>76</v>
      </c>
      <c r="F125" s="8">
        <v>82.82</v>
      </c>
      <c r="G125" s="9">
        <v>78.72800000000001</v>
      </c>
      <c r="H125" s="7" t="s">
        <v>11</v>
      </c>
    </row>
    <row r="126" spans="1:8" s="13" customFormat="1" ht="15" customHeight="1">
      <c r="A126" s="7" t="str">
        <f>"1206"</f>
        <v>1206</v>
      </c>
      <c r="B126" s="7" t="s">
        <v>29</v>
      </c>
      <c r="C126" s="7" t="str">
        <f>"王瑞浩"</f>
        <v>王瑞浩</v>
      </c>
      <c r="D126" s="7" t="str">
        <f>"30125011218"</f>
        <v>30125011218</v>
      </c>
      <c r="E126" s="8">
        <v>76</v>
      </c>
      <c r="F126" s="8">
        <v>81.72</v>
      </c>
      <c r="G126" s="9">
        <v>78.28800000000001</v>
      </c>
      <c r="H126" s="7" t="s">
        <v>11</v>
      </c>
    </row>
    <row r="127" spans="1:8" s="13" customFormat="1" ht="15" customHeight="1">
      <c r="A127" s="7" t="str">
        <f>"1206"</f>
        <v>1206</v>
      </c>
      <c r="B127" s="7" t="s">
        <v>29</v>
      </c>
      <c r="C127" s="7" t="str">
        <f>"贾殿睿"</f>
        <v>贾殿睿</v>
      </c>
      <c r="D127" s="7" t="str">
        <f>"30125011124"</f>
        <v>30125011124</v>
      </c>
      <c r="E127" s="8">
        <v>76</v>
      </c>
      <c r="F127" s="8">
        <v>71.5</v>
      </c>
      <c r="G127" s="9">
        <v>74.2</v>
      </c>
      <c r="H127" s="7" t="s">
        <v>11</v>
      </c>
    </row>
    <row r="128" spans="1:8" s="13" customFormat="1" ht="15" customHeight="1">
      <c r="A128" s="7" t="s">
        <v>145</v>
      </c>
      <c r="B128" s="7" t="s">
        <v>9</v>
      </c>
      <c r="C128" s="7" t="s">
        <v>146</v>
      </c>
      <c r="D128" s="7" t="s">
        <v>147</v>
      </c>
      <c r="E128" s="8">
        <v>77</v>
      </c>
      <c r="F128" s="8">
        <v>85.38</v>
      </c>
      <c r="G128" s="9">
        <v>80.352</v>
      </c>
      <c r="H128" s="7" t="s">
        <v>10</v>
      </c>
    </row>
    <row r="129" spans="1:8" s="13" customFormat="1" ht="15" customHeight="1">
      <c r="A129" s="7" t="s">
        <v>145</v>
      </c>
      <c r="B129" s="7" t="s">
        <v>9</v>
      </c>
      <c r="C129" s="7" t="s">
        <v>148</v>
      </c>
      <c r="D129" s="7" t="s">
        <v>149</v>
      </c>
      <c r="E129" s="8">
        <v>77.5</v>
      </c>
      <c r="F129" s="8">
        <v>83.7</v>
      </c>
      <c r="G129" s="9">
        <v>79.98</v>
      </c>
      <c r="H129" s="7" t="s">
        <v>10</v>
      </c>
    </row>
    <row r="130" spans="1:8" s="13" customFormat="1" ht="15" customHeight="1">
      <c r="A130" s="7" t="s">
        <v>145</v>
      </c>
      <c r="B130" s="7" t="s">
        <v>9</v>
      </c>
      <c r="C130" s="7" t="s">
        <v>150</v>
      </c>
      <c r="D130" s="7" t="s">
        <v>151</v>
      </c>
      <c r="E130" s="8">
        <v>75.5</v>
      </c>
      <c r="F130" s="8">
        <v>85.48</v>
      </c>
      <c r="G130" s="9">
        <v>79.49199999999999</v>
      </c>
      <c r="H130" s="7" t="s">
        <v>11</v>
      </c>
    </row>
    <row r="131" spans="1:8" s="13" customFormat="1" ht="15" customHeight="1">
      <c r="A131" s="7" t="s">
        <v>145</v>
      </c>
      <c r="B131" s="7" t="s">
        <v>9</v>
      </c>
      <c r="C131" s="7" t="s">
        <v>152</v>
      </c>
      <c r="D131" s="7" t="s">
        <v>153</v>
      </c>
      <c r="E131" s="8">
        <v>75.5</v>
      </c>
      <c r="F131" s="8">
        <v>84.54</v>
      </c>
      <c r="G131" s="9">
        <v>79.116</v>
      </c>
      <c r="H131" s="7" t="s">
        <v>11</v>
      </c>
    </row>
    <row r="132" spans="1:8" s="13" customFormat="1" ht="15" customHeight="1">
      <c r="A132" s="7" t="s">
        <v>145</v>
      </c>
      <c r="B132" s="7" t="s">
        <v>9</v>
      </c>
      <c r="C132" s="7" t="s">
        <v>154</v>
      </c>
      <c r="D132" s="7" t="s">
        <v>155</v>
      </c>
      <c r="E132" s="8">
        <v>76</v>
      </c>
      <c r="F132" s="8">
        <v>82.12</v>
      </c>
      <c r="G132" s="9">
        <v>78.44800000000001</v>
      </c>
      <c r="H132" s="7" t="s">
        <v>11</v>
      </c>
    </row>
    <row r="133" spans="1:8" s="13" customFormat="1" ht="15" customHeight="1">
      <c r="A133" s="7" t="s">
        <v>145</v>
      </c>
      <c r="B133" s="7" t="s">
        <v>9</v>
      </c>
      <c r="C133" s="7" t="s">
        <v>156</v>
      </c>
      <c r="D133" s="7" t="s">
        <v>157</v>
      </c>
      <c r="E133" s="8">
        <v>76</v>
      </c>
      <c r="F133" s="8">
        <v>80.4</v>
      </c>
      <c r="G133" s="9">
        <v>77.76</v>
      </c>
      <c r="H133" s="7" t="s">
        <v>11</v>
      </c>
    </row>
    <row r="134" spans="1:8" s="13" customFormat="1" ht="15" customHeight="1">
      <c r="A134" s="7" t="str">
        <f>"1208"</f>
        <v>1208</v>
      </c>
      <c r="B134" s="7" t="s">
        <v>27</v>
      </c>
      <c r="C134" s="7" t="str">
        <f>"李豪"</f>
        <v>李豪</v>
      </c>
      <c r="D134" s="7" t="str">
        <f>"30125011612"</f>
        <v>30125011612</v>
      </c>
      <c r="E134" s="8">
        <v>78.5</v>
      </c>
      <c r="F134" s="8">
        <v>81.74</v>
      </c>
      <c r="G134" s="9">
        <v>79.79599999999999</v>
      </c>
      <c r="H134" s="7" t="s">
        <v>10</v>
      </c>
    </row>
    <row r="135" spans="1:8" s="13" customFormat="1" ht="15" customHeight="1">
      <c r="A135" s="7" t="str">
        <f>"1208"</f>
        <v>1208</v>
      </c>
      <c r="B135" s="7" t="s">
        <v>27</v>
      </c>
      <c r="C135" s="7" t="str">
        <f>"薄健"</f>
        <v>薄健</v>
      </c>
      <c r="D135" s="7" t="str">
        <f>"30125011623"</f>
        <v>30125011623</v>
      </c>
      <c r="E135" s="8">
        <v>78</v>
      </c>
      <c r="F135" s="8">
        <v>81.98</v>
      </c>
      <c r="G135" s="9">
        <v>79.592</v>
      </c>
      <c r="H135" s="7" t="s">
        <v>11</v>
      </c>
    </row>
    <row r="136" spans="1:8" s="13" customFormat="1" ht="15" customHeight="1">
      <c r="A136" s="7" t="str">
        <f>"1208"</f>
        <v>1208</v>
      </c>
      <c r="B136" s="7" t="s">
        <v>27</v>
      </c>
      <c r="C136" s="7" t="str">
        <f>"郑一鸣"</f>
        <v>郑一鸣</v>
      </c>
      <c r="D136" s="7" t="str">
        <f>"30125011603"</f>
        <v>30125011603</v>
      </c>
      <c r="E136" s="8">
        <v>76.5</v>
      </c>
      <c r="F136" s="8">
        <v>81.94</v>
      </c>
      <c r="G136" s="9">
        <v>78.676</v>
      </c>
      <c r="H136" s="7" t="s">
        <v>11</v>
      </c>
    </row>
    <row r="137" spans="1:8" s="13" customFormat="1" ht="15" customHeight="1">
      <c r="A137" s="7" t="s">
        <v>158</v>
      </c>
      <c r="B137" s="7" t="s">
        <v>22</v>
      </c>
      <c r="C137" s="7" t="s">
        <v>159</v>
      </c>
      <c r="D137" s="7" t="s">
        <v>160</v>
      </c>
      <c r="E137" s="8">
        <v>74</v>
      </c>
      <c r="F137" s="8">
        <v>80.32</v>
      </c>
      <c r="G137" s="9">
        <v>76.52799999999999</v>
      </c>
      <c r="H137" s="7" t="s">
        <v>10</v>
      </c>
    </row>
    <row r="138" spans="1:8" s="13" customFormat="1" ht="15" customHeight="1">
      <c r="A138" s="7" t="s">
        <v>158</v>
      </c>
      <c r="B138" s="7" t="s">
        <v>22</v>
      </c>
      <c r="C138" s="7" t="s">
        <v>161</v>
      </c>
      <c r="D138" s="7" t="s">
        <v>162</v>
      </c>
      <c r="E138" s="8">
        <v>69</v>
      </c>
      <c r="F138" s="8">
        <v>79.6</v>
      </c>
      <c r="G138" s="9">
        <v>73.24</v>
      </c>
      <c r="H138" s="7" t="s">
        <v>11</v>
      </c>
    </row>
    <row r="139" spans="1:8" s="13" customFormat="1" ht="15" customHeight="1">
      <c r="A139" s="7" t="s">
        <v>163</v>
      </c>
      <c r="B139" s="7" t="s">
        <v>67</v>
      </c>
      <c r="C139" s="7" t="s">
        <v>164</v>
      </c>
      <c r="D139" s="7" t="s">
        <v>165</v>
      </c>
      <c r="E139" s="8">
        <v>79</v>
      </c>
      <c r="F139" s="8">
        <v>80.9</v>
      </c>
      <c r="G139" s="9">
        <v>79.76</v>
      </c>
      <c r="H139" s="7" t="s">
        <v>10</v>
      </c>
    </row>
    <row r="140" spans="1:8" s="13" customFormat="1" ht="15" customHeight="1">
      <c r="A140" s="7" t="s">
        <v>163</v>
      </c>
      <c r="B140" s="7" t="s">
        <v>67</v>
      </c>
      <c r="C140" s="7" t="s">
        <v>166</v>
      </c>
      <c r="D140" s="7" t="s">
        <v>167</v>
      </c>
      <c r="E140" s="8">
        <v>74.5</v>
      </c>
      <c r="F140" s="8">
        <v>84.64</v>
      </c>
      <c r="G140" s="9">
        <v>78.556</v>
      </c>
      <c r="H140" s="7" t="s">
        <v>11</v>
      </c>
    </row>
    <row r="141" spans="1:8" s="13" customFormat="1" ht="15" customHeight="1">
      <c r="A141" s="7" t="s">
        <v>163</v>
      </c>
      <c r="B141" s="7" t="s">
        <v>67</v>
      </c>
      <c r="C141" s="7" t="s">
        <v>168</v>
      </c>
      <c r="D141" s="7" t="s">
        <v>169</v>
      </c>
      <c r="E141" s="8">
        <v>74.5</v>
      </c>
      <c r="F141" s="8">
        <v>80.8</v>
      </c>
      <c r="G141" s="9">
        <v>77.02</v>
      </c>
      <c r="H141" s="7" t="s">
        <v>11</v>
      </c>
    </row>
    <row r="142" spans="1:8" s="13" customFormat="1" ht="15" customHeight="1">
      <c r="A142" s="7" t="str">
        <f>"1303"</f>
        <v>1303</v>
      </c>
      <c r="B142" s="7" t="s">
        <v>13</v>
      </c>
      <c r="C142" s="7" t="str">
        <f>"石利伟"</f>
        <v>石利伟</v>
      </c>
      <c r="D142" s="7" t="str">
        <f>"30125011704"</f>
        <v>30125011704</v>
      </c>
      <c r="E142" s="8">
        <v>76</v>
      </c>
      <c r="F142" s="8">
        <v>80.52</v>
      </c>
      <c r="G142" s="9">
        <v>77.80799999999999</v>
      </c>
      <c r="H142" s="7" t="s">
        <v>10</v>
      </c>
    </row>
    <row r="143" spans="1:8" s="13" customFormat="1" ht="15" customHeight="1">
      <c r="A143" s="7" t="str">
        <f>"1303"</f>
        <v>1303</v>
      </c>
      <c r="B143" s="7" t="s">
        <v>13</v>
      </c>
      <c r="C143" s="7" t="str">
        <f>"白胜利"</f>
        <v>白胜利</v>
      </c>
      <c r="D143" s="7" t="str">
        <f>"30125011728"</f>
        <v>30125011728</v>
      </c>
      <c r="E143" s="8">
        <v>76.5</v>
      </c>
      <c r="F143" s="8">
        <v>79.48</v>
      </c>
      <c r="G143" s="9">
        <v>77.69200000000001</v>
      </c>
      <c r="H143" s="7" t="s">
        <v>11</v>
      </c>
    </row>
    <row r="144" spans="1:8" s="13" customFormat="1" ht="15" customHeight="1">
      <c r="A144" s="7" t="str">
        <f>"1303"</f>
        <v>1303</v>
      </c>
      <c r="B144" s="7" t="s">
        <v>13</v>
      </c>
      <c r="C144" s="7" t="str">
        <f>"金彩霞"</f>
        <v>金彩霞</v>
      </c>
      <c r="D144" s="7" t="str">
        <f>"30125011725"</f>
        <v>30125011725</v>
      </c>
      <c r="E144" s="8">
        <v>75</v>
      </c>
      <c r="F144" s="8">
        <v>81.38</v>
      </c>
      <c r="G144" s="9">
        <v>77.55199999999999</v>
      </c>
      <c r="H144" s="7" t="s">
        <v>11</v>
      </c>
    </row>
    <row r="145" spans="1:8" s="13" customFormat="1" ht="15" customHeight="1">
      <c r="A145" s="7" t="s">
        <v>170</v>
      </c>
      <c r="B145" s="7" t="s">
        <v>118</v>
      </c>
      <c r="C145" s="7" t="s">
        <v>171</v>
      </c>
      <c r="D145" s="7" t="s">
        <v>172</v>
      </c>
      <c r="E145" s="8">
        <v>72.5</v>
      </c>
      <c r="F145" s="8">
        <v>80.82</v>
      </c>
      <c r="G145" s="9">
        <v>75.828</v>
      </c>
      <c r="H145" s="7" t="s">
        <v>10</v>
      </c>
    </row>
    <row r="146" spans="1:8" s="13" customFormat="1" ht="15" customHeight="1">
      <c r="A146" s="7" t="s">
        <v>170</v>
      </c>
      <c r="B146" s="7" t="s">
        <v>118</v>
      </c>
      <c r="C146" s="7" t="s">
        <v>173</v>
      </c>
      <c r="D146" s="7" t="s">
        <v>174</v>
      </c>
      <c r="E146" s="8">
        <v>63.5</v>
      </c>
      <c r="F146" s="8">
        <v>81.96</v>
      </c>
      <c r="G146" s="9">
        <v>70.884</v>
      </c>
      <c r="H146" s="7" t="s">
        <v>11</v>
      </c>
    </row>
    <row r="147" spans="1:8" s="13" customFormat="1" ht="15" customHeight="1">
      <c r="A147" s="7" t="s">
        <v>175</v>
      </c>
      <c r="B147" s="7" t="s">
        <v>22</v>
      </c>
      <c r="C147" s="7" t="s">
        <v>176</v>
      </c>
      <c r="D147" s="7" t="s">
        <v>177</v>
      </c>
      <c r="E147" s="8">
        <v>66</v>
      </c>
      <c r="F147" s="8">
        <v>84</v>
      </c>
      <c r="G147" s="9">
        <v>73.2</v>
      </c>
      <c r="H147" s="7" t="s">
        <v>10</v>
      </c>
    </row>
    <row r="148" spans="1:8" s="13" customFormat="1" ht="15" customHeight="1">
      <c r="A148" s="7" t="s">
        <v>175</v>
      </c>
      <c r="B148" s="7" t="s">
        <v>22</v>
      </c>
      <c r="C148" s="7" t="s">
        <v>178</v>
      </c>
      <c r="D148" s="7" t="s">
        <v>179</v>
      </c>
      <c r="E148" s="8">
        <v>62</v>
      </c>
      <c r="F148" s="8">
        <v>84.88</v>
      </c>
      <c r="G148" s="9">
        <v>71.15199999999999</v>
      </c>
      <c r="H148" s="7" t="s">
        <v>11</v>
      </c>
    </row>
    <row r="149" spans="1:8" s="13" customFormat="1" ht="15" customHeight="1">
      <c r="A149" s="7" t="str">
        <f>"1402"</f>
        <v>1402</v>
      </c>
      <c r="B149" s="7" t="s">
        <v>27</v>
      </c>
      <c r="C149" s="7" t="str">
        <f>"成格乐"</f>
        <v>成格乐</v>
      </c>
      <c r="D149" s="7" t="str">
        <f>"30125011923"</f>
        <v>30125011923</v>
      </c>
      <c r="E149" s="8">
        <v>81</v>
      </c>
      <c r="F149" s="8">
        <v>83.12</v>
      </c>
      <c r="G149" s="9">
        <v>81.84800000000001</v>
      </c>
      <c r="H149" s="7" t="s">
        <v>10</v>
      </c>
    </row>
    <row r="150" spans="1:8" s="13" customFormat="1" ht="15" customHeight="1">
      <c r="A150" s="7" t="str">
        <f>"1402"</f>
        <v>1402</v>
      </c>
      <c r="B150" s="7" t="s">
        <v>27</v>
      </c>
      <c r="C150" s="7" t="str">
        <f>"高艳东"</f>
        <v>高艳东</v>
      </c>
      <c r="D150" s="7" t="str">
        <f>"30125011911"</f>
        <v>30125011911</v>
      </c>
      <c r="E150" s="8">
        <v>78</v>
      </c>
      <c r="F150" s="8">
        <v>82.72</v>
      </c>
      <c r="G150" s="9">
        <v>79.888</v>
      </c>
      <c r="H150" s="7" t="s">
        <v>11</v>
      </c>
    </row>
    <row r="151" spans="1:8" s="13" customFormat="1" ht="15" customHeight="1">
      <c r="A151" s="7" t="str">
        <f>"1402"</f>
        <v>1402</v>
      </c>
      <c r="B151" s="7" t="s">
        <v>27</v>
      </c>
      <c r="C151" s="7" t="str">
        <f>"郑晓静"</f>
        <v>郑晓静</v>
      </c>
      <c r="D151" s="7" t="str">
        <f>"30125011821"</f>
        <v>30125011821</v>
      </c>
      <c r="E151" s="8">
        <v>78</v>
      </c>
      <c r="F151" s="8">
        <v>80.32</v>
      </c>
      <c r="G151" s="9">
        <v>78.928</v>
      </c>
      <c r="H151" s="7" t="s">
        <v>11</v>
      </c>
    </row>
    <row r="152" spans="1:8" s="13" customFormat="1" ht="15" customHeight="1">
      <c r="A152" s="7" t="s">
        <v>180</v>
      </c>
      <c r="B152" s="7" t="s">
        <v>181</v>
      </c>
      <c r="C152" s="7" t="s">
        <v>45</v>
      </c>
      <c r="D152" s="7" t="s">
        <v>182</v>
      </c>
      <c r="E152" s="8">
        <v>74.5</v>
      </c>
      <c r="F152" s="8">
        <v>83.54</v>
      </c>
      <c r="G152" s="9">
        <v>78.116</v>
      </c>
      <c r="H152" s="7" t="s">
        <v>10</v>
      </c>
    </row>
    <row r="153" spans="1:8" s="13" customFormat="1" ht="15" customHeight="1">
      <c r="A153" s="7" t="s">
        <v>180</v>
      </c>
      <c r="B153" s="7" t="s">
        <v>181</v>
      </c>
      <c r="C153" s="7" t="s">
        <v>183</v>
      </c>
      <c r="D153" s="7" t="s">
        <v>184</v>
      </c>
      <c r="E153" s="8">
        <v>71</v>
      </c>
      <c r="F153" s="8">
        <v>82.59</v>
      </c>
      <c r="G153" s="9">
        <v>75.636</v>
      </c>
      <c r="H153" s="7" t="s">
        <v>11</v>
      </c>
    </row>
    <row r="154" spans="1:8" s="13" customFormat="1" ht="15" customHeight="1">
      <c r="A154" s="7" t="s">
        <v>185</v>
      </c>
      <c r="B154" s="7" t="s">
        <v>27</v>
      </c>
      <c r="C154" s="7" t="s">
        <v>186</v>
      </c>
      <c r="D154" s="7" t="s">
        <v>187</v>
      </c>
      <c r="E154" s="8">
        <v>76.5</v>
      </c>
      <c r="F154" s="8">
        <v>83.62</v>
      </c>
      <c r="G154" s="9">
        <v>79.348</v>
      </c>
      <c r="H154" s="7" t="s">
        <v>10</v>
      </c>
    </row>
    <row r="155" spans="1:8" s="13" customFormat="1" ht="15" customHeight="1">
      <c r="A155" s="7" t="s">
        <v>185</v>
      </c>
      <c r="B155" s="7" t="s">
        <v>27</v>
      </c>
      <c r="C155" s="7" t="s">
        <v>188</v>
      </c>
      <c r="D155" s="7" t="s">
        <v>189</v>
      </c>
      <c r="E155" s="8">
        <v>75</v>
      </c>
      <c r="F155" s="8">
        <v>83.5</v>
      </c>
      <c r="G155" s="9">
        <v>78.4</v>
      </c>
      <c r="H155" s="7" t="s">
        <v>11</v>
      </c>
    </row>
    <row r="156" spans="1:8" s="13" customFormat="1" ht="15" customHeight="1">
      <c r="A156" s="7" t="s">
        <v>185</v>
      </c>
      <c r="B156" s="7" t="s">
        <v>27</v>
      </c>
      <c r="C156" s="7" t="s">
        <v>190</v>
      </c>
      <c r="D156" s="7" t="s">
        <v>191</v>
      </c>
      <c r="E156" s="8">
        <v>75.5</v>
      </c>
      <c r="F156" s="8">
        <v>82.66</v>
      </c>
      <c r="G156" s="9">
        <v>78.364</v>
      </c>
      <c r="H156" s="7" t="s">
        <v>11</v>
      </c>
    </row>
    <row r="157" spans="1:8" s="13" customFormat="1" ht="15" customHeight="1">
      <c r="A157" s="7" t="s">
        <v>192</v>
      </c>
      <c r="B157" s="7" t="s">
        <v>193</v>
      </c>
      <c r="C157" s="7" t="s">
        <v>194</v>
      </c>
      <c r="D157" s="7" t="s">
        <v>195</v>
      </c>
      <c r="E157" s="8">
        <v>73.5</v>
      </c>
      <c r="F157" s="8">
        <v>83.88</v>
      </c>
      <c r="G157" s="9">
        <v>77.652</v>
      </c>
      <c r="H157" s="7" t="s">
        <v>10</v>
      </c>
    </row>
    <row r="158" spans="1:8" s="13" customFormat="1" ht="15" customHeight="1">
      <c r="A158" s="7" t="s">
        <v>192</v>
      </c>
      <c r="B158" s="7" t="s">
        <v>193</v>
      </c>
      <c r="C158" s="7" t="s">
        <v>196</v>
      </c>
      <c r="D158" s="7" t="s">
        <v>197</v>
      </c>
      <c r="E158" s="8">
        <v>68</v>
      </c>
      <c r="F158" s="8">
        <v>82.56</v>
      </c>
      <c r="G158" s="9">
        <v>73.824</v>
      </c>
      <c r="H158" s="7" t="s">
        <v>11</v>
      </c>
    </row>
    <row r="159" spans="1:8" s="13" customFormat="1" ht="15" customHeight="1">
      <c r="A159" s="7" t="s">
        <v>192</v>
      </c>
      <c r="B159" s="7" t="s">
        <v>193</v>
      </c>
      <c r="C159" s="7" t="s">
        <v>198</v>
      </c>
      <c r="D159" s="7" t="s">
        <v>199</v>
      </c>
      <c r="E159" s="8">
        <v>65</v>
      </c>
      <c r="F159" s="8">
        <v>78.52</v>
      </c>
      <c r="G159" s="9">
        <v>70.408</v>
      </c>
      <c r="H159" s="7" t="s">
        <v>11</v>
      </c>
    </row>
    <row r="160" spans="1:8" s="13" customFormat="1" ht="15" customHeight="1">
      <c r="A160" s="7" t="str">
        <f>"1601"</f>
        <v>1601</v>
      </c>
      <c r="B160" s="7" t="s">
        <v>118</v>
      </c>
      <c r="C160" s="7" t="str">
        <f>"勾立佳"</f>
        <v>勾立佳</v>
      </c>
      <c r="D160" s="7" t="str">
        <f>"30125012320"</f>
        <v>30125012320</v>
      </c>
      <c r="E160" s="8">
        <v>81</v>
      </c>
      <c r="F160" s="8">
        <v>81.78</v>
      </c>
      <c r="G160" s="9">
        <v>81.31200000000001</v>
      </c>
      <c r="H160" s="7" t="s">
        <v>10</v>
      </c>
    </row>
    <row r="161" spans="1:8" s="13" customFormat="1" ht="15" customHeight="1">
      <c r="A161" s="7" t="str">
        <f>"1601"</f>
        <v>1601</v>
      </c>
      <c r="B161" s="7" t="s">
        <v>118</v>
      </c>
      <c r="C161" s="7" t="str">
        <f>"刘丹"</f>
        <v>刘丹</v>
      </c>
      <c r="D161" s="7" t="str">
        <f>"30125012314"</f>
        <v>30125012314</v>
      </c>
      <c r="E161" s="8">
        <v>78</v>
      </c>
      <c r="F161" s="8">
        <v>85.3</v>
      </c>
      <c r="G161" s="9">
        <v>80.91999999999999</v>
      </c>
      <c r="H161" s="7" t="s">
        <v>11</v>
      </c>
    </row>
    <row r="162" spans="1:8" s="13" customFormat="1" ht="15" customHeight="1">
      <c r="A162" s="7" t="str">
        <f>"1601"</f>
        <v>1601</v>
      </c>
      <c r="B162" s="7" t="s">
        <v>118</v>
      </c>
      <c r="C162" s="7" t="str">
        <f>"徐爽"</f>
        <v>徐爽</v>
      </c>
      <c r="D162" s="7" t="str">
        <f>"30125012218"</f>
        <v>30125012218</v>
      </c>
      <c r="E162" s="8">
        <v>77.5</v>
      </c>
      <c r="F162" s="8">
        <v>84.24</v>
      </c>
      <c r="G162" s="9">
        <v>80.196</v>
      </c>
      <c r="H162" s="7" t="s">
        <v>11</v>
      </c>
    </row>
    <row r="163" spans="1:8" s="13" customFormat="1" ht="15" customHeight="1">
      <c r="A163" s="7" t="s">
        <v>200</v>
      </c>
      <c r="B163" s="7" t="s">
        <v>201</v>
      </c>
      <c r="C163" s="7" t="s">
        <v>202</v>
      </c>
      <c r="D163" s="7" t="s">
        <v>203</v>
      </c>
      <c r="E163" s="8">
        <v>66</v>
      </c>
      <c r="F163" s="8">
        <v>88.24</v>
      </c>
      <c r="G163" s="9">
        <v>74.896</v>
      </c>
      <c r="H163" s="7" t="s">
        <v>10</v>
      </c>
    </row>
    <row r="164" spans="1:8" s="13" customFormat="1" ht="15" customHeight="1">
      <c r="A164" s="7" t="s">
        <v>200</v>
      </c>
      <c r="B164" s="7" t="s">
        <v>201</v>
      </c>
      <c r="C164" s="7" t="s">
        <v>204</v>
      </c>
      <c r="D164" s="7" t="s">
        <v>205</v>
      </c>
      <c r="E164" s="8">
        <v>65</v>
      </c>
      <c r="F164" s="8">
        <v>82.9</v>
      </c>
      <c r="G164" s="9">
        <v>72.16</v>
      </c>
      <c r="H164" s="7" t="s">
        <v>11</v>
      </c>
    </row>
    <row r="165" spans="1:8" s="13" customFormat="1" ht="15" customHeight="1">
      <c r="A165" s="7" t="s">
        <v>200</v>
      </c>
      <c r="B165" s="7" t="s">
        <v>201</v>
      </c>
      <c r="C165" s="7" t="s">
        <v>206</v>
      </c>
      <c r="D165" s="7" t="s">
        <v>207</v>
      </c>
      <c r="E165" s="8">
        <v>63</v>
      </c>
      <c r="F165" s="8">
        <v>84.58</v>
      </c>
      <c r="G165" s="9">
        <v>71.632</v>
      </c>
      <c r="H165" s="7" t="s">
        <v>11</v>
      </c>
    </row>
    <row r="166" spans="1:8" s="13" customFormat="1" ht="15" customHeight="1">
      <c r="A166" s="7" t="str">
        <f>"1603"</f>
        <v>1603</v>
      </c>
      <c r="B166" s="7" t="s">
        <v>118</v>
      </c>
      <c r="C166" s="7" t="str">
        <f>"丛容"</f>
        <v>丛容</v>
      </c>
      <c r="D166" s="7" t="str">
        <f>"30125012401"</f>
        <v>30125012401</v>
      </c>
      <c r="E166" s="8">
        <v>76.5</v>
      </c>
      <c r="F166" s="8">
        <v>84.46</v>
      </c>
      <c r="G166" s="9">
        <v>79.684</v>
      </c>
      <c r="H166" s="7" t="s">
        <v>10</v>
      </c>
    </row>
    <row r="167" spans="1:8" s="13" customFormat="1" ht="15" customHeight="1">
      <c r="A167" s="7" t="str">
        <f>"1603"</f>
        <v>1603</v>
      </c>
      <c r="B167" s="7" t="s">
        <v>118</v>
      </c>
      <c r="C167" s="7" t="str">
        <f>"刘佳璐"</f>
        <v>刘佳璐</v>
      </c>
      <c r="D167" s="7" t="str">
        <f>"30125012415"</f>
        <v>30125012415</v>
      </c>
      <c r="E167" s="8">
        <v>78</v>
      </c>
      <c r="F167" s="8">
        <v>81.76</v>
      </c>
      <c r="G167" s="9">
        <v>79.50399999999999</v>
      </c>
      <c r="H167" s="7" t="s">
        <v>11</v>
      </c>
    </row>
    <row r="168" spans="1:8" s="13" customFormat="1" ht="15" customHeight="1">
      <c r="A168" s="7" t="str">
        <f>"1603"</f>
        <v>1603</v>
      </c>
      <c r="B168" s="7" t="s">
        <v>118</v>
      </c>
      <c r="C168" s="7" t="str">
        <f>"刘雪"</f>
        <v>刘雪</v>
      </c>
      <c r="D168" s="7" t="str">
        <f>"30125012412"</f>
        <v>30125012412</v>
      </c>
      <c r="E168" s="8">
        <v>74.5</v>
      </c>
      <c r="F168" s="8">
        <v>81.34</v>
      </c>
      <c r="G168" s="9">
        <v>77.23599999999999</v>
      </c>
      <c r="H168" s="7" t="s">
        <v>11</v>
      </c>
    </row>
    <row r="169" spans="1:8" s="13" customFormat="1" ht="15" customHeight="1">
      <c r="A169" s="7" t="str">
        <f>"1604"</f>
        <v>1604</v>
      </c>
      <c r="B169" s="7" t="s">
        <v>22</v>
      </c>
      <c r="C169" s="7" t="str">
        <f>"李洪波"</f>
        <v>李洪波</v>
      </c>
      <c r="D169" s="7" t="str">
        <f>"30125012421"</f>
        <v>30125012421</v>
      </c>
      <c r="E169" s="8">
        <v>78.5</v>
      </c>
      <c r="F169" s="8">
        <v>83</v>
      </c>
      <c r="G169" s="9">
        <v>80.30000000000001</v>
      </c>
      <c r="H169" s="7" t="s">
        <v>10</v>
      </c>
    </row>
    <row r="170" spans="1:8" s="13" customFormat="1" ht="15" customHeight="1">
      <c r="A170" s="7" t="str">
        <f>"1604"</f>
        <v>1604</v>
      </c>
      <c r="B170" s="7" t="s">
        <v>22</v>
      </c>
      <c r="C170" s="7" t="str">
        <f>"司景洁"</f>
        <v>司景洁</v>
      </c>
      <c r="D170" s="7" t="str">
        <f>"30125012419"</f>
        <v>30125012419</v>
      </c>
      <c r="E170" s="8">
        <v>76</v>
      </c>
      <c r="F170" s="8">
        <v>75.08</v>
      </c>
      <c r="G170" s="9">
        <v>75.632</v>
      </c>
      <c r="H170" s="7" t="s">
        <v>11</v>
      </c>
    </row>
    <row r="171" spans="1:8" s="13" customFormat="1" ht="15" customHeight="1">
      <c r="A171" s="7" t="str">
        <f>"1605"</f>
        <v>1605</v>
      </c>
      <c r="B171" s="7" t="s">
        <v>12</v>
      </c>
      <c r="C171" s="7" t="str">
        <f>"孙傲然"</f>
        <v>孙傲然</v>
      </c>
      <c r="D171" s="7" t="str">
        <f>"30125012425"</f>
        <v>30125012425</v>
      </c>
      <c r="E171" s="8">
        <v>73.5</v>
      </c>
      <c r="F171" s="8">
        <v>81.16</v>
      </c>
      <c r="G171" s="9">
        <v>76.564</v>
      </c>
      <c r="H171" s="7" t="s">
        <v>10</v>
      </c>
    </row>
    <row r="172" spans="1:8" s="13" customFormat="1" ht="15" customHeight="1">
      <c r="A172" s="7" t="str">
        <f>"1605"</f>
        <v>1605</v>
      </c>
      <c r="B172" s="7" t="s">
        <v>12</v>
      </c>
      <c r="C172" s="7" t="str">
        <f>"席长有"</f>
        <v>席长有</v>
      </c>
      <c r="D172" s="7" t="str">
        <f>"30125012426"</f>
        <v>30125012426</v>
      </c>
      <c r="E172" s="8">
        <v>68.5</v>
      </c>
      <c r="F172" s="8">
        <v>69.78</v>
      </c>
      <c r="G172" s="9">
        <v>69.012</v>
      </c>
      <c r="H172" s="7" t="s">
        <v>11</v>
      </c>
    </row>
    <row r="173" spans="1:8" s="13" customFormat="1" ht="15" customHeight="1">
      <c r="A173" s="7" t="str">
        <f>"1605"</f>
        <v>1605</v>
      </c>
      <c r="B173" s="7" t="s">
        <v>12</v>
      </c>
      <c r="C173" s="7" t="str">
        <f>"乌云"</f>
        <v>乌云</v>
      </c>
      <c r="D173" s="7" t="str">
        <f>"30125012427"</f>
        <v>30125012427</v>
      </c>
      <c r="E173" s="8">
        <v>63.5</v>
      </c>
      <c r="F173" s="8">
        <v>74.1</v>
      </c>
      <c r="G173" s="9">
        <v>67.74000000000001</v>
      </c>
      <c r="H173" s="7" t="s">
        <v>11</v>
      </c>
    </row>
    <row r="174" spans="1:8" s="13" customFormat="1" ht="15" customHeight="1">
      <c r="A174" s="7" t="str">
        <f>"1606"</f>
        <v>1606</v>
      </c>
      <c r="B174" s="7" t="s">
        <v>13</v>
      </c>
      <c r="C174" s="7" t="str">
        <f>"王昊"</f>
        <v>王昊</v>
      </c>
      <c r="D174" s="7" t="str">
        <f>"30125012527"</f>
        <v>30125012527</v>
      </c>
      <c r="E174" s="8">
        <v>75.5</v>
      </c>
      <c r="F174" s="8">
        <v>88.36</v>
      </c>
      <c r="G174" s="9">
        <v>80.644</v>
      </c>
      <c r="H174" s="7" t="s">
        <v>10</v>
      </c>
    </row>
    <row r="175" spans="1:8" s="13" customFormat="1" ht="15" customHeight="1">
      <c r="A175" s="7" t="str">
        <f>"1606"</f>
        <v>1606</v>
      </c>
      <c r="B175" s="7" t="s">
        <v>13</v>
      </c>
      <c r="C175" s="7" t="str">
        <f>"芬亚慧"</f>
        <v>芬亚慧</v>
      </c>
      <c r="D175" s="7" t="str">
        <f>"30125012516"</f>
        <v>30125012516</v>
      </c>
      <c r="E175" s="8">
        <v>76.5</v>
      </c>
      <c r="F175" s="8">
        <v>85.9</v>
      </c>
      <c r="G175" s="9">
        <v>80.26</v>
      </c>
      <c r="H175" s="7" t="s">
        <v>11</v>
      </c>
    </row>
    <row r="176" spans="1:8" s="13" customFormat="1" ht="15" customHeight="1">
      <c r="A176" s="7" t="str">
        <f>"1606"</f>
        <v>1606</v>
      </c>
      <c r="B176" s="7" t="s">
        <v>13</v>
      </c>
      <c r="C176" s="7" t="str">
        <f>"杜鑫杰"</f>
        <v>杜鑫杰</v>
      </c>
      <c r="D176" s="7" t="str">
        <f>"30125012625"</f>
        <v>30125012625</v>
      </c>
      <c r="E176" s="8">
        <v>76.5</v>
      </c>
      <c r="F176" s="8">
        <v>81.18</v>
      </c>
      <c r="G176" s="9">
        <v>78.372</v>
      </c>
      <c r="H176" s="7" t="s">
        <v>11</v>
      </c>
    </row>
    <row r="177" spans="1:8" s="13" customFormat="1" ht="15" customHeight="1">
      <c r="A177" s="7" t="str">
        <f>"1607"</f>
        <v>1607</v>
      </c>
      <c r="B177" s="7" t="s">
        <v>208</v>
      </c>
      <c r="C177" s="7" t="str">
        <f>"侯美琳"</f>
        <v>侯美琳</v>
      </c>
      <c r="D177" s="7" t="str">
        <f>"30125012721"</f>
        <v>30125012721</v>
      </c>
      <c r="E177" s="8">
        <v>78.5</v>
      </c>
      <c r="F177" s="8">
        <v>84.16</v>
      </c>
      <c r="G177" s="9">
        <v>80.76400000000001</v>
      </c>
      <c r="H177" s="7" t="s">
        <v>10</v>
      </c>
    </row>
    <row r="178" spans="1:8" s="13" customFormat="1" ht="15" customHeight="1">
      <c r="A178" s="7" t="str">
        <f>"1607"</f>
        <v>1607</v>
      </c>
      <c r="B178" s="7" t="s">
        <v>208</v>
      </c>
      <c r="C178" s="7" t="str">
        <f>"张宗新"</f>
        <v>张宗新</v>
      </c>
      <c r="D178" s="7" t="str">
        <f>"30125012709"</f>
        <v>30125012709</v>
      </c>
      <c r="E178" s="8">
        <v>74</v>
      </c>
      <c r="F178" s="8">
        <v>84.54</v>
      </c>
      <c r="G178" s="9">
        <v>78.21600000000001</v>
      </c>
      <c r="H178" s="7" t="s">
        <v>11</v>
      </c>
    </row>
    <row r="179" spans="1:8" s="13" customFormat="1" ht="15" customHeight="1">
      <c r="A179" s="7" t="str">
        <f>"1607"</f>
        <v>1607</v>
      </c>
      <c r="B179" s="7" t="s">
        <v>208</v>
      </c>
      <c r="C179" s="7" t="str">
        <f>"白鹏鹏"</f>
        <v>白鹏鹏</v>
      </c>
      <c r="D179" s="7" t="str">
        <f>"30125012803"</f>
        <v>30125012803</v>
      </c>
      <c r="E179" s="8">
        <v>75.5</v>
      </c>
      <c r="F179" s="8">
        <v>0</v>
      </c>
      <c r="G179" s="9">
        <v>45.3</v>
      </c>
      <c r="H179" s="7" t="s">
        <v>11</v>
      </c>
    </row>
    <row r="180" spans="1:8" s="13" customFormat="1" ht="15" customHeight="1">
      <c r="A180" s="7" t="str">
        <f>"1701"</f>
        <v>1701</v>
      </c>
      <c r="B180" s="7" t="s">
        <v>209</v>
      </c>
      <c r="C180" s="7" t="str">
        <f>"陈露"</f>
        <v>陈露</v>
      </c>
      <c r="D180" s="7" t="str">
        <f>"30125012824"</f>
        <v>30125012824</v>
      </c>
      <c r="E180" s="8">
        <v>74</v>
      </c>
      <c r="F180" s="8">
        <v>87.72</v>
      </c>
      <c r="G180" s="9">
        <v>79.488</v>
      </c>
      <c r="H180" s="7" t="s">
        <v>10</v>
      </c>
    </row>
    <row r="181" spans="1:8" s="13" customFormat="1" ht="15" customHeight="1">
      <c r="A181" s="7" t="str">
        <f>"1701"</f>
        <v>1701</v>
      </c>
      <c r="B181" s="7" t="s">
        <v>209</v>
      </c>
      <c r="C181" s="7" t="str">
        <f>"张雅萱"</f>
        <v>张雅萱</v>
      </c>
      <c r="D181" s="7" t="str">
        <f>"30125012822"</f>
        <v>30125012822</v>
      </c>
      <c r="E181" s="8">
        <v>70.5</v>
      </c>
      <c r="F181" s="8">
        <v>84.96</v>
      </c>
      <c r="G181" s="9">
        <v>76.28399999999999</v>
      </c>
      <c r="H181" s="7" t="s">
        <v>11</v>
      </c>
    </row>
    <row r="182" spans="1:8" s="13" customFormat="1" ht="15" customHeight="1">
      <c r="A182" s="7" t="str">
        <f>"1701"</f>
        <v>1701</v>
      </c>
      <c r="B182" s="7" t="s">
        <v>209</v>
      </c>
      <c r="C182" s="7" t="str">
        <f>"张蒙杨林"</f>
        <v>张蒙杨林</v>
      </c>
      <c r="D182" s="7" t="str">
        <f>"30125012826"</f>
        <v>30125012826</v>
      </c>
      <c r="E182" s="8">
        <v>69</v>
      </c>
      <c r="F182" s="8">
        <v>80.74</v>
      </c>
      <c r="G182" s="9">
        <v>73.696</v>
      </c>
      <c r="H182" s="7" t="s">
        <v>11</v>
      </c>
    </row>
    <row r="183" spans="1:8" s="13" customFormat="1" ht="15" customHeight="1">
      <c r="A183" s="7" t="s">
        <v>210</v>
      </c>
      <c r="B183" s="7" t="s">
        <v>181</v>
      </c>
      <c r="C183" s="7" t="s">
        <v>211</v>
      </c>
      <c r="D183" s="7" t="s">
        <v>212</v>
      </c>
      <c r="E183" s="8">
        <v>75</v>
      </c>
      <c r="F183" s="8">
        <v>84.32</v>
      </c>
      <c r="G183" s="9">
        <v>78.72800000000001</v>
      </c>
      <c r="H183" s="7" t="s">
        <v>10</v>
      </c>
    </row>
    <row r="184" spans="1:8" s="13" customFormat="1" ht="15" customHeight="1">
      <c r="A184" s="7" t="s">
        <v>210</v>
      </c>
      <c r="B184" s="7" t="s">
        <v>181</v>
      </c>
      <c r="C184" s="7" t="s">
        <v>213</v>
      </c>
      <c r="D184" s="7" t="s">
        <v>214</v>
      </c>
      <c r="E184" s="8">
        <v>74.5</v>
      </c>
      <c r="F184" s="8">
        <v>85</v>
      </c>
      <c r="G184" s="9">
        <v>78.69999999999999</v>
      </c>
      <c r="H184" s="7" t="s">
        <v>11</v>
      </c>
    </row>
    <row r="185" spans="1:8" s="13" customFormat="1" ht="15" customHeight="1">
      <c r="A185" s="7" t="s">
        <v>210</v>
      </c>
      <c r="B185" s="7" t="s">
        <v>181</v>
      </c>
      <c r="C185" s="7" t="s">
        <v>215</v>
      </c>
      <c r="D185" s="7" t="s">
        <v>216</v>
      </c>
      <c r="E185" s="8">
        <v>71</v>
      </c>
      <c r="F185" s="8">
        <v>83.9</v>
      </c>
      <c r="G185" s="9">
        <v>76.16</v>
      </c>
      <c r="H185" s="7" t="s">
        <v>11</v>
      </c>
    </row>
    <row r="186" spans="1:8" s="13" customFormat="1" ht="15" customHeight="1">
      <c r="A186" s="7" t="str">
        <f>"1703"</f>
        <v>1703</v>
      </c>
      <c r="B186" s="7" t="s">
        <v>39</v>
      </c>
      <c r="C186" s="7" t="str">
        <f>"孙佳晨"</f>
        <v>孙佳晨</v>
      </c>
      <c r="D186" s="7" t="str">
        <f>"40125010128"</f>
        <v>40125010128</v>
      </c>
      <c r="E186" s="8">
        <v>80.5</v>
      </c>
      <c r="F186" s="8">
        <v>81.64</v>
      </c>
      <c r="G186" s="9">
        <v>80.95599999999999</v>
      </c>
      <c r="H186" s="7" t="s">
        <v>10</v>
      </c>
    </row>
    <row r="187" spans="1:8" s="13" customFormat="1" ht="15" customHeight="1">
      <c r="A187" s="7" t="str">
        <f>"1703"</f>
        <v>1703</v>
      </c>
      <c r="B187" s="7" t="s">
        <v>39</v>
      </c>
      <c r="C187" s="7" t="str">
        <f>"李萌"</f>
        <v>李萌</v>
      </c>
      <c r="D187" s="7" t="str">
        <f>"40125010205"</f>
        <v>40125010205</v>
      </c>
      <c r="E187" s="8">
        <v>77</v>
      </c>
      <c r="F187" s="8">
        <v>85.72</v>
      </c>
      <c r="G187" s="9">
        <v>80.488</v>
      </c>
      <c r="H187" s="7" t="s">
        <v>11</v>
      </c>
    </row>
    <row r="188" spans="1:8" s="13" customFormat="1" ht="15" customHeight="1">
      <c r="A188" s="7" t="str">
        <f>"1703"</f>
        <v>1703</v>
      </c>
      <c r="B188" s="7" t="s">
        <v>39</v>
      </c>
      <c r="C188" s="7" t="str">
        <f>"张颖"</f>
        <v>张颖</v>
      </c>
      <c r="D188" s="7" t="str">
        <f>"30125012920"</f>
        <v>30125012920</v>
      </c>
      <c r="E188" s="8">
        <v>76</v>
      </c>
      <c r="F188" s="8">
        <v>83.6</v>
      </c>
      <c r="G188" s="9">
        <v>79.03999999999999</v>
      </c>
      <c r="H188" s="7" t="s">
        <v>11</v>
      </c>
    </row>
    <row r="189" spans="1:8" s="13" customFormat="1" ht="15" customHeight="1">
      <c r="A189" s="7" t="str">
        <f>"1703"</f>
        <v>1703</v>
      </c>
      <c r="B189" s="7" t="s">
        <v>39</v>
      </c>
      <c r="C189" s="7" t="str">
        <f>"刘云浩"</f>
        <v>刘云浩</v>
      </c>
      <c r="D189" s="7" t="str">
        <f>"30125012905"</f>
        <v>30125012905</v>
      </c>
      <c r="E189" s="8">
        <v>76</v>
      </c>
      <c r="F189" s="8">
        <v>83.48</v>
      </c>
      <c r="G189" s="9">
        <v>78.992</v>
      </c>
      <c r="H189" s="7" t="s">
        <v>11</v>
      </c>
    </row>
    <row r="190" spans="1:8" s="13" customFormat="1" ht="15" customHeight="1">
      <c r="A190" s="7" t="str">
        <f>"1703"</f>
        <v>1703</v>
      </c>
      <c r="B190" s="7" t="s">
        <v>39</v>
      </c>
      <c r="C190" s="7" t="str">
        <f>"韩雪"</f>
        <v>韩雪</v>
      </c>
      <c r="D190" s="7" t="str">
        <f>"30125012908"</f>
        <v>30125012908</v>
      </c>
      <c r="E190" s="8">
        <v>76</v>
      </c>
      <c r="F190" s="8">
        <v>80.4</v>
      </c>
      <c r="G190" s="9">
        <v>77.76</v>
      </c>
      <c r="H190" s="7" t="s">
        <v>11</v>
      </c>
    </row>
    <row r="191" spans="1:8" s="13" customFormat="1" ht="15" customHeight="1">
      <c r="A191" s="7" t="s">
        <v>217</v>
      </c>
      <c r="B191" s="7" t="s">
        <v>22</v>
      </c>
      <c r="C191" s="7" t="s">
        <v>218</v>
      </c>
      <c r="D191" s="7" t="s">
        <v>219</v>
      </c>
      <c r="E191" s="8">
        <v>74</v>
      </c>
      <c r="F191" s="8">
        <v>87.88</v>
      </c>
      <c r="G191" s="9">
        <v>79.55199999999999</v>
      </c>
      <c r="H191" s="7" t="s">
        <v>10</v>
      </c>
    </row>
    <row r="192" spans="1:8" s="13" customFormat="1" ht="15" customHeight="1">
      <c r="A192" s="7" t="s">
        <v>217</v>
      </c>
      <c r="B192" s="7" t="s">
        <v>22</v>
      </c>
      <c r="C192" s="7" t="s">
        <v>220</v>
      </c>
      <c r="D192" s="7" t="s">
        <v>221</v>
      </c>
      <c r="E192" s="8">
        <v>74</v>
      </c>
      <c r="F192" s="8">
        <v>84.94</v>
      </c>
      <c r="G192" s="9">
        <v>78.376</v>
      </c>
      <c r="H192" s="7" t="s">
        <v>10</v>
      </c>
    </row>
    <row r="193" spans="1:8" s="13" customFormat="1" ht="15" customHeight="1">
      <c r="A193" s="7" t="s">
        <v>217</v>
      </c>
      <c r="B193" s="7" t="s">
        <v>22</v>
      </c>
      <c r="C193" s="7" t="s">
        <v>222</v>
      </c>
      <c r="D193" s="7" t="s">
        <v>223</v>
      </c>
      <c r="E193" s="8">
        <v>74.5</v>
      </c>
      <c r="F193" s="8">
        <v>82.32</v>
      </c>
      <c r="G193" s="9">
        <v>77.62799999999999</v>
      </c>
      <c r="H193" s="7" t="s">
        <v>10</v>
      </c>
    </row>
    <row r="194" spans="1:8" s="13" customFormat="1" ht="15" customHeight="1">
      <c r="A194" s="7" t="s">
        <v>217</v>
      </c>
      <c r="B194" s="7" t="s">
        <v>22</v>
      </c>
      <c r="C194" s="7" t="s">
        <v>224</v>
      </c>
      <c r="D194" s="7" t="s">
        <v>225</v>
      </c>
      <c r="E194" s="8">
        <v>71</v>
      </c>
      <c r="F194" s="8">
        <v>84.64</v>
      </c>
      <c r="G194" s="9">
        <v>76.456</v>
      </c>
      <c r="H194" s="7" t="s">
        <v>11</v>
      </c>
    </row>
    <row r="195" spans="1:8" s="13" customFormat="1" ht="15" customHeight="1">
      <c r="A195" s="7" t="s">
        <v>217</v>
      </c>
      <c r="B195" s="7" t="s">
        <v>22</v>
      </c>
      <c r="C195" s="7" t="s">
        <v>226</v>
      </c>
      <c r="D195" s="7" t="s">
        <v>227</v>
      </c>
      <c r="E195" s="8">
        <v>66</v>
      </c>
      <c r="F195" s="8">
        <v>84.7</v>
      </c>
      <c r="G195" s="9">
        <v>73.48</v>
      </c>
      <c r="H195" s="7" t="s">
        <v>11</v>
      </c>
    </row>
    <row r="196" spans="1:8" s="13" customFormat="1" ht="15" customHeight="1">
      <c r="A196" s="7" t="s">
        <v>217</v>
      </c>
      <c r="B196" s="7" t="s">
        <v>22</v>
      </c>
      <c r="C196" s="7" t="s">
        <v>228</v>
      </c>
      <c r="D196" s="7" t="s">
        <v>229</v>
      </c>
      <c r="E196" s="8">
        <v>62.5</v>
      </c>
      <c r="F196" s="8" t="s">
        <v>58</v>
      </c>
      <c r="G196" s="9">
        <v>37.5</v>
      </c>
      <c r="H196" s="7" t="s">
        <v>11</v>
      </c>
    </row>
    <row r="197" spans="1:8" s="13" customFormat="1" ht="15" customHeight="1">
      <c r="A197" s="7" t="str">
        <f>"1705"</f>
        <v>1705</v>
      </c>
      <c r="B197" s="7" t="s">
        <v>22</v>
      </c>
      <c r="C197" s="7" t="str">
        <f>"岳福春"</f>
        <v>岳福春</v>
      </c>
      <c r="D197" s="7" t="str">
        <f>"40125010307"</f>
        <v>40125010307</v>
      </c>
      <c r="E197" s="8">
        <v>68.5</v>
      </c>
      <c r="F197" s="8">
        <v>86.32</v>
      </c>
      <c r="G197" s="9">
        <v>75.628</v>
      </c>
      <c r="H197" s="7" t="s">
        <v>10</v>
      </c>
    </row>
    <row r="198" spans="1:8" s="13" customFormat="1" ht="15" customHeight="1">
      <c r="A198" s="7" t="str">
        <f>"1705"</f>
        <v>1705</v>
      </c>
      <c r="B198" s="7" t="s">
        <v>22</v>
      </c>
      <c r="C198" s="7" t="str">
        <f>"姜宁"</f>
        <v>姜宁</v>
      </c>
      <c r="D198" s="7" t="str">
        <f>"40125010306"</f>
        <v>40125010306</v>
      </c>
      <c r="E198" s="8">
        <v>68.5</v>
      </c>
      <c r="F198" s="8">
        <v>83.36</v>
      </c>
      <c r="G198" s="9">
        <v>74.444</v>
      </c>
      <c r="H198" s="7" t="s">
        <v>11</v>
      </c>
    </row>
    <row r="199" spans="1:8" s="13" customFormat="1" ht="15" customHeight="1">
      <c r="A199" s="7" t="str">
        <f>"1705"</f>
        <v>1705</v>
      </c>
      <c r="B199" s="7" t="s">
        <v>22</v>
      </c>
      <c r="C199" s="7" t="str">
        <f>"刘洋洋"</f>
        <v>刘洋洋</v>
      </c>
      <c r="D199" s="7" t="str">
        <f>"40125010304"</f>
        <v>40125010304</v>
      </c>
      <c r="E199" s="8">
        <v>68</v>
      </c>
      <c r="F199" s="8">
        <v>80.96</v>
      </c>
      <c r="G199" s="9">
        <v>73.184</v>
      </c>
      <c r="H199" s="7" t="s">
        <v>11</v>
      </c>
    </row>
    <row r="200" spans="1:8" s="13" customFormat="1" ht="15" customHeight="1">
      <c r="A200" s="7" t="str">
        <f>"1706"</f>
        <v>1706</v>
      </c>
      <c r="B200" s="7" t="s">
        <v>39</v>
      </c>
      <c r="C200" s="7" t="str">
        <f>"李丙乾"</f>
        <v>李丙乾</v>
      </c>
      <c r="D200" s="7" t="str">
        <f>"40125010510"</f>
        <v>40125010510</v>
      </c>
      <c r="E200" s="8">
        <v>82</v>
      </c>
      <c r="F200" s="8">
        <v>86.94</v>
      </c>
      <c r="G200" s="9">
        <v>83.976</v>
      </c>
      <c r="H200" s="7" t="s">
        <v>10</v>
      </c>
    </row>
    <row r="201" spans="1:8" s="13" customFormat="1" ht="15" customHeight="1">
      <c r="A201" s="7" t="str">
        <f>"1706"</f>
        <v>1706</v>
      </c>
      <c r="B201" s="7" t="s">
        <v>39</v>
      </c>
      <c r="C201" s="7" t="str">
        <f>"郑宇含"</f>
        <v>郑宇含</v>
      </c>
      <c r="D201" s="7" t="str">
        <f>"40125010402"</f>
        <v>40125010402</v>
      </c>
      <c r="E201" s="8">
        <v>79</v>
      </c>
      <c r="F201" s="8">
        <v>89.68</v>
      </c>
      <c r="G201" s="9">
        <v>83.272</v>
      </c>
      <c r="H201" s="7" t="s">
        <v>11</v>
      </c>
    </row>
    <row r="202" spans="1:8" s="13" customFormat="1" ht="15" customHeight="1">
      <c r="A202" s="7" t="str">
        <f>"1706"</f>
        <v>1706</v>
      </c>
      <c r="B202" s="7" t="s">
        <v>39</v>
      </c>
      <c r="C202" s="7" t="str">
        <f>"杨立华"</f>
        <v>杨立华</v>
      </c>
      <c r="D202" s="7" t="str">
        <f>"40125010522"</f>
        <v>40125010522</v>
      </c>
      <c r="E202" s="8">
        <v>78</v>
      </c>
      <c r="F202" s="8">
        <v>84.84</v>
      </c>
      <c r="G202" s="9">
        <v>80.73599999999999</v>
      </c>
      <c r="H202" s="7" t="s">
        <v>11</v>
      </c>
    </row>
    <row r="203" spans="1:8" s="13" customFormat="1" ht="15" customHeight="1">
      <c r="A203" s="7" t="str">
        <f>"1706"</f>
        <v>1706</v>
      </c>
      <c r="B203" s="7" t="s">
        <v>39</v>
      </c>
      <c r="C203" s="7" t="str">
        <f>"张丹"</f>
        <v>张丹</v>
      </c>
      <c r="D203" s="7" t="str">
        <f>"40125010308"</f>
        <v>40125010308</v>
      </c>
      <c r="E203" s="8">
        <v>78</v>
      </c>
      <c r="F203" s="8">
        <v>82.34</v>
      </c>
      <c r="G203" s="9">
        <v>79.73599999999999</v>
      </c>
      <c r="H203" s="7" t="s">
        <v>11</v>
      </c>
    </row>
    <row r="204" spans="1:8" s="13" customFormat="1" ht="15" customHeight="1">
      <c r="A204" s="7" t="s">
        <v>230</v>
      </c>
      <c r="B204" s="7" t="s">
        <v>13</v>
      </c>
      <c r="C204" s="7" t="s">
        <v>231</v>
      </c>
      <c r="D204" s="7" t="s">
        <v>232</v>
      </c>
      <c r="E204" s="8">
        <v>81</v>
      </c>
      <c r="F204" s="8">
        <v>82.04</v>
      </c>
      <c r="G204" s="9">
        <v>81.416</v>
      </c>
      <c r="H204" s="7" t="s">
        <v>10</v>
      </c>
    </row>
    <row r="205" spans="1:8" s="13" customFormat="1" ht="15" customHeight="1">
      <c r="A205" s="7" t="s">
        <v>230</v>
      </c>
      <c r="B205" s="7" t="s">
        <v>13</v>
      </c>
      <c r="C205" s="7" t="s">
        <v>233</v>
      </c>
      <c r="D205" s="7" t="s">
        <v>234</v>
      </c>
      <c r="E205" s="8">
        <v>79.5</v>
      </c>
      <c r="F205" s="8">
        <v>83.48</v>
      </c>
      <c r="G205" s="9">
        <v>81.092</v>
      </c>
      <c r="H205" s="7" t="s">
        <v>11</v>
      </c>
    </row>
    <row r="206" spans="1:8" s="13" customFormat="1" ht="15" customHeight="1">
      <c r="A206" s="7" t="s">
        <v>230</v>
      </c>
      <c r="B206" s="7" t="s">
        <v>13</v>
      </c>
      <c r="C206" s="7" t="s">
        <v>235</v>
      </c>
      <c r="D206" s="7" t="s">
        <v>236</v>
      </c>
      <c r="E206" s="8">
        <v>76.5</v>
      </c>
      <c r="F206" s="8">
        <v>85.5</v>
      </c>
      <c r="G206" s="9">
        <v>80.1</v>
      </c>
      <c r="H206" s="7" t="s">
        <v>11</v>
      </c>
    </row>
    <row r="207" spans="1:8" s="13" customFormat="1" ht="15" customHeight="1">
      <c r="A207" s="7" t="s">
        <v>230</v>
      </c>
      <c r="B207" s="7" t="s">
        <v>13</v>
      </c>
      <c r="C207" s="7" t="s">
        <v>237</v>
      </c>
      <c r="D207" s="7" t="s">
        <v>238</v>
      </c>
      <c r="E207" s="8">
        <v>76.5</v>
      </c>
      <c r="F207" s="8" t="s">
        <v>58</v>
      </c>
      <c r="G207" s="9">
        <v>45.9</v>
      </c>
      <c r="H207" s="7" t="s">
        <v>11</v>
      </c>
    </row>
    <row r="208" spans="1:8" s="13" customFormat="1" ht="15" customHeight="1">
      <c r="A208" s="7" t="str">
        <f aca="true" t="shared" si="1" ref="A208:A213">"1801"</f>
        <v>1801</v>
      </c>
      <c r="B208" s="7" t="s">
        <v>9</v>
      </c>
      <c r="C208" s="7" t="str">
        <f>"郭雪瑶"</f>
        <v>郭雪瑶</v>
      </c>
      <c r="D208" s="7" t="str">
        <f>"40125010815"</f>
        <v>40125010815</v>
      </c>
      <c r="E208" s="8">
        <v>81.5</v>
      </c>
      <c r="F208" s="8">
        <v>84.96</v>
      </c>
      <c r="G208" s="9">
        <v>82.884</v>
      </c>
      <c r="H208" s="7" t="s">
        <v>10</v>
      </c>
    </row>
    <row r="209" spans="1:8" s="13" customFormat="1" ht="15" customHeight="1">
      <c r="A209" s="7" t="str">
        <f t="shared" si="1"/>
        <v>1801</v>
      </c>
      <c r="B209" s="7" t="s">
        <v>9</v>
      </c>
      <c r="C209" s="7" t="str">
        <f>"王海洋"</f>
        <v>王海洋</v>
      </c>
      <c r="D209" s="7" t="str">
        <f>"40125011009"</f>
        <v>40125011009</v>
      </c>
      <c r="E209" s="8">
        <v>78.5</v>
      </c>
      <c r="F209" s="8">
        <v>87.36</v>
      </c>
      <c r="G209" s="9">
        <v>82.04400000000001</v>
      </c>
      <c r="H209" s="7" t="s">
        <v>10</v>
      </c>
    </row>
    <row r="210" spans="1:8" s="13" customFormat="1" ht="15" customHeight="1">
      <c r="A210" s="7" t="str">
        <f t="shared" si="1"/>
        <v>1801</v>
      </c>
      <c r="B210" s="7" t="s">
        <v>9</v>
      </c>
      <c r="C210" s="7" t="str">
        <f>"包文达"</f>
        <v>包文达</v>
      </c>
      <c r="D210" s="7" t="str">
        <f>"40125010825"</f>
        <v>40125010825</v>
      </c>
      <c r="E210" s="8">
        <v>79</v>
      </c>
      <c r="F210" s="8">
        <v>86.54</v>
      </c>
      <c r="G210" s="9">
        <v>82.016</v>
      </c>
      <c r="H210" s="7" t="s">
        <v>11</v>
      </c>
    </row>
    <row r="211" spans="1:8" s="13" customFormat="1" ht="15" customHeight="1">
      <c r="A211" s="7" t="str">
        <f t="shared" si="1"/>
        <v>1801</v>
      </c>
      <c r="B211" s="7" t="s">
        <v>9</v>
      </c>
      <c r="C211" s="7" t="str">
        <f>"马文亮"</f>
        <v>马文亮</v>
      </c>
      <c r="D211" s="7" t="str">
        <f>"40125011020"</f>
        <v>40125011020</v>
      </c>
      <c r="E211" s="8">
        <v>79</v>
      </c>
      <c r="F211" s="8">
        <v>85.28</v>
      </c>
      <c r="G211" s="9">
        <v>81.512</v>
      </c>
      <c r="H211" s="7" t="s">
        <v>11</v>
      </c>
    </row>
    <row r="212" spans="1:8" s="13" customFormat="1" ht="15" customHeight="1">
      <c r="A212" s="7" t="str">
        <f t="shared" si="1"/>
        <v>1801</v>
      </c>
      <c r="B212" s="7" t="s">
        <v>9</v>
      </c>
      <c r="C212" s="7" t="str">
        <f>"张瑾"</f>
        <v>张瑾</v>
      </c>
      <c r="D212" s="7" t="str">
        <f>"40125011013"</f>
        <v>40125011013</v>
      </c>
      <c r="E212" s="8">
        <v>79</v>
      </c>
      <c r="F212" s="8">
        <v>84.34</v>
      </c>
      <c r="G212" s="9">
        <v>81.136</v>
      </c>
      <c r="H212" s="7" t="s">
        <v>11</v>
      </c>
    </row>
    <row r="213" spans="1:8" s="13" customFormat="1" ht="15" customHeight="1">
      <c r="A213" s="7" t="str">
        <f t="shared" si="1"/>
        <v>1801</v>
      </c>
      <c r="B213" s="7" t="s">
        <v>9</v>
      </c>
      <c r="C213" s="7" t="str">
        <f>"张丹丹"</f>
        <v>张丹丹</v>
      </c>
      <c r="D213" s="7" t="str">
        <f>"40125011023"</f>
        <v>40125011023</v>
      </c>
      <c r="E213" s="8">
        <v>78.5</v>
      </c>
      <c r="F213" s="8">
        <v>83.5</v>
      </c>
      <c r="G213" s="9">
        <v>80.5</v>
      </c>
      <c r="H213" s="7" t="s">
        <v>11</v>
      </c>
    </row>
    <row r="214" spans="1:8" s="13" customFormat="1" ht="15" customHeight="1">
      <c r="A214" s="7" t="s">
        <v>239</v>
      </c>
      <c r="B214" s="7" t="s">
        <v>67</v>
      </c>
      <c r="C214" s="7" t="s">
        <v>240</v>
      </c>
      <c r="D214" s="7" t="s">
        <v>241</v>
      </c>
      <c r="E214" s="8">
        <v>73</v>
      </c>
      <c r="F214" s="8">
        <v>85.46</v>
      </c>
      <c r="G214" s="9">
        <v>77.984</v>
      </c>
      <c r="H214" s="7" t="s">
        <v>10</v>
      </c>
    </row>
    <row r="215" spans="1:8" s="13" customFormat="1" ht="15" customHeight="1">
      <c r="A215" s="7" t="s">
        <v>239</v>
      </c>
      <c r="B215" s="7" t="s">
        <v>67</v>
      </c>
      <c r="C215" s="7" t="s">
        <v>242</v>
      </c>
      <c r="D215" s="7" t="s">
        <v>243</v>
      </c>
      <c r="E215" s="8">
        <v>69</v>
      </c>
      <c r="F215" s="8">
        <v>84.9</v>
      </c>
      <c r="G215" s="9">
        <v>75.36</v>
      </c>
      <c r="H215" s="7" t="s">
        <v>11</v>
      </c>
    </row>
    <row r="216" spans="1:8" s="13" customFormat="1" ht="15" customHeight="1">
      <c r="A216" s="7" t="s">
        <v>239</v>
      </c>
      <c r="B216" s="7" t="s">
        <v>67</v>
      </c>
      <c r="C216" s="7" t="s">
        <v>244</v>
      </c>
      <c r="D216" s="7" t="s">
        <v>245</v>
      </c>
      <c r="E216" s="8">
        <v>69</v>
      </c>
      <c r="F216" s="8">
        <v>80.88</v>
      </c>
      <c r="G216" s="9">
        <v>73.752</v>
      </c>
      <c r="H216" s="7" t="s">
        <v>11</v>
      </c>
    </row>
    <row r="217" spans="1:8" s="13" customFormat="1" ht="15" customHeight="1">
      <c r="A217" s="7" t="s">
        <v>239</v>
      </c>
      <c r="B217" s="7" t="s">
        <v>67</v>
      </c>
      <c r="C217" s="7" t="s">
        <v>246</v>
      </c>
      <c r="D217" s="7" t="s">
        <v>247</v>
      </c>
      <c r="E217" s="8">
        <v>69.5</v>
      </c>
      <c r="F217" s="8">
        <v>78.88</v>
      </c>
      <c r="G217" s="9">
        <v>73.252</v>
      </c>
      <c r="H217" s="7" t="s">
        <v>11</v>
      </c>
    </row>
    <row r="218" spans="1:8" s="13" customFormat="1" ht="15" customHeight="1">
      <c r="A218" s="7" t="str">
        <f>"1803"</f>
        <v>1803</v>
      </c>
      <c r="B218" s="7" t="s">
        <v>193</v>
      </c>
      <c r="C218" s="7" t="str">
        <f>"王莹"</f>
        <v>王莹</v>
      </c>
      <c r="D218" s="7" t="str">
        <f>"40125011111"</f>
        <v>40125011111</v>
      </c>
      <c r="E218" s="8">
        <v>68.5</v>
      </c>
      <c r="F218" s="8">
        <v>81.42</v>
      </c>
      <c r="G218" s="9">
        <v>73.668</v>
      </c>
      <c r="H218" s="7" t="s">
        <v>10</v>
      </c>
    </row>
    <row r="219" spans="1:8" s="13" customFormat="1" ht="15" customHeight="1">
      <c r="A219" s="7" t="str">
        <f>"1803"</f>
        <v>1803</v>
      </c>
      <c r="B219" s="7" t="s">
        <v>193</v>
      </c>
      <c r="C219" s="7" t="str">
        <f>"计英南"</f>
        <v>计英南</v>
      </c>
      <c r="D219" s="7" t="str">
        <f>"40125011110"</f>
        <v>40125011110</v>
      </c>
      <c r="E219" s="8">
        <v>67.5</v>
      </c>
      <c r="F219" s="8">
        <v>82.56</v>
      </c>
      <c r="G219" s="9">
        <v>73.524</v>
      </c>
      <c r="H219" s="7" t="s">
        <v>11</v>
      </c>
    </row>
    <row r="220" spans="1:8" s="13" customFormat="1" ht="15" customHeight="1">
      <c r="A220" s="7" t="str">
        <f>"1803"</f>
        <v>1803</v>
      </c>
      <c r="B220" s="7" t="s">
        <v>193</v>
      </c>
      <c r="C220" s="7" t="str">
        <f>"苏日古嘎"</f>
        <v>苏日古嘎</v>
      </c>
      <c r="D220" s="7" t="str">
        <f>"40125011106"</f>
        <v>40125011106</v>
      </c>
      <c r="E220" s="8">
        <v>63</v>
      </c>
      <c r="F220" s="8">
        <v>75.56</v>
      </c>
      <c r="G220" s="9">
        <v>68.024</v>
      </c>
      <c r="H220" s="7" t="s">
        <v>11</v>
      </c>
    </row>
    <row r="221" spans="1:8" s="13" customFormat="1" ht="15" customHeight="1">
      <c r="A221" s="7" t="str">
        <f>"1804"</f>
        <v>1804</v>
      </c>
      <c r="B221" s="7" t="s">
        <v>28</v>
      </c>
      <c r="C221" s="7" t="str">
        <f>"刘志慧"</f>
        <v>刘志慧</v>
      </c>
      <c r="D221" s="7" t="str">
        <f>"40125011114"</f>
        <v>40125011114</v>
      </c>
      <c r="E221" s="8">
        <v>79.5</v>
      </c>
      <c r="F221" s="8">
        <v>85.2</v>
      </c>
      <c r="G221" s="9">
        <v>81.78</v>
      </c>
      <c r="H221" s="7" t="s">
        <v>10</v>
      </c>
    </row>
    <row r="222" spans="1:8" s="13" customFormat="1" ht="15" customHeight="1">
      <c r="A222" s="7" t="str">
        <f>"1804-2"</f>
        <v>1804-2</v>
      </c>
      <c r="B222" s="7" t="s">
        <v>38</v>
      </c>
      <c r="C222" s="7" t="str">
        <f>"文升"</f>
        <v>文升</v>
      </c>
      <c r="D222" s="7" t="str">
        <f>"40125011123"</f>
        <v>40125011123</v>
      </c>
      <c r="E222" s="8">
        <v>82</v>
      </c>
      <c r="F222" s="8">
        <v>87.5</v>
      </c>
      <c r="G222" s="9">
        <v>84.19999999999999</v>
      </c>
      <c r="H222" s="7" t="s">
        <v>10</v>
      </c>
    </row>
    <row r="223" spans="1:8" s="13" customFormat="1" ht="15" customHeight="1">
      <c r="A223" s="7" t="str">
        <f>"1804-2"</f>
        <v>1804-2</v>
      </c>
      <c r="B223" s="7" t="s">
        <v>38</v>
      </c>
      <c r="C223" s="7" t="str">
        <f>"尹广垒"</f>
        <v>尹广垒</v>
      </c>
      <c r="D223" s="7" t="str">
        <f>"40125011127"</f>
        <v>40125011127</v>
      </c>
      <c r="E223" s="8">
        <v>79</v>
      </c>
      <c r="F223" s="8">
        <v>79.1</v>
      </c>
      <c r="G223" s="9">
        <v>79.03999999999999</v>
      </c>
      <c r="H223" s="7" t="s">
        <v>11</v>
      </c>
    </row>
    <row r="224" spans="1:8" s="13" customFormat="1" ht="15" customHeight="1">
      <c r="A224" s="7" t="str">
        <f>"1804-2"</f>
        <v>1804-2</v>
      </c>
      <c r="B224" s="7" t="s">
        <v>38</v>
      </c>
      <c r="C224" s="7" t="str">
        <f>"刘向帅"</f>
        <v>刘向帅</v>
      </c>
      <c r="D224" s="7" t="str">
        <f>"40125011120"</f>
        <v>40125011120</v>
      </c>
      <c r="E224" s="8">
        <v>72</v>
      </c>
      <c r="F224" s="8">
        <v>78.58</v>
      </c>
      <c r="G224" s="9">
        <v>74.632</v>
      </c>
      <c r="H224" s="7" t="s">
        <v>11</v>
      </c>
    </row>
    <row r="225" spans="1:8" s="13" customFormat="1" ht="15" customHeight="1">
      <c r="A225" s="7" t="s">
        <v>248</v>
      </c>
      <c r="B225" s="7" t="s">
        <v>82</v>
      </c>
      <c r="C225" s="7" t="s">
        <v>249</v>
      </c>
      <c r="D225" s="7" t="s">
        <v>250</v>
      </c>
      <c r="E225" s="8">
        <v>75.5</v>
      </c>
      <c r="F225" s="8">
        <v>85.14</v>
      </c>
      <c r="G225" s="9">
        <v>79.356</v>
      </c>
      <c r="H225" s="7" t="s">
        <v>10</v>
      </c>
    </row>
    <row r="226" spans="1:8" s="13" customFormat="1" ht="15" customHeight="1">
      <c r="A226" s="7" t="s">
        <v>248</v>
      </c>
      <c r="B226" s="7" t="s">
        <v>82</v>
      </c>
      <c r="C226" s="7" t="s">
        <v>251</v>
      </c>
      <c r="D226" s="7" t="s">
        <v>252</v>
      </c>
      <c r="E226" s="8">
        <v>73.5</v>
      </c>
      <c r="F226" s="8">
        <v>86.14</v>
      </c>
      <c r="G226" s="9">
        <v>78.55600000000001</v>
      </c>
      <c r="H226" s="7" t="s">
        <v>11</v>
      </c>
    </row>
    <row r="227" spans="1:8" s="13" customFormat="1" ht="15" customHeight="1">
      <c r="A227" s="7" t="s">
        <v>248</v>
      </c>
      <c r="B227" s="7" t="s">
        <v>82</v>
      </c>
      <c r="C227" s="7" t="s">
        <v>253</v>
      </c>
      <c r="D227" s="7" t="s">
        <v>254</v>
      </c>
      <c r="E227" s="8">
        <v>73</v>
      </c>
      <c r="F227" s="8">
        <v>85.04</v>
      </c>
      <c r="G227" s="9">
        <v>77.816</v>
      </c>
      <c r="H227" s="7" t="s">
        <v>11</v>
      </c>
    </row>
    <row r="228" spans="1:8" s="13" customFormat="1" ht="15" customHeight="1">
      <c r="A228" s="7" t="s">
        <v>248</v>
      </c>
      <c r="B228" s="7" t="s">
        <v>82</v>
      </c>
      <c r="C228" s="7" t="s">
        <v>255</v>
      </c>
      <c r="D228" s="7" t="s">
        <v>256</v>
      </c>
      <c r="E228" s="8">
        <v>73</v>
      </c>
      <c r="F228" s="8" t="s">
        <v>58</v>
      </c>
      <c r="G228" s="9">
        <v>43.8</v>
      </c>
      <c r="H228" s="7" t="s">
        <v>11</v>
      </c>
    </row>
    <row r="229" spans="1:8" s="13" customFormat="1" ht="15" customHeight="1">
      <c r="A229" s="7" t="str">
        <f>"1901"</f>
        <v>1901</v>
      </c>
      <c r="B229" s="7" t="s">
        <v>118</v>
      </c>
      <c r="C229" s="7" t="str">
        <f>"赵立艳"</f>
        <v>赵立艳</v>
      </c>
      <c r="D229" s="7" t="str">
        <f>"40125011412"</f>
        <v>40125011412</v>
      </c>
      <c r="E229" s="8">
        <v>76</v>
      </c>
      <c r="F229" s="8">
        <v>85.84</v>
      </c>
      <c r="G229" s="9">
        <v>79.936</v>
      </c>
      <c r="H229" s="7" t="s">
        <v>10</v>
      </c>
    </row>
    <row r="230" spans="1:8" s="13" customFormat="1" ht="15" customHeight="1">
      <c r="A230" s="7" t="str">
        <f>"1901"</f>
        <v>1901</v>
      </c>
      <c r="B230" s="7" t="s">
        <v>118</v>
      </c>
      <c r="C230" s="7" t="str">
        <f>"格根敖奇"</f>
        <v>格根敖奇</v>
      </c>
      <c r="D230" s="7" t="str">
        <f>"40125011415"</f>
        <v>40125011415</v>
      </c>
      <c r="E230" s="8">
        <v>72</v>
      </c>
      <c r="F230" s="8">
        <v>86.18</v>
      </c>
      <c r="G230" s="9">
        <v>77.672</v>
      </c>
      <c r="H230" s="7" t="s">
        <v>11</v>
      </c>
    </row>
    <row r="231" spans="1:8" s="13" customFormat="1" ht="15" customHeight="1">
      <c r="A231" s="7" t="str">
        <f>"1901"</f>
        <v>1901</v>
      </c>
      <c r="B231" s="7" t="s">
        <v>118</v>
      </c>
      <c r="C231" s="7" t="str">
        <f>"姚旭然"</f>
        <v>姚旭然</v>
      </c>
      <c r="D231" s="7" t="str">
        <f>"40125011417"</f>
        <v>40125011417</v>
      </c>
      <c r="E231" s="8">
        <v>72</v>
      </c>
      <c r="F231" s="8">
        <v>82.72</v>
      </c>
      <c r="G231" s="9">
        <v>76.288</v>
      </c>
      <c r="H231" s="7" t="s">
        <v>11</v>
      </c>
    </row>
    <row r="232" spans="1:8" s="13" customFormat="1" ht="15" customHeight="1">
      <c r="A232" s="7" t="str">
        <f>"2001"</f>
        <v>2001</v>
      </c>
      <c r="B232" s="7" t="s">
        <v>9</v>
      </c>
      <c r="C232" s="7" t="str">
        <f>"于润秋"</f>
        <v>于润秋</v>
      </c>
      <c r="D232" s="7" t="str">
        <f>"40125011510"</f>
        <v>40125011510</v>
      </c>
      <c r="E232" s="8">
        <v>74</v>
      </c>
      <c r="F232" s="8">
        <v>85.98</v>
      </c>
      <c r="G232" s="9">
        <v>78.792</v>
      </c>
      <c r="H232" s="7" t="s">
        <v>10</v>
      </c>
    </row>
    <row r="233" spans="1:8" s="13" customFormat="1" ht="15" customHeight="1">
      <c r="A233" s="7" t="str">
        <f>"2001"</f>
        <v>2001</v>
      </c>
      <c r="B233" s="7" t="s">
        <v>9</v>
      </c>
      <c r="C233" s="7" t="str">
        <f>"代鹤"</f>
        <v>代鹤</v>
      </c>
      <c r="D233" s="7" t="str">
        <f>"40125011523"</f>
        <v>40125011523</v>
      </c>
      <c r="E233" s="8">
        <v>74</v>
      </c>
      <c r="F233" s="8">
        <v>83.96</v>
      </c>
      <c r="G233" s="9">
        <v>77.984</v>
      </c>
      <c r="H233" s="7" t="s">
        <v>11</v>
      </c>
    </row>
    <row r="234" spans="1:8" s="13" customFormat="1" ht="15" customHeight="1">
      <c r="A234" s="7" t="str">
        <f>"2001"</f>
        <v>2001</v>
      </c>
      <c r="B234" s="7" t="s">
        <v>9</v>
      </c>
      <c r="C234" s="7" t="str">
        <f>"杨楠"</f>
        <v>杨楠</v>
      </c>
      <c r="D234" s="7" t="str">
        <f>"40125011506"</f>
        <v>40125011506</v>
      </c>
      <c r="E234" s="8">
        <v>72</v>
      </c>
      <c r="F234" s="8">
        <v>83.94</v>
      </c>
      <c r="G234" s="9">
        <v>76.776</v>
      </c>
      <c r="H234" s="7" t="s">
        <v>11</v>
      </c>
    </row>
    <row r="235" spans="1:8" s="13" customFormat="1" ht="15" customHeight="1">
      <c r="A235" s="7" t="str">
        <f>"2002"</f>
        <v>2002</v>
      </c>
      <c r="B235" s="7" t="s">
        <v>12</v>
      </c>
      <c r="C235" s="7" t="str">
        <f>"李继峰"</f>
        <v>李继峰</v>
      </c>
      <c r="D235" s="7" t="str">
        <f>"40125011526"</f>
        <v>40125011526</v>
      </c>
      <c r="E235" s="8">
        <v>50</v>
      </c>
      <c r="F235" s="8">
        <v>79.42</v>
      </c>
      <c r="G235" s="9">
        <v>61.768</v>
      </c>
      <c r="H235" s="7" t="s">
        <v>11</v>
      </c>
    </row>
    <row r="236" spans="1:8" s="13" customFormat="1" ht="15" customHeight="1">
      <c r="A236" s="7" t="str">
        <f>"2003"</f>
        <v>2003</v>
      </c>
      <c r="B236" s="7" t="s">
        <v>13</v>
      </c>
      <c r="C236" s="7" t="str">
        <f>"王慧"</f>
        <v>王慧</v>
      </c>
      <c r="D236" s="7" t="str">
        <f>"40125011609"</f>
        <v>40125011609</v>
      </c>
      <c r="E236" s="8">
        <v>79</v>
      </c>
      <c r="F236" s="8">
        <v>88.24</v>
      </c>
      <c r="G236" s="9">
        <v>82.696</v>
      </c>
      <c r="H236" s="7" t="s">
        <v>10</v>
      </c>
    </row>
    <row r="237" spans="1:8" s="13" customFormat="1" ht="15" customHeight="1">
      <c r="A237" s="7" t="str">
        <f>"2003"</f>
        <v>2003</v>
      </c>
      <c r="B237" s="7" t="s">
        <v>13</v>
      </c>
      <c r="C237" s="7" t="str">
        <f>"徐一征"</f>
        <v>徐一征</v>
      </c>
      <c r="D237" s="7" t="str">
        <f>"40125011813"</f>
        <v>40125011813</v>
      </c>
      <c r="E237" s="8">
        <v>80</v>
      </c>
      <c r="F237" s="8">
        <v>84.64</v>
      </c>
      <c r="G237" s="9">
        <v>81.856</v>
      </c>
      <c r="H237" s="7" t="s">
        <v>11</v>
      </c>
    </row>
    <row r="238" spans="1:8" s="13" customFormat="1" ht="15" customHeight="1">
      <c r="A238" s="7" t="str">
        <f>"2003"</f>
        <v>2003</v>
      </c>
      <c r="B238" s="7" t="s">
        <v>13</v>
      </c>
      <c r="C238" s="7" t="str">
        <f>"任玉丹"</f>
        <v>任玉丹</v>
      </c>
      <c r="D238" s="7" t="str">
        <f>"40125011815"</f>
        <v>40125011815</v>
      </c>
      <c r="E238" s="8">
        <v>81.5</v>
      </c>
      <c r="F238" s="8">
        <v>77.56</v>
      </c>
      <c r="G238" s="9">
        <v>79.924</v>
      </c>
      <c r="H238" s="7" t="s">
        <v>11</v>
      </c>
    </row>
    <row r="239" spans="1:8" s="13" customFormat="1" ht="15" customHeight="1">
      <c r="A239" s="7" t="str">
        <f>"2004-1"</f>
        <v>2004-1</v>
      </c>
      <c r="B239" s="7" t="s">
        <v>38</v>
      </c>
      <c r="C239" s="7" t="str">
        <f>"辛利艳"</f>
        <v>辛利艳</v>
      </c>
      <c r="D239" s="7" t="str">
        <f>"40125011830"</f>
        <v>40125011830</v>
      </c>
      <c r="E239" s="8">
        <v>73.5</v>
      </c>
      <c r="F239" s="8">
        <v>83.7</v>
      </c>
      <c r="G239" s="9">
        <v>77.58000000000001</v>
      </c>
      <c r="H239" s="7" t="s">
        <v>10</v>
      </c>
    </row>
    <row r="240" spans="1:8" s="13" customFormat="1" ht="15" customHeight="1">
      <c r="A240" s="7" t="str">
        <f>"2004-1"</f>
        <v>2004-1</v>
      </c>
      <c r="B240" s="7" t="s">
        <v>38</v>
      </c>
      <c r="C240" s="7" t="str">
        <f>"杨磊"</f>
        <v>杨磊</v>
      </c>
      <c r="D240" s="7" t="str">
        <f>"40125011903"</f>
        <v>40125011903</v>
      </c>
      <c r="E240" s="8">
        <v>68</v>
      </c>
      <c r="F240" s="8">
        <v>85.94</v>
      </c>
      <c r="G240" s="9">
        <v>75.17599999999999</v>
      </c>
      <c r="H240" s="7" t="s">
        <v>11</v>
      </c>
    </row>
    <row r="241" spans="1:8" s="13" customFormat="1" ht="15" customHeight="1">
      <c r="A241" s="7" t="str">
        <f>"2004-1"</f>
        <v>2004-1</v>
      </c>
      <c r="B241" s="7" t="s">
        <v>38</v>
      </c>
      <c r="C241" s="7" t="str">
        <f>"李彦"</f>
        <v>李彦</v>
      </c>
      <c r="D241" s="7" t="str">
        <f>"40125011902"</f>
        <v>40125011902</v>
      </c>
      <c r="E241" s="8">
        <v>62.5</v>
      </c>
      <c r="F241" s="8">
        <v>77.72</v>
      </c>
      <c r="G241" s="9">
        <v>68.588</v>
      </c>
      <c r="H241" s="7" t="s">
        <v>11</v>
      </c>
    </row>
    <row r="242" spans="1:8" s="13" customFormat="1" ht="15" customHeight="1">
      <c r="A242" s="7" t="str">
        <f>"2005"</f>
        <v>2005</v>
      </c>
      <c r="B242" s="7" t="s">
        <v>82</v>
      </c>
      <c r="C242" s="7" t="str">
        <f>"韩景康"</f>
        <v>韩景康</v>
      </c>
      <c r="D242" s="7" t="str">
        <f>"40125011913"</f>
        <v>40125011913</v>
      </c>
      <c r="E242" s="8">
        <v>79.5</v>
      </c>
      <c r="F242" s="8">
        <v>83.44</v>
      </c>
      <c r="G242" s="9">
        <v>81.076</v>
      </c>
      <c r="H242" s="7" t="s">
        <v>10</v>
      </c>
    </row>
    <row r="243" spans="1:8" s="13" customFormat="1" ht="15" customHeight="1">
      <c r="A243" s="7" t="str">
        <f>"2005"</f>
        <v>2005</v>
      </c>
      <c r="B243" s="7" t="s">
        <v>82</v>
      </c>
      <c r="C243" s="7" t="str">
        <f>"任蕾"</f>
        <v>任蕾</v>
      </c>
      <c r="D243" s="7" t="str">
        <f>"40125011919"</f>
        <v>40125011919</v>
      </c>
      <c r="E243" s="8">
        <v>76</v>
      </c>
      <c r="F243" s="8">
        <v>87.88</v>
      </c>
      <c r="G243" s="9">
        <v>80.75200000000001</v>
      </c>
      <c r="H243" s="7" t="s">
        <v>11</v>
      </c>
    </row>
    <row r="244" spans="1:8" s="13" customFormat="1" ht="15" customHeight="1">
      <c r="A244" s="7" t="str">
        <f>"2005"</f>
        <v>2005</v>
      </c>
      <c r="B244" s="7" t="s">
        <v>82</v>
      </c>
      <c r="C244" s="7" t="str">
        <f>"孙越"</f>
        <v>孙越</v>
      </c>
      <c r="D244" s="7" t="str">
        <f>"40125011916"</f>
        <v>40125011916</v>
      </c>
      <c r="E244" s="8">
        <v>72.5</v>
      </c>
      <c r="F244" s="8">
        <v>80.92</v>
      </c>
      <c r="G244" s="9">
        <v>75.868</v>
      </c>
      <c r="H244" s="7" t="s">
        <v>11</v>
      </c>
    </row>
    <row r="245" spans="1:8" s="13" customFormat="1" ht="15" customHeight="1">
      <c r="A245" s="7" t="str">
        <f>"2005"</f>
        <v>2005</v>
      </c>
      <c r="B245" s="7" t="s">
        <v>82</v>
      </c>
      <c r="C245" s="7" t="str">
        <f>"张洋"</f>
        <v>张洋</v>
      </c>
      <c r="D245" s="7" t="str">
        <f>"40125011909"</f>
        <v>40125011909</v>
      </c>
      <c r="E245" s="8">
        <v>72.5</v>
      </c>
      <c r="F245" s="8">
        <v>76.64</v>
      </c>
      <c r="G245" s="9">
        <v>74.156</v>
      </c>
      <c r="H245" s="7" t="s">
        <v>11</v>
      </c>
    </row>
    <row r="246" spans="1:8" s="13" customFormat="1" ht="15" customHeight="1">
      <c r="A246" s="7" t="s">
        <v>257</v>
      </c>
      <c r="B246" s="7" t="s">
        <v>258</v>
      </c>
      <c r="C246" s="7" t="s">
        <v>259</v>
      </c>
      <c r="D246" s="7" t="s">
        <v>260</v>
      </c>
      <c r="E246" s="8">
        <v>79</v>
      </c>
      <c r="F246" s="8">
        <v>84.7</v>
      </c>
      <c r="G246" s="9">
        <v>81.28</v>
      </c>
      <c r="H246" s="7" t="s">
        <v>10</v>
      </c>
    </row>
    <row r="247" spans="1:8" s="13" customFormat="1" ht="15" customHeight="1">
      <c r="A247" s="7" t="s">
        <v>257</v>
      </c>
      <c r="B247" s="7" t="s">
        <v>258</v>
      </c>
      <c r="C247" s="7" t="s">
        <v>261</v>
      </c>
      <c r="D247" s="7" t="s">
        <v>262</v>
      </c>
      <c r="E247" s="8">
        <v>75</v>
      </c>
      <c r="F247" s="8">
        <v>82.7</v>
      </c>
      <c r="G247" s="9">
        <v>78.08000000000001</v>
      </c>
      <c r="H247" s="7" t="s">
        <v>10</v>
      </c>
    </row>
    <row r="248" spans="1:8" s="13" customFormat="1" ht="15" customHeight="1">
      <c r="A248" s="7" t="s">
        <v>257</v>
      </c>
      <c r="B248" s="7" t="s">
        <v>258</v>
      </c>
      <c r="C248" s="7" t="s">
        <v>263</v>
      </c>
      <c r="D248" s="7" t="s">
        <v>264</v>
      </c>
      <c r="E248" s="8">
        <v>68.5</v>
      </c>
      <c r="F248" s="8">
        <v>80.22</v>
      </c>
      <c r="G248" s="9">
        <v>73.188</v>
      </c>
      <c r="H248" s="7" t="s">
        <v>10</v>
      </c>
    </row>
    <row r="249" spans="1:8" s="13" customFormat="1" ht="15" customHeight="1">
      <c r="A249" s="7" t="s">
        <v>257</v>
      </c>
      <c r="B249" s="7" t="s">
        <v>258</v>
      </c>
      <c r="C249" s="7" t="s">
        <v>265</v>
      </c>
      <c r="D249" s="7" t="s">
        <v>266</v>
      </c>
      <c r="E249" s="8">
        <v>61</v>
      </c>
      <c r="F249" s="8">
        <v>83.62</v>
      </c>
      <c r="G249" s="9">
        <v>70.048</v>
      </c>
      <c r="H249" s="7" t="s">
        <v>11</v>
      </c>
    </row>
    <row r="250" spans="1:8" s="13" customFormat="1" ht="15" customHeight="1">
      <c r="A250" s="7" t="s">
        <v>257</v>
      </c>
      <c r="B250" s="7" t="s">
        <v>258</v>
      </c>
      <c r="C250" s="7" t="s">
        <v>267</v>
      </c>
      <c r="D250" s="7" t="s">
        <v>268</v>
      </c>
      <c r="E250" s="8">
        <v>57</v>
      </c>
      <c r="F250" s="8">
        <v>81.46</v>
      </c>
      <c r="G250" s="9">
        <v>66.78399999999999</v>
      </c>
      <c r="H250" s="7" t="s">
        <v>11</v>
      </c>
    </row>
    <row r="251" spans="1:8" s="13" customFormat="1" ht="15" customHeight="1">
      <c r="A251" s="7" t="s">
        <v>257</v>
      </c>
      <c r="B251" s="7" t="s">
        <v>258</v>
      </c>
      <c r="C251" s="7" t="s">
        <v>269</v>
      </c>
      <c r="D251" s="7" t="s">
        <v>270</v>
      </c>
      <c r="E251" s="8">
        <v>72</v>
      </c>
      <c r="F251" s="8" t="s">
        <v>58</v>
      </c>
      <c r="G251" s="9">
        <v>43.2</v>
      </c>
      <c r="H251" s="7" t="s">
        <v>11</v>
      </c>
    </row>
    <row r="252" spans="1:8" s="13" customFormat="1" ht="15" customHeight="1">
      <c r="A252" s="7" t="s">
        <v>271</v>
      </c>
      <c r="B252" s="7" t="s">
        <v>272</v>
      </c>
      <c r="C252" s="7" t="s">
        <v>273</v>
      </c>
      <c r="D252" s="7" t="s">
        <v>274</v>
      </c>
      <c r="E252" s="8">
        <v>76.5</v>
      </c>
      <c r="F252" s="8">
        <v>86.91</v>
      </c>
      <c r="G252" s="9">
        <v>80.664</v>
      </c>
      <c r="H252" s="7" t="s">
        <v>37</v>
      </c>
    </row>
    <row r="253" spans="1:8" s="13" customFormat="1" ht="15" customHeight="1">
      <c r="A253" s="7" t="s">
        <v>271</v>
      </c>
      <c r="B253" s="7" t="s">
        <v>272</v>
      </c>
      <c r="C253" s="7" t="s">
        <v>275</v>
      </c>
      <c r="D253" s="7" t="s">
        <v>276</v>
      </c>
      <c r="E253" s="8">
        <v>69.5</v>
      </c>
      <c r="F253" s="8">
        <v>86.34</v>
      </c>
      <c r="G253" s="9">
        <v>76.23599999999999</v>
      </c>
      <c r="H253" s="7" t="s">
        <v>11</v>
      </c>
    </row>
    <row r="254" spans="1:8" s="13" customFormat="1" ht="15" customHeight="1">
      <c r="A254" s="7" t="s">
        <v>271</v>
      </c>
      <c r="B254" s="7" t="s">
        <v>272</v>
      </c>
      <c r="C254" s="7" t="s">
        <v>277</v>
      </c>
      <c r="D254" s="7" t="s">
        <v>278</v>
      </c>
      <c r="E254" s="8">
        <v>69</v>
      </c>
      <c r="F254" s="8">
        <v>85.07</v>
      </c>
      <c r="G254" s="9">
        <v>75.428</v>
      </c>
      <c r="H254" s="7" t="s">
        <v>11</v>
      </c>
    </row>
    <row r="255" spans="1:8" s="13" customFormat="1" ht="15" customHeight="1">
      <c r="A255" s="7" t="str">
        <f>"2008"</f>
        <v>2008</v>
      </c>
      <c r="B255" s="7" t="s">
        <v>36</v>
      </c>
      <c r="C255" s="7" t="str">
        <f>"倪一鸣"</f>
        <v>倪一鸣</v>
      </c>
      <c r="D255" s="7" t="str">
        <f>"40125014113"</f>
        <v>40125014113</v>
      </c>
      <c r="E255" s="8">
        <v>78.5</v>
      </c>
      <c r="F255" s="8">
        <v>83.8</v>
      </c>
      <c r="G255" s="9">
        <v>80.62</v>
      </c>
      <c r="H255" s="7" t="s">
        <v>10</v>
      </c>
    </row>
    <row r="256" spans="1:8" s="13" customFormat="1" ht="15" customHeight="1">
      <c r="A256" s="7" t="str">
        <f>"2008"</f>
        <v>2008</v>
      </c>
      <c r="B256" s="7" t="s">
        <v>36</v>
      </c>
      <c r="C256" s="7" t="str">
        <f>"塔娜"</f>
        <v>塔娜</v>
      </c>
      <c r="D256" s="7" t="str">
        <f>"40125012927"</f>
        <v>40125012927</v>
      </c>
      <c r="E256" s="8">
        <v>77.5</v>
      </c>
      <c r="F256" s="8">
        <v>82.9</v>
      </c>
      <c r="G256" s="9">
        <v>79.66</v>
      </c>
      <c r="H256" s="7" t="s">
        <v>11</v>
      </c>
    </row>
    <row r="257" spans="1:8" s="13" customFormat="1" ht="15" customHeight="1">
      <c r="A257" s="7" t="str">
        <f>"2008"</f>
        <v>2008</v>
      </c>
      <c r="B257" s="7" t="s">
        <v>36</v>
      </c>
      <c r="C257" s="7" t="str">
        <f>"陶鸿伟"</f>
        <v>陶鸿伟</v>
      </c>
      <c r="D257" s="7" t="str">
        <f>"40125013101"</f>
        <v>40125013101</v>
      </c>
      <c r="E257" s="8">
        <v>77.5</v>
      </c>
      <c r="F257" s="8">
        <v>80.92</v>
      </c>
      <c r="G257" s="9">
        <v>78.868</v>
      </c>
      <c r="H257" s="7" t="s">
        <v>11</v>
      </c>
    </row>
    <row r="258" spans="1:8" s="13" customFormat="1" ht="15" customHeight="1">
      <c r="A258" s="7" t="str">
        <f>"2008"</f>
        <v>2008</v>
      </c>
      <c r="B258" s="7" t="s">
        <v>36</v>
      </c>
      <c r="C258" s="7" t="str">
        <f>"于东方"</f>
        <v>于东方</v>
      </c>
      <c r="D258" s="7" t="str">
        <f>"40125012901"</f>
        <v>40125012901</v>
      </c>
      <c r="E258" s="8">
        <v>77.5</v>
      </c>
      <c r="F258" s="8">
        <v>80.38</v>
      </c>
      <c r="G258" s="9">
        <v>78.652</v>
      </c>
      <c r="H258" s="7" t="s">
        <v>11</v>
      </c>
    </row>
    <row r="259" spans="1:8" s="13" customFormat="1" ht="15" customHeight="1">
      <c r="A259" s="7" t="s">
        <v>279</v>
      </c>
      <c r="B259" s="7" t="s">
        <v>22</v>
      </c>
      <c r="C259" s="7" t="s">
        <v>280</v>
      </c>
      <c r="D259" s="7" t="s">
        <v>281</v>
      </c>
      <c r="E259" s="8">
        <v>71</v>
      </c>
      <c r="F259" s="8">
        <v>84.26</v>
      </c>
      <c r="G259" s="9">
        <v>76.304</v>
      </c>
      <c r="H259" s="7" t="s">
        <v>10</v>
      </c>
    </row>
    <row r="260" spans="1:8" s="13" customFormat="1" ht="15" customHeight="1">
      <c r="A260" s="7" t="s">
        <v>279</v>
      </c>
      <c r="B260" s="7" t="s">
        <v>22</v>
      </c>
      <c r="C260" s="7" t="s">
        <v>282</v>
      </c>
      <c r="D260" s="7" t="s">
        <v>283</v>
      </c>
      <c r="E260" s="8">
        <v>66.5</v>
      </c>
      <c r="F260" s="8">
        <v>84.58</v>
      </c>
      <c r="G260" s="9">
        <v>73.732</v>
      </c>
      <c r="H260" s="7" t="s">
        <v>11</v>
      </c>
    </row>
    <row r="261" spans="1:8" s="13" customFormat="1" ht="15" customHeight="1">
      <c r="A261" s="7" t="s">
        <v>279</v>
      </c>
      <c r="B261" s="7" t="s">
        <v>22</v>
      </c>
      <c r="C261" s="7" t="s">
        <v>284</v>
      </c>
      <c r="D261" s="7" t="s">
        <v>285</v>
      </c>
      <c r="E261" s="8">
        <v>54.5</v>
      </c>
      <c r="F261" s="8">
        <v>84.58</v>
      </c>
      <c r="G261" s="9">
        <v>66.532</v>
      </c>
      <c r="H261" s="7" t="s">
        <v>11</v>
      </c>
    </row>
    <row r="262" spans="1:8" s="13" customFormat="1" ht="15" customHeight="1">
      <c r="A262" s="7" t="str">
        <f>"2101-2"</f>
        <v>2101-2</v>
      </c>
      <c r="B262" s="7" t="s">
        <v>9</v>
      </c>
      <c r="C262" s="7" t="str">
        <f>"齐慧敏"</f>
        <v>齐慧敏</v>
      </c>
      <c r="D262" s="7" t="str">
        <f>"40125012021"</f>
        <v>40125012021</v>
      </c>
      <c r="E262" s="8">
        <v>81</v>
      </c>
      <c r="F262" s="8">
        <v>82.84</v>
      </c>
      <c r="G262" s="9">
        <v>81.736</v>
      </c>
      <c r="H262" s="7" t="s">
        <v>10</v>
      </c>
    </row>
    <row r="263" spans="1:8" s="13" customFormat="1" ht="15" customHeight="1">
      <c r="A263" s="7" t="str">
        <f>"2101-2"</f>
        <v>2101-2</v>
      </c>
      <c r="B263" s="7" t="s">
        <v>9</v>
      </c>
      <c r="C263" s="7" t="str">
        <f>"陶楠"</f>
        <v>陶楠</v>
      </c>
      <c r="D263" s="7" t="str">
        <f>"40125012022"</f>
        <v>40125012022</v>
      </c>
      <c r="E263" s="8">
        <v>70.5</v>
      </c>
      <c r="F263" s="8">
        <v>83.2</v>
      </c>
      <c r="G263" s="9">
        <v>75.58</v>
      </c>
      <c r="H263" s="7" t="s">
        <v>11</v>
      </c>
    </row>
    <row r="264" spans="1:8" s="13" customFormat="1" ht="15" customHeight="1">
      <c r="A264" s="7" t="str">
        <f>"2101-2"</f>
        <v>2101-2</v>
      </c>
      <c r="B264" s="7" t="s">
        <v>9</v>
      </c>
      <c r="C264" s="7" t="str">
        <f>"李洪霞"</f>
        <v>李洪霞</v>
      </c>
      <c r="D264" s="7" t="str">
        <f>"40125012019"</f>
        <v>40125012019</v>
      </c>
      <c r="E264" s="8">
        <v>67.5</v>
      </c>
      <c r="F264" s="8">
        <v>82.02</v>
      </c>
      <c r="G264" s="9">
        <v>73.30799999999999</v>
      </c>
      <c r="H264" s="7" t="s">
        <v>11</v>
      </c>
    </row>
    <row r="265" spans="1:8" s="13" customFormat="1" ht="15" customHeight="1">
      <c r="A265" s="7" t="s">
        <v>286</v>
      </c>
      <c r="B265" s="7" t="s">
        <v>67</v>
      </c>
      <c r="C265" s="7" t="s">
        <v>287</v>
      </c>
      <c r="D265" s="7" t="s">
        <v>288</v>
      </c>
      <c r="E265" s="8">
        <v>71</v>
      </c>
      <c r="F265" s="8">
        <v>84.78</v>
      </c>
      <c r="G265" s="9">
        <v>76.512</v>
      </c>
      <c r="H265" s="7" t="s">
        <v>10</v>
      </c>
    </row>
    <row r="266" spans="1:8" s="13" customFormat="1" ht="15" customHeight="1">
      <c r="A266" s="7" t="s">
        <v>286</v>
      </c>
      <c r="B266" s="7" t="s">
        <v>67</v>
      </c>
      <c r="C266" s="7" t="s">
        <v>289</v>
      </c>
      <c r="D266" s="7" t="s">
        <v>290</v>
      </c>
      <c r="E266" s="8">
        <v>69.5</v>
      </c>
      <c r="F266" s="8">
        <v>85.6</v>
      </c>
      <c r="G266" s="9">
        <v>75.94</v>
      </c>
      <c r="H266" s="7" t="s">
        <v>11</v>
      </c>
    </row>
    <row r="267" spans="1:8" s="13" customFormat="1" ht="15" customHeight="1">
      <c r="A267" s="7" t="s">
        <v>286</v>
      </c>
      <c r="B267" s="7" t="s">
        <v>67</v>
      </c>
      <c r="C267" s="7" t="s">
        <v>291</v>
      </c>
      <c r="D267" s="7" t="s">
        <v>292</v>
      </c>
      <c r="E267" s="8">
        <v>67</v>
      </c>
      <c r="F267" s="8">
        <v>79.54</v>
      </c>
      <c r="G267" s="9">
        <v>72.01599999999999</v>
      </c>
      <c r="H267" s="7" t="s">
        <v>11</v>
      </c>
    </row>
    <row r="268" spans="1:8" s="13" customFormat="1" ht="15" customHeight="1">
      <c r="A268" s="7" t="str">
        <f>"2103"</f>
        <v>2103</v>
      </c>
      <c r="B268" s="7" t="s">
        <v>13</v>
      </c>
      <c r="C268" s="7" t="str">
        <f>"周慧莹"</f>
        <v>周慧莹</v>
      </c>
      <c r="D268" s="7" t="str">
        <f>"40125012104"</f>
        <v>40125012104</v>
      </c>
      <c r="E268" s="8">
        <v>77</v>
      </c>
      <c r="F268" s="8">
        <v>83.86</v>
      </c>
      <c r="G268" s="9">
        <v>79.744</v>
      </c>
      <c r="H268" s="7" t="s">
        <v>10</v>
      </c>
    </row>
    <row r="269" spans="1:8" s="13" customFormat="1" ht="15" customHeight="1">
      <c r="A269" s="7" t="str">
        <f>"2103"</f>
        <v>2103</v>
      </c>
      <c r="B269" s="7" t="s">
        <v>13</v>
      </c>
      <c r="C269" s="7" t="str">
        <f>"陈兴璐"</f>
        <v>陈兴璐</v>
      </c>
      <c r="D269" s="7" t="str">
        <f>"40125012113"</f>
        <v>40125012113</v>
      </c>
      <c r="E269" s="8">
        <v>77</v>
      </c>
      <c r="F269" s="8">
        <v>83.42</v>
      </c>
      <c r="G269" s="9">
        <v>79.568</v>
      </c>
      <c r="H269" s="7" t="s">
        <v>11</v>
      </c>
    </row>
    <row r="270" spans="1:8" s="13" customFormat="1" ht="15" customHeight="1">
      <c r="A270" s="7" t="s">
        <v>293</v>
      </c>
      <c r="B270" s="7" t="s">
        <v>28</v>
      </c>
      <c r="C270" s="7" t="s">
        <v>294</v>
      </c>
      <c r="D270" s="7" t="s">
        <v>295</v>
      </c>
      <c r="E270" s="8">
        <v>71</v>
      </c>
      <c r="F270" s="8">
        <v>85.14</v>
      </c>
      <c r="G270" s="9">
        <v>76.656</v>
      </c>
      <c r="H270" s="7" t="s">
        <v>10</v>
      </c>
    </row>
    <row r="271" spans="1:8" s="13" customFormat="1" ht="15" customHeight="1">
      <c r="A271" s="7" t="s">
        <v>293</v>
      </c>
      <c r="B271" s="7" t="s">
        <v>28</v>
      </c>
      <c r="C271" s="7" t="s">
        <v>296</v>
      </c>
      <c r="D271" s="7" t="s">
        <v>297</v>
      </c>
      <c r="E271" s="8">
        <v>68.5</v>
      </c>
      <c r="F271" s="8">
        <v>87.5</v>
      </c>
      <c r="G271" s="9">
        <v>76.1</v>
      </c>
      <c r="H271" s="7" t="s">
        <v>11</v>
      </c>
    </row>
    <row r="272" spans="1:8" s="13" customFormat="1" ht="15" customHeight="1">
      <c r="A272" s="7" t="s">
        <v>293</v>
      </c>
      <c r="B272" s="7" t="s">
        <v>28</v>
      </c>
      <c r="C272" s="7" t="s">
        <v>298</v>
      </c>
      <c r="D272" s="7" t="s">
        <v>299</v>
      </c>
      <c r="E272" s="8">
        <v>57</v>
      </c>
      <c r="F272" s="8">
        <v>81.5</v>
      </c>
      <c r="G272" s="9">
        <v>66.8</v>
      </c>
      <c r="H272" s="7" t="s">
        <v>11</v>
      </c>
    </row>
    <row r="273" spans="1:8" s="13" customFormat="1" ht="15" customHeight="1">
      <c r="A273" s="7" t="s">
        <v>300</v>
      </c>
      <c r="B273" s="7" t="s">
        <v>51</v>
      </c>
      <c r="C273" s="7" t="s">
        <v>301</v>
      </c>
      <c r="D273" s="7" t="s">
        <v>302</v>
      </c>
      <c r="E273" s="8">
        <v>77</v>
      </c>
      <c r="F273" s="8">
        <v>85.82</v>
      </c>
      <c r="G273" s="9">
        <v>80.52799999999999</v>
      </c>
      <c r="H273" s="7" t="s">
        <v>10</v>
      </c>
    </row>
    <row r="274" spans="1:8" s="13" customFormat="1" ht="15" customHeight="1">
      <c r="A274" s="7" t="s">
        <v>300</v>
      </c>
      <c r="B274" s="7" t="s">
        <v>51</v>
      </c>
      <c r="C274" s="7" t="s">
        <v>303</v>
      </c>
      <c r="D274" s="7" t="s">
        <v>304</v>
      </c>
      <c r="E274" s="8">
        <v>74.5</v>
      </c>
      <c r="F274" s="8">
        <v>85.68</v>
      </c>
      <c r="G274" s="9">
        <v>78.97200000000001</v>
      </c>
      <c r="H274" s="7" t="s">
        <v>11</v>
      </c>
    </row>
    <row r="275" spans="1:8" s="13" customFormat="1" ht="15" customHeight="1">
      <c r="A275" s="7" t="s">
        <v>300</v>
      </c>
      <c r="B275" s="7" t="s">
        <v>51</v>
      </c>
      <c r="C275" s="7" t="s">
        <v>116</v>
      </c>
      <c r="D275" s="7" t="s">
        <v>305</v>
      </c>
      <c r="E275" s="8">
        <v>73</v>
      </c>
      <c r="F275" s="8">
        <v>82.7</v>
      </c>
      <c r="G275" s="9">
        <v>76.88</v>
      </c>
      <c r="H275" s="7" t="s">
        <v>11</v>
      </c>
    </row>
    <row r="276" spans="1:8" s="13" customFormat="1" ht="15" customHeight="1">
      <c r="A276" s="7" t="str">
        <f>"2106"</f>
        <v>2106</v>
      </c>
      <c r="B276" s="7" t="s">
        <v>29</v>
      </c>
      <c r="C276" s="7" t="str">
        <f>"赵子健"</f>
        <v>赵子健</v>
      </c>
      <c r="D276" s="7" t="str">
        <f>"40125014220"</f>
        <v>40125014220</v>
      </c>
      <c r="E276" s="8">
        <v>75</v>
      </c>
      <c r="F276" s="8">
        <v>84.94</v>
      </c>
      <c r="G276" s="9">
        <v>78.976</v>
      </c>
      <c r="H276" s="7" t="s">
        <v>10</v>
      </c>
    </row>
    <row r="277" spans="1:8" s="13" customFormat="1" ht="15" customHeight="1">
      <c r="A277" s="7" t="str">
        <f>"2106"</f>
        <v>2106</v>
      </c>
      <c r="B277" s="7" t="s">
        <v>29</v>
      </c>
      <c r="C277" s="7" t="str">
        <f>"吴海霞"</f>
        <v>吴海霞</v>
      </c>
      <c r="D277" s="7" t="str">
        <f>"40125014221"</f>
        <v>40125014221</v>
      </c>
      <c r="E277" s="8">
        <v>75.5</v>
      </c>
      <c r="F277" s="8">
        <v>81.48</v>
      </c>
      <c r="G277" s="9">
        <v>77.892</v>
      </c>
      <c r="H277" s="7" t="s">
        <v>11</v>
      </c>
    </row>
    <row r="278" spans="1:8" s="13" customFormat="1" ht="15" customHeight="1">
      <c r="A278" s="7" t="str">
        <f>"2106"</f>
        <v>2106</v>
      </c>
      <c r="B278" s="7" t="s">
        <v>29</v>
      </c>
      <c r="C278" s="7" t="str">
        <f>"巍巍"</f>
        <v>巍巍</v>
      </c>
      <c r="D278" s="7" t="str">
        <f>"40125014313"</f>
        <v>40125014313</v>
      </c>
      <c r="E278" s="8">
        <v>73</v>
      </c>
      <c r="F278" s="8">
        <v>84.04</v>
      </c>
      <c r="G278" s="9">
        <v>77.416</v>
      </c>
      <c r="H278" s="7" t="s">
        <v>11</v>
      </c>
    </row>
    <row r="279" spans="1:8" s="13" customFormat="1" ht="15" customHeight="1">
      <c r="A279" s="7" t="s">
        <v>306</v>
      </c>
      <c r="B279" s="7" t="s">
        <v>307</v>
      </c>
      <c r="C279" s="7" t="s">
        <v>308</v>
      </c>
      <c r="D279" s="7" t="s">
        <v>309</v>
      </c>
      <c r="E279" s="8">
        <v>78.5</v>
      </c>
      <c r="F279" s="9">
        <v>83.4</v>
      </c>
      <c r="G279" s="9">
        <v>80.46000000000001</v>
      </c>
      <c r="H279" s="7" t="s">
        <v>10</v>
      </c>
    </row>
    <row r="280" spans="1:8" s="13" customFormat="1" ht="15" customHeight="1">
      <c r="A280" s="7" t="s">
        <v>306</v>
      </c>
      <c r="B280" s="7" t="s">
        <v>307</v>
      </c>
      <c r="C280" s="7" t="s">
        <v>310</v>
      </c>
      <c r="D280" s="7" t="s">
        <v>311</v>
      </c>
      <c r="E280" s="8">
        <v>75</v>
      </c>
      <c r="F280" s="8">
        <v>85.96</v>
      </c>
      <c r="G280" s="9">
        <v>79.384</v>
      </c>
      <c r="H280" s="7" t="s">
        <v>10</v>
      </c>
    </row>
    <row r="281" spans="1:8" s="13" customFormat="1" ht="15" customHeight="1">
      <c r="A281" s="7" t="s">
        <v>306</v>
      </c>
      <c r="B281" s="7" t="s">
        <v>307</v>
      </c>
      <c r="C281" s="7" t="s">
        <v>312</v>
      </c>
      <c r="D281" s="7" t="s">
        <v>313</v>
      </c>
      <c r="E281" s="8">
        <v>72</v>
      </c>
      <c r="F281" s="8">
        <v>85.86</v>
      </c>
      <c r="G281" s="9">
        <v>77.544</v>
      </c>
      <c r="H281" s="7" t="s">
        <v>10</v>
      </c>
    </row>
    <row r="282" spans="1:8" s="13" customFormat="1" ht="15" customHeight="1">
      <c r="A282" s="7" t="s">
        <v>306</v>
      </c>
      <c r="B282" s="7" t="s">
        <v>307</v>
      </c>
      <c r="C282" s="7" t="s">
        <v>314</v>
      </c>
      <c r="D282" s="7" t="s">
        <v>315</v>
      </c>
      <c r="E282" s="8">
        <v>71.5</v>
      </c>
      <c r="F282" s="8">
        <v>85.38</v>
      </c>
      <c r="G282" s="9">
        <v>77.05199999999999</v>
      </c>
      <c r="H282" s="7" t="s">
        <v>10</v>
      </c>
    </row>
    <row r="283" spans="1:8" s="13" customFormat="1" ht="15" customHeight="1">
      <c r="A283" s="7" t="s">
        <v>306</v>
      </c>
      <c r="B283" s="7" t="s">
        <v>307</v>
      </c>
      <c r="C283" s="7" t="s">
        <v>316</v>
      </c>
      <c r="D283" s="7" t="s">
        <v>317</v>
      </c>
      <c r="E283" s="8">
        <v>71.5</v>
      </c>
      <c r="F283" s="8">
        <v>85.24</v>
      </c>
      <c r="G283" s="9">
        <v>76.996</v>
      </c>
      <c r="H283" s="7" t="s">
        <v>11</v>
      </c>
    </row>
    <row r="284" spans="1:8" s="13" customFormat="1" ht="15" customHeight="1">
      <c r="A284" s="7" t="s">
        <v>306</v>
      </c>
      <c r="B284" s="7" t="s">
        <v>307</v>
      </c>
      <c r="C284" s="7" t="s">
        <v>318</v>
      </c>
      <c r="D284" s="7" t="s">
        <v>319</v>
      </c>
      <c r="E284" s="8">
        <v>73</v>
      </c>
      <c r="F284" s="8">
        <v>80.26</v>
      </c>
      <c r="G284" s="9">
        <v>75.904</v>
      </c>
      <c r="H284" s="7" t="s">
        <v>11</v>
      </c>
    </row>
    <row r="285" spans="1:8" s="13" customFormat="1" ht="15" customHeight="1">
      <c r="A285" s="7" t="s">
        <v>306</v>
      </c>
      <c r="B285" s="7" t="s">
        <v>307</v>
      </c>
      <c r="C285" s="7" t="s">
        <v>320</v>
      </c>
      <c r="D285" s="7" t="s">
        <v>321</v>
      </c>
      <c r="E285" s="8">
        <v>71</v>
      </c>
      <c r="F285" s="8">
        <v>82.98</v>
      </c>
      <c r="G285" s="9">
        <v>75.792</v>
      </c>
      <c r="H285" s="7" t="s">
        <v>11</v>
      </c>
    </row>
    <row r="286" spans="1:8" s="13" customFormat="1" ht="15" customHeight="1">
      <c r="A286" s="7" t="s">
        <v>306</v>
      </c>
      <c r="B286" s="7" t="s">
        <v>307</v>
      </c>
      <c r="C286" s="7" t="s">
        <v>322</v>
      </c>
      <c r="D286" s="7" t="s">
        <v>323</v>
      </c>
      <c r="E286" s="8">
        <v>74</v>
      </c>
      <c r="F286" s="9">
        <v>77.6</v>
      </c>
      <c r="G286" s="9">
        <v>75.44</v>
      </c>
      <c r="H286" s="7" t="s">
        <v>11</v>
      </c>
    </row>
    <row r="287" spans="1:8" s="13" customFormat="1" ht="15" customHeight="1">
      <c r="A287" s="7" t="s">
        <v>306</v>
      </c>
      <c r="B287" s="7" t="s">
        <v>307</v>
      </c>
      <c r="C287" s="7" t="s">
        <v>324</v>
      </c>
      <c r="D287" s="7" t="s">
        <v>325</v>
      </c>
      <c r="E287" s="8">
        <v>64.5</v>
      </c>
      <c r="F287" s="8">
        <v>79.94</v>
      </c>
      <c r="G287" s="9">
        <v>70.67599999999999</v>
      </c>
      <c r="H287" s="7" t="s">
        <v>11</v>
      </c>
    </row>
    <row r="288" spans="1:8" s="13" customFormat="1" ht="15" customHeight="1">
      <c r="A288" s="7" t="s">
        <v>326</v>
      </c>
      <c r="B288" s="7" t="s">
        <v>327</v>
      </c>
      <c r="C288" s="7" t="s">
        <v>328</v>
      </c>
      <c r="D288" s="7" t="s">
        <v>329</v>
      </c>
      <c r="E288" s="8">
        <v>75.5</v>
      </c>
      <c r="F288" s="9">
        <v>87.8</v>
      </c>
      <c r="G288" s="9">
        <v>80.41999999999999</v>
      </c>
      <c r="H288" s="7" t="s">
        <v>10</v>
      </c>
    </row>
    <row r="289" spans="1:8" s="13" customFormat="1" ht="15" customHeight="1">
      <c r="A289" s="7" t="s">
        <v>326</v>
      </c>
      <c r="B289" s="7" t="s">
        <v>327</v>
      </c>
      <c r="C289" s="7" t="s">
        <v>330</v>
      </c>
      <c r="D289" s="7" t="s">
        <v>331</v>
      </c>
      <c r="E289" s="8">
        <v>73.5</v>
      </c>
      <c r="F289" s="8">
        <v>84.54</v>
      </c>
      <c r="G289" s="9">
        <v>77.916</v>
      </c>
      <c r="H289" s="7" t="s">
        <v>10</v>
      </c>
    </row>
    <row r="290" spans="1:8" s="13" customFormat="1" ht="15" customHeight="1">
      <c r="A290" s="7" t="s">
        <v>326</v>
      </c>
      <c r="B290" s="7" t="s">
        <v>327</v>
      </c>
      <c r="C290" s="7" t="s">
        <v>332</v>
      </c>
      <c r="D290" s="7" t="s">
        <v>333</v>
      </c>
      <c r="E290" s="8">
        <v>72</v>
      </c>
      <c r="F290" s="8">
        <v>86.15</v>
      </c>
      <c r="G290" s="9">
        <v>77.66</v>
      </c>
      <c r="H290" s="7" t="s">
        <v>11</v>
      </c>
    </row>
    <row r="291" spans="1:8" s="13" customFormat="1" ht="15" customHeight="1">
      <c r="A291" s="7" t="s">
        <v>326</v>
      </c>
      <c r="B291" s="7" t="s">
        <v>327</v>
      </c>
      <c r="C291" s="7" t="s">
        <v>334</v>
      </c>
      <c r="D291" s="7" t="s">
        <v>335</v>
      </c>
      <c r="E291" s="8">
        <v>73.5</v>
      </c>
      <c r="F291" s="9">
        <v>83.7</v>
      </c>
      <c r="G291" s="9">
        <v>77.58000000000001</v>
      </c>
      <c r="H291" s="7" t="s">
        <v>11</v>
      </c>
    </row>
    <row r="292" spans="1:8" s="13" customFormat="1" ht="15" customHeight="1">
      <c r="A292" s="7" t="s">
        <v>326</v>
      </c>
      <c r="B292" s="7" t="s">
        <v>327</v>
      </c>
      <c r="C292" s="7" t="s">
        <v>336</v>
      </c>
      <c r="D292" s="7" t="s">
        <v>337</v>
      </c>
      <c r="E292" s="8">
        <v>72.5</v>
      </c>
      <c r="F292" s="8">
        <v>84.81</v>
      </c>
      <c r="G292" s="9">
        <v>77.424</v>
      </c>
      <c r="H292" s="7" t="s">
        <v>11</v>
      </c>
    </row>
    <row r="293" spans="1:8" s="13" customFormat="1" ht="15" customHeight="1">
      <c r="A293" s="7" t="s">
        <v>326</v>
      </c>
      <c r="B293" s="7" t="s">
        <v>327</v>
      </c>
      <c r="C293" s="7" t="s">
        <v>338</v>
      </c>
      <c r="D293" s="7" t="s">
        <v>339</v>
      </c>
      <c r="E293" s="8">
        <v>72.5</v>
      </c>
      <c r="F293" s="8">
        <v>84.05</v>
      </c>
      <c r="G293" s="9">
        <v>77.12</v>
      </c>
      <c r="H293" s="7" t="s">
        <v>11</v>
      </c>
    </row>
    <row r="294" spans="1:8" s="13" customFormat="1" ht="15" customHeight="1">
      <c r="A294" s="7" t="s">
        <v>326</v>
      </c>
      <c r="B294" s="7" t="s">
        <v>327</v>
      </c>
      <c r="C294" s="7" t="s">
        <v>340</v>
      </c>
      <c r="D294" s="7" t="s">
        <v>341</v>
      </c>
      <c r="E294" s="8">
        <v>72</v>
      </c>
      <c r="F294" s="9">
        <v>78.5</v>
      </c>
      <c r="G294" s="9">
        <v>74.6</v>
      </c>
      <c r="H294" s="7" t="s">
        <v>11</v>
      </c>
    </row>
    <row r="295" spans="1:8" s="13" customFormat="1" ht="15" customHeight="1">
      <c r="A295" s="7" t="str">
        <f>"2109"</f>
        <v>2109</v>
      </c>
      <c r="B295" s="7" t="s">
        <v>342</v>
      </c>
      <c r="C295" s="7" t="str">
        <f>"吕巍"</f>
        <v>吕巍</v>
      </c>
      <c r="D295" s="7" t="str">
        <f>"20125015007"</f>
        <v>20125015007</v>
      </c>
      <c r="E295" s="8">
        <v>78.5</v>
      </c>
      <c r="F295" s="8">
        <v>82.3</v>
      </c>
      <c r="G295" s="9">
        <v>80.02000000000001</v>
      </c>
      <c r="H295" s="7" t="s">
        <v>10</v>
      </c>
    </row>
    <row r="296" spans="1:8" s="13" customFormat="1" ht="15" customHeight="1">
      <c r="A296" s="7" t="str">
        <f>"2109"</f>
        <v>2109</v>
      </c>
      <c r="B296" s="7" t="s">
        <v>342</v>
      </c>
      <c r="C296" s="7" t="str">
        <f>"于德强"</f>
        <v>于德强</v>
      </c>
      <c r="D296" s="7" t="str">
        <f>"20125015014"</f>
        <v>20125015014</v>
      </c>
      <c r="E296" s="8">
        <v>74.5</v>
      </c>
      <c r="F296" s="8">
        <v>84.28</v>
      </c>
      <c r="G296" s="9">
        <v>78.412</v>
      </c>
      <c r="H296" s="7" t="s">
        <v>11</v>
      </c>
    </row>
    <row r="297" spans="1:8" s="13" customFormat="1" ht="15" customHeight="1">
      <c r="A297" s="7" t="str">
        <f>"2109"</f>
        <v>2109</v>
      </c>
      <c r="B297" s="7" t="s">
        <v>342</v>
      </c>
      <c r="C297" s="7" t="str">
        <f>"赵新宇"</f>
        <v>赵新宇</v>
      </c>
      <c r="D297" s="7" t="str">
        <f>"20125015115"</f>
        <v>20125015115</v>
      </c>
      <c r="E297" s="8">
        <v>76</v>
      </c>
      <c r="F297" s="8">
        <v>81.92</v>
      </c>
      <c r="G297" s="9">
        <v>78.368</v>
      </c>
      <c r="H297" s="7" t="s">
        <v>11</v>
      </c>
    </row>
    <row r="298" spans="1:8" s="13" customFormat="1" ht="15" customHeight="1">
      <c r="A298" s="7" t="s">
        <v>343</v>
      </c>
      <c r="B298" s="7" t="s">
        <v>344</v>
      </c>
      <c r="C298" s="7" t="s">
        <v>206</v>
      </c>
      <c r="D298" s="7" t="s">
        <v>345</v>
      </c>
      <c r="E298" s="8">
        <v>74</v>
      </c>
      <c r="F298" s="8">
        <v>84.22</v>
      </c>
      <c r="G298" s="9">
        <v>78.088</v>
      </c>
      <c r="H298" s="7" t="s">
        <v>10</v>
      </c>
    </row>
    <row r="299" spans="1:8" s="13" customFormat="1" ht="15" customHeight="1">
      <c r="A299" s="7" t="s">
        <v>343</v>
      </c>
      <c r="B299" s="7" t="s">
        <v>344</v>
      </c>
      <c r="C299" s="7" t="s">
        <v>346</v>
      </c>
      <c r="D299" s="7" t="s">
        <v>347</v>
      </c>
      <c r="E299" s="8">
        <v>70.5</v>
      </c>
      <c r="F299" s="8">
        <v>88.8</v>
      </c>
      <c r="G299" s="9">
        <v>77.82</v>
      </c>
      <c r="H299" s="7" t="s">
        <v>11</v>
      </c>
    </row>
    <row r="300" spans="1:8" s="13" customFormat="1" ht="15" customHeight="1">
      <c r="A300" s="7" t="s">
        <v>343</v>
      </c>
      <c r="B300" s="7" t="s">
        <v>344</v>
      </c>
      <c r="C300" s="7" t="s">
        <v>348</v>
      </c>
      <c r="D300" s="7" t="s">
        <v>349</v>
      </c>
      <c r="E300" s="8">
        <v>63.5</v>
      </c>
      <c r="F300" s="8">
        <v>0</v>
      </c>
      <c r="G300" s="9">
        <v>38.1</v>
      </c>
      <c r="H300" s="7" t="s">
        <v>11</v>
      </c>
    </row>
    <row r="301" spans="1:8" s="13" customFormat="1" ht="15" customHeight="1">
      <c r="A301" s="7" t="str">
        <f>"2111"</f>
        <v>2111</v>
      </c>
      <c r="B301" s="7" t="s">
        <v>350</v>
      </c>
      <c r="C301" s="7" t="str">
        <f>"齐长波"</f>
        <v>齐长波</v>
      </c>
      <c r="D301" s="7" t="str">
        <f>"20125015328"</f>
        <v>20125015328</v>
      </c>
      <c r="E301" s="8">
        <v>79.5</v>
      </c>
      <c r="F301" s="8">
        <v>82.48</v>
      </c>
      <c r="G301" s="9">
        <v>80.69200000000001</v>
      </c>
      <c r="H301" s="7" t="s">
        <v>10</v>
      </c>
    </row>
    <row r="302" spans="1:8" s="13" customFormat="1" ht="15" customHeight="1">
      <c r="A302" s="7" t="str">
        <f>"2111"</f>
        <v>2111</v>
      </c>
      <c r="B302" s="7" t="s">
        <v>350</v>
      </c>
      <c r="C302" s="7" t="str">
        <f>"任建旭"</f>
        <v>任建旭</v>
      </c>
      <c r="D302" s="7" t="str">
        <f>"20125015329"</f>
        <v>20125015329</v>
      </c>
      <c r="E302" s="8">
        <v>73.5</v>
      </c>
      <c r="F302" s="8">
        <v>85.52</v>
      </c>
      <c r="G302" s="9">
        <v>78.30799999999999</v>
      </c>
      <c r="H302" s="7" t="s">
        <v>10</v>
      </c>
    </row>
    <row r="303" spans="1:8" s="13" customFormat="1" ht="15" customHeight="1">
      <c r="A303" s="7" t="str">
        <f>"2111"</f>
        <v>2111</v>
      </c>
      <c r="B303" s="7" t="s">
        <v>350</v>
      </c>
      <c r="C303" s="7" t="str">
        <f>"那日苏"</f>
        <v>那日苏</v>
      </c>
      <c r="D303" s="7" t="str">
        <f>"20125015227"</f>
        <v>20125015227</v>
      </c>
      <c r="E303" s="8">
        <v>74.5</v>
      </c>
      <c r="F303" s="8">
        <v>81.68</v>
      </c>
      <c r="G303" s="9">
        <v>77.372</v>
      </c>
      <c r="H303" s="7" t="s">
        <v>11</v>
      </c>
    </row>
    <row r="304" spans="1:8" s="13" customFormat="1" ht="15" customHeight="1">
      <c r="A304" s="7" t="str">
        <f>"2111"</f>
        <v>2111</v>
      </c>
      <c r="B304" s="7" t="s">
        <v>350</v>
      </c>
      <c r="C304" s="7" t="str">
        <f>"李佳宝"</f>
        <v>李佳宝</v>
      </c>
      <c r="D304" s="7" t="str">
        <f>"20125015230"</f>
        <v>20125015230</v>
      </c>
      <c r="E304" s="8">
        <v>73</v>
      </c>
      <c r="F304" s="8">
        <v>83.18</v>
      </c>
      <c r="G304" s="9">
        <v>77.072</v>
      </c>
      <c r="H304" s="7" t="s">
        <v>11</v>
      </c>
    </row>
    <row r="305" spans="1:8" s="13" customFormat="1" ht="15" customHeight="1">
      <c r="A305" s="7" t="str">
        <f>"2111"</f>
        <v>2111</v>
      </c>
      <c r="B305" s="7" t="s">
        <v>350</v>
      </c>
      <c r="C305" s="7" t="str">
        <f>"张晓龙"</f>
        <v>张晓龙</v>
      </c>
      <c r="D305" s="7" t="str">
        <f>"20125015303"</f>
        <v>20125015303</v>
      </c>
      <c r="E305" s="8">
        <v>71.5</v>
      </c>
      <c r="F305" s="8">
        <v>81.74</v>
      </c>
      <c r="G305" s="9">
        <v>75.596</v>
      </c>
      <c r="H305" s="7" t="s">
        <v>11</v>
      </c>
    </row>
    <row r="306" spans="1:8" s="13" customFormat="1" ht="15" customHeight="1">
      <c r="A306" s="7" t="str">
        <f>"2112"</f>
        <v>2112</v>
      </c>
      <c r="B306" s="7" t="s">
        <v>351</v>
      </c>
      <c r="C306" s="7" t="str">
        <f>"张爽"</f>
        <v>张爽</v>
      </c>
      <c r="D306" s="7" t="str">
        <f>"20125015419"</f>
        <v>20125015419</v>
      </c>
      <c r="E306" s="8">
        <v>69.5</v>
      </c>
      <c r="F306" s="8">
        <v>80.84</v>
      </c>
      <c r="G306" s="9">
        <v>74.036</v>
      </c>
      <c r="H306" s="7" t="s">
        <v>11</v>
      </c>
    </row>
    <row r="307" spans="1:8" s="13" customFormat="1" ht="15" customHeight="1">
      <c r="A307" s="7" t="str">
        <f>"2113"</f>
        <v>2113</v>
      </c>
      <c r="B307" s="7" t="s">
        <v>352</v>
      </c>
      <c r="C307" s="7" t="str">
        <f>"文飞飞"</f>
        <v>文飞飞</v>
      </c>
      <c r="D307" s="7" t="str">
        <f>"20125015422"</f>
        <v>20125015422</v>
      </c>
      <c r="E307" s="8">
        <v>73</v>
      </c>
      <c r="F307" s="8">
        <v>85.12</v>
      </c>
      <c r="G307" s="9">
        <v>77.848</v>
      </c>
      <c r="H307" s="7" t="s">
        <v>10</v>
      </c>
    </row>
    <row r="308" spans="1:8" s="13" customFormat="1" ht="15" customHeight="1">
      <c r="A308" s="7" t="str">
        <f>"2113"</f>
        <v>2113</v>
      </c>
      <c r="B308" s="7" t="s">
        <v>352</v>
      </c>
      <c r="C308" s="7" t="str">
        <f>"吕福新"</f>
        <v>吕福新</v>
      </c>
      <c r="D308" s="7" t="str">
        <f>"20125015602"</f>
        <v>20125015602</v>
      </c>
      <c r="E308" s="8">
        <v>71</v>
      </c>
      <c r="F308" s="8">
        <v>80.34</v>
      </c>
      <c r="G308" s="9">
        <v>74.736</v>
      </c>
      <c r="H308" s="7" t="s">
        <v>11</v>
      </c>
    </row>
    <row r="309" spans="1:8" s="13" customFormat="1" ht="15" customHeight="1">
      <c r="A309" s="7" t="str">
        <f>"2113"</f>
        <v>2113</v>
      </c>
      <c r="B309" s="7" t="s">
        <v>352</v>
      </c>
      <c r="C309" s="7" t="str">
        <f>"李佳慧"</f>
        <v>李佳慧</v>
      </c>
      <c r="D309" s="7" t="str">
        <f>"20125015424"</f>
        <v>20125015424</v>
      </c>
      <c r="E309" s="8">
        <v>71.5</v>
      </c>
      <c r="F309" s="8" t="s">
        <v>58</v>
      </c>
      <c r="G309" s="9">
        <v>42.9</v>
      </c>
      <c r="H309" s="7" t="s">
        <v>11</v>
      </c>
    </row>
    <row r="310" spans="1:8" s="13" customFormat="1" ht="15" customHeight="1">
      <c r="A310" s="7" t="str">
        <f>"2114"</f>
        <v>2114</v>
      </c>
      <c r="B310" s="7" t="s">
        <v>353</v>
      </c>
      <c r="C310" s="7" t="str">
        <f>"卜凡杰"</f>
        <v>卜凡杰</v>
      </c>
      <c r="D310" s="7" t="str">
        <f>"20125015609"</f>
        <v>20125015609</v>
      </c>
      <c r="E310" s="8">
        <v>65</v>
      </c>
      <c r="F310" s="8">
        <v>78.94</v>
      </c>
      <c r="G310" s="9">
        <v>70.576</v>
      </c>
      <c r="H310" s="7" t="s">
        <v>10</v>
      </c>
    </row>
    <row r="311" spans="1:8" s="13" customFormat="1" ht="15" customHeight="1">
      <c r="A311" s="7" t="str">
        <f>"2114"</f>
        <v>2114</v>
      </c>
      <c r="B311" s="7" t="s">
        <v>353</v>
      </c>
      <c r="C311" s="7" t="str">
        <f>"崔英豪"</f>
        <v>崔英豪</v>
      </c>
      <c r="D311" s="7" t="str">
        <f>"20125015610"</f>
        <v>20125015610</v>
      </c>
      <c r="E311" s="8">
        <v>60</v>
      </c>
      <c r="F311" s="8">
        <v>81.26</v>
      </c>
      <c r="G311" s="9">
        <v>68.504</v>
      </c>
      <c r="H311" s="7" t="s">
        <v>11</v>
      </c>
    </row>
    <row r="312" spans="1:8" s="13" customFormat="1" ht="15" customHeight="1">
      <c r="A312" s="7" t="str">
        <f>"2114"</f>
        <v>2114</v>
      </c>
      <c r="B312" s="7" t="s">
        <v>353</v>
      </c>
      <c r="C312" s="7" t="str">
        <f>"白音宝力高"</f>
        <v>白音宝力高</v>
      </c>
      <c r="D312" s="7" t="str">
        <f>"20125014604"</f>
        <v>20125014604</v>
      </c>
      <c r="E312" s="8">
        <v>55.5</v>
      </c>
      <c r="F312" s="8">
        <v>76.98</v>
      </c>
      <c r="G312" s="9">
        <v>64.092</v>
      </c>
      <c r="H312" s="7" t="s">
        <v>11</v>
      </c>
    </row>
    <row r="313" spans="1:8" s="13" customFormat="1" ht="15" customHeight="1">
      <c r="A313" s="7" t="s">
        <v>354</v>
      </c>
      <c r="B313" s="7" t="s">
        <v>355</v>
      </c>
      <c r="C313" s="7" t="s">
        <v>356</v>
      </c>
      <c r="D313" s="7" t="s">
        <v>357</v>
      </c>
      <c r="E313" s="8">
        <v>71</v>
      </c>
      <c r="F313" s="8">
        <v>85.16</v>
      </c>
      <c r="G313" s="9">
        <v>76.664</v>
      </c>
      <c r="H313" s="7" t="s">
        <v>10</v>
      </c>
    </row>
    <row r="314" spans="1:8" s="13" customFormat="1" ht="15" customHeight="1">
      <c r="A314" s="7" t="s">
        <v>354</v>
      </c>
      <c r="B314" s="7" t="s">
        <v>355</v>
      </c>
      <c r="C314" s="7" t="s">
        <v>358</v>
      </c>
      <c r="D314" s="7" t="s">
        <v>359</v>
      </c>
      <c r="E314" s="8">
        <v>68.5</v>
      </c>
      <c r="F314" s="8">
        <v>77.86</v>
      </c>
      <c r="G314" s="9">
        <v>72.244</v>
      </c>
      <c r="H314" s="7" t="s">
        <v>11</v>
      </c>
    </row>
    <row r="315" spans="1:8" s="13" customFormat="1" ht="15" customHeight="1">
      <c r="A315" s="7" t="s">
        <v>354</v>
      </c>
      <c r="B315" s="7" t="s">
        <v>355</v>
      </c>
      <c r="C315" s="7" t="s">
        <v>360</v>
      </c>
      <c r="D315" s="7" t="s">
        <v>361</v>
      </c>
      <c r="E315" s="8">
        <v>68</v>
      </c>
      <c r="F315" s="8">
        <v>75.56</v>
      </c>
      <c r="G315" s="9">
        <v>71.024</v>
      </c>
      <c r="H315" s="7" t="s">
        <v>11</v>
      </c>
    </row>
    <row r="316" spans="1:8" s="13" customFormat="1" ht="15" customHeight="1">
      <c r="A316" s="7" t="str">
        <f>"2116"</f>
        <v>2116</v>
      </c>
      <c r="B316" s="7" t="s">
        <v>362</v>
      </c>
      <c r="C316" s="7" t="str">
        <f>"杨木仁"</f>
        <v>杨木仁</v>
      </c>
      <c r="D316" s="7" t="str">
        <f>"20125015722"</f>
        <v>20125015722</v>
      </c>
      <c r="E316" s="8">
        <v>79</v>
      </c>
      <c r="F316" s="8">
        <v>83.76</v>
      </c>
      <c r="G316" s="9">
        <v>80.904</v>
      </c>
      <c r="H316" s="7" t="s">
        <v>10</v>
      </c>
    </row>
    <row r="317" spans="1:8" s="13" customFormat="1" ht="15" customHeight="1">
      <c r="A317" s="7" t="str">
        <f>"2116"</f>
        <v>2116</v>
      </c>
      <c r="B317" s="7" t="s">
        <v>362</v>
      </c>
      <c r="C317" s="7" t="str">
        <f>"包大川"</f>
        <v>包大川</v>
      </c>
      <c r="D317" s="7" t="str">
        <f>"20125015922"</f>
        <v>20125015922</v>
      </c>
      <c r="E317" s="8">
        <v>79.5</v>
      </c>
      <c r="F317" s="8">
        <v>82.72</v>
      </c>
      <c r="G317" s="9">
        <v>80.788</v>
      </c>
      <c r="H317" s="7" t="s">
        <v>11</v>
      </c>
    </row>
    <row r="318" spans="1:8" s="13" customFormat="1" ht="15" customHeight="1">
      <c r="A318" s="7" t="str">
        <f>"2116"</f>
        <v>2116</v>
      </c>
      <c r="B318" s="7" t="s">
        <v>362</v>
      </c>
      <c r="C318" s="7" t="str">
        <f>"刘辰阳"</f>
        <v>刘辰阳</v>
      </c>
      <c r="D318" s="7" t="str">
        <f>"20125015726"</f>
        <v>20125015726</v>
      </c>
      <c r="E318" s="8">
        <v>80</v>
      </c>
      <c r="F318" s="8">
        <v>80.58</v>
      </c>
      <c r="G318" s="9">
        <v>80.232</v>
      </c>
      <c r="H318" s="7" t="s">
        <v>11</v>
      </c>
    </row>
    <row r="319" spans="1:8" s="13" customFormat="1" ht="15" customHeight="1">
      <c r="A319" s="7" t="str">
        <f>"2117-1"</f>
        <v>2117-1</v>
      </c>
      <c r="B319" s="7" t="s">
        <v>363</v>
      </c>
      <c r="C319" s="7" t="str">
        <f>"王岩峰"</f>
        <v>王岩峰</v>
      </c>
      <c r="D319" s="7" t="str">
        <f>"20125016023"</f>
        <v>20125016023</v>
      </c>
      <c r="E319" s="8">
        <v>78.5</v>
      </c>
      <c r="F319" s="8">
        <v>85.66</v>
      </c>
      <c r="G319" s="9">
        <v>81.364</v>
      </c>
      <c r="H319" s="7" t="s">
        <v>10</v>
      </c>
    </row>
    <row r="320" spans="1:8" s="13" customFormat="1" ht="15" customHeight="1">
      <c r="A320" s="7" t="str">
        <f>"2117-1"</f>
        <v>2117-1</v>
      </c>
      <c r="B320" s="7" t="s">
        <v>363</v>
      </c>
      <c r="C320" s="7" t="str">
        <f>"马英"</f>
        <v>马英</v>
      </c>
      <c r="D320" s="7" t="str">
        <f>"20125016021"</f>
        <v>20125016021</v>
      </c>
      <c r="E320" s="8">
        <v>76.5</v>
      </c>
      <c r="F320" s="8">
        <v>83.1</v>
      </c>
      <c r="G320" s="9">
        <v>79.14</v>
      </c>
      <c r="H320" s="7" t="s">
        <v>11</v>
      </c>
    </row>
    <row r="321" spans="1:8" s="13" customFormat="1" ht="15" customHeight="1">
      <c r="A321" s="7" t="str">
        <f>"2117-1"</f>
        <v>2117-1</v>
      </c>
      <c r="B321" s="7" t="s">
        <v>363</v>
      </c>
      <c r="C321" s="7" t="str">
        <f>"寇红鹤"</f>
        <v>寇红鹤</v>
      </c>
      <c r="D321" s="7" t="str">
        <f>"20125016020"</f>
        <v>20125016020</v>
      </c>
      <c r="E321" s="8">
        <v>72.5</v>
      </c>
      <c r="F321" s="8" t="s">
        <v>58</v>
      </c>
      <c r="G321" s="9">
        <v>43.5</v>
      </c>
      <c r="H321" s="7" t="s">
        <v>11</v>
      </c>
    </row>
    <row r="322" spans="1:8" s="13" customFormat="1" ht="15" customHeight="1">
      <c r="A322" s="7" t="str">
        <f>"2118"</f>
        <v>2118</v>
      </c>
      <c r="B322" s="7" t="s">
        <v>364</v>
      </c>
      <c r="C322" s="7" t="str">
        <f>"张庄"</f>
        <v>张庄</v>
      </c>
      <c r="D322" s="7" t="str">
        <f>"20125016107"</f>
        <v>20125016107</v>
      </c>
      <c r="E322" s="8">
        <v>79</v>
      </c>
      <c r="F322" s="8">
        <v>83.3</v>
      </c>
      <c r="G322" s="9">
        <v>80.72</v>
      </c>
      <c r="H322" s="7" t="s">
        <v>10</v>
      </c>
    </row>
    <row r="323" spans="1:8" s="13" customFormat="1" ht="15" customHeight="1">
      <c r="A323" s="7" t="str">
        <f>"2118"</f>
        <v>2118</v>
      </c>
      <c r="B323" s="7" t="s">
        <v>364</v>
      </c>
      <c r="C323" s="7" t="str">
        <f>"于洋"</f>
        <v>于洋</v>
      </c>
      <c r="D323" s="7" t="str">
        <f>"20125016026"</f>
        <v>20125016026</v>
      </c>
      <c r="E323" s="8">
        <v>66.5</v>
      </c>
      <c r="F323" s="8">
        <v>81.92</v>
      </c>
      <c r="G323" s="9">
        <v>72.668</v>
      </c>
      <c r="H323" s="7" t="s">
        <v>11</v>
      </c>
    </row>
    <row r="324" spans="1:8" s="13" customFormat="1" ht="15" customHeight="1">
      <c r="A324" s="7" t="str">
        <f>"2118"</f>
        <v>2118</v>
      </c>
      <c r="B324" s="7" t="s">
        <v>364</v>
      </c>
      <c r="C324" s="7" t="str">
        <f>"王晓晟"</f>
        <v>王晓晟</v>
      </c>
      <c r="D324" s="7" t="str">
        <f>"20125016109"</f>
        <v>20125016109</v>
      </c>
      <c r="E324" s="8">
        <v>68</v>
      </c>
      <c r="F324" s="8">
        <v>79.24</v>
      </c>
      <c r="G324" s="9">
        <v>72.496</v>
      </c>
      <c r="H324" s="7" t="s">
        <v>11</v>
      </c>
    </row>
    <row r="325" spans="1:8" s="13" customFormat="1" ht="15" customHeight="1">
      <c r="A325" s="7" t="str">
        <f aca="true" t="shared" si="2" ref="A325:A333">"2119"</f>
        <v>2119</v>
      </c>
      <c r="B325" s="7" t="s">
        <v>365</v>
      </c>
      <c r="C325" s="7" t="str">
        <f>"白艳芳"</f>
        <v>白艳芳</v>
      </c>
      <c r="D325" s="7" t="str">
        <f>"20125016117"</f>
        <v>20125016117</v>
      </c>
      <c r="E325" s="8">
        <v>68</v>
      </c>
      <c r="F325" s="17">
        <v>89.12</v>
      </c>
      <c r="G325" s="9">
        <v>76.44800000000001</v>
      </c>
      <c r="H325" s="7" t="s">
        <v>10</v>
      </c>
    </row>
    <row r="326" spans="1:8" s="13" customFormat="1" ht="15" customHeight="1">
      <c r="A326" s="7" t="str">
        <f t="shared" si="2"/>
        <v>2119</v>
      </c>
      <c r="B326" s="7" t="s">
        <v>365</v>
      </c>
      <c r="C326" s="7" t="str">
        <f>"宝柱"</f>
        <v>宝柱</v>
      </c>
      <c r="D326" s="7" t="str">
        <f>"20125016115"</f>
        <v>20125016115</v>
      </c>
      <c r="E326" s="8">
        <v>72</v>
      </c>
      <c r="F326" s="17">
        <v>80.58</v>
      </c>
      <c r="G326" s="9">
        <v>75.43199999999999</v>
      </c>
      <c r="H326" s="7" t="s">
        <v>10</v>
      </c>
    </row>
    <row r="327" spans="1:8" s="13" customFormat="1" ht="15" customHeight="1">
      <c r="A327" s="7" t="str">
        <f t="shared" si="2"/>
        <v>2119</v>
      </c>
      <c r="B327" s="7" t="s">
        <v>365</v>
      </c>
      <c r="C327" s="7" t="str">
        <f>"乌力汗"</f>
        <v>乌力汗</v>
      </c>
      <c r="D327" s="7" t="str">
        <f>"20125016125"</f>
        <v>20125016125</v>
      </c>
      <c r="E327" s="8">
        <v>66.5</v>
      </c>
      <c r="F327" s="18" t="s">
        <v>366</v>
      </c>
      <c r="G327" s="9">
        <v>74.34</v>
      </c>
      <c r="H327" s="7" t="s">
        <v>10</v>
      </c>
    </row>
    <row r="328" spans="1:8" s="13" customFormat="1" ht="15" customHeight="1">
      <c r="A328" s="7" t="str">
        <f t="shared" si="2"/>
        <v>2119</v>
      </c>
      <c r="B328" s="7" t="s">
        <v>365</v>
      </c>
      <c r="C328" s="7" t="str">
        <f>"宁鑫"</f>
        <v>宁鑫</v>
      </c>
      <c r="D328" s="7" t="str">
        <f>"20125016128"</f>
        <v>20125016128</v>
      </c>
      <c r="E328" s="8">
        <v>67</v>
      </c>
      <c r="F328" s="17">
        <v>83.96</v>
      </c>
      <c r="G328" s="9">
        <v>73.78399999999999</v>
      </c>
      <c r="H328" s="7" t="s">
        <v>10</v>
      </c>
    </row>
    <row r="329" spans="1:8" s="13" customFormat="1" ht="15" customHeight="1">
      <c r="A329" s="7" t="str">
        <f t="shared" si="2"/>
        <v>2119</v>
      </c>
      <c r="B329" s="7" t="s">
        <v>365</v>
      </c>
      <c r="C329" s="7" t="str">
        <f>"陈露"</f>
        <v>陈露</v>
      </c>
      <c r="D329" s="7" t="str">
        <f>"20125016116"</f>
        <v>20125016116</v>
      </c>
      <c r="E329" s="8">
        <v>64</v>
      </c>
      <c r="F329" s="17">
        <v>85.58</v>
      </c>
      <c r="G329" s="9">
        <v>72.632</v>
      </c>
      <c r="H329" s="7" t="s">
        <v>11</v>
      </c>
    </row>
    <row r="330" spans="1:8" s="13" customFormat="1" ht="15" customHeight="1">
      <c r="A330" s="7" t="str">
        <f t="shared" si="2"/>
        <v>2119</v>
      </c>
      <c r="B330" s="7" t="s">
        <v>365</v>
      </c>
      <c r="C330" s="7" t="str">
        <f>"玉梅"</f>
        <v>玉梅</v>
      </c>
      <c r="D330" s="7" t="str">
        <f>"20125016130"</f>
        <v>20125016130</v>
      </c>
      <c r="E330" s="8">
        <v>64</v>
      </c>
      <c r="F330" s="17">
        <v>78.62</v>
      </c>
      <c r="G330" s="9">
        <v>69.848</v>
      </c>
      <c r="H330" s="7" t="s">
        <v>11</v>
      </c>
    </row>
    <row r="331" spans="1:8" s="13" customFormat="1" ht="15" customHeight="1">
      <c r="A331" s="7" t="str">
        <f t="shared" si="2"/>
        <v>2119</v>
      </c>
      <c r="B331" s="7" t="s">
        <v>365</v>
      </c>
      <c r="C331" s="7" t="str">
        <f>"王岩"</f>
        <v>王岩</v>
      </c>
      <c r="D331" s="7" t="str">
        <f>"20125016123"</f>
        <v>20125016123</v>
      </c>
      <c r="E331" s="8">
        <v>60.5</v>
      </c>
      <c r="F331" s="18" t="s">
        <v>367</v>
      </c>
      <c r="G331" s="9">
        <v>68.74</v>
      </c>
      <c r="H331" s="7" t="s">
        <v>11</v>
      </c>
    </row>
    <row r="332" spans="1:8" s="13" customFormat="1" ht="15" customHeight="1">
      <c r="A332" s="7" t="str">
        <f t="shared" si="2"/>
        <v>2119</v>
      </c>
      <c r="B332" s="7" t="s">
        <v>365</v>
      </c>
      <c r="C332" s="7" t="str">
        <f>"伍阿力德图"</f>
        <v>伍阿力德图</v>
      </c>
      <c r="D332" s="7" t="str">
        <f>"20125016124"</f>
        <v>20125016124</v>
      </c>
      <c r="E332" s="8">
        <v>58.5</v>
      </c>
      <c r="F332" s="17">
        <v>80.42</v>
      </c>
      <c r="G332" s="9">
        <v>67.268</v>
      </c>
      <c r="H332" s="7" t="s">
        <v>11</v>
      </c>
    </row>
    <row r="333" spans="1:8" s="13" customFormat="1" ht="15" customHeight="1">
      <c r="A333" s="7" t="str">
        <f t="shared" si="2"/>
        <v>2119</v>
      </c>
      <c r="B333" s="7" t="s">
        <v>365</v>
      </c>
      <c r="C333" s="7" t="str">
        <f>"包永平"</f>
        <v>包永平</v>
      </c>
      <c r="D333" s="7" t="str">
        <f>"20125016205"</f>
        <v>20125016205</v>
      </c>
      <c r="E333" s="8">
        <v>59</v>
      </c>
      <c r="F333" s="17">
        <v>76.48</v>
      </c>
      <c r="G333" s="9">
        <v>65.992</v>
      </c>
      <c r="H333" s="7" t="s">
        <v>11</v>
      </c>
    </row>
    <row r="334" spans="1:8" s="13" customFormat="1" ht="15" customHeight="1">
      <c r="A334" s="7" t="str">
        <f>"2120"</f>
        <v>2120</v>
      </c>
      <c r="B334" s="7" t="s">
        <v>368</v>
      </c>
      <c r="C334" s="7" t="str">
        <f>"英雄"</f>
        <v>英雄</v>
      </c>
      <c r="D334" s="7" t="str">
        <f>"20125012112"</f>
        <v>20125012112</v>
      </c>
      <c r="E334" s="8">
        <v>71.5</v>
      </c>
      <c r="F334" s="18" t="s">
        <v>369</v>
      </c>
      <c r="G334" s="9">
        <v>77.06</v>
      </c>
      <c r="H334" s="7" t="s">
        <v>10</v>
      </c>
    </row>
    <row r="335" spans="1:8" s="13" customFormat="1" ht="15" customHeight="1">
      <c r="A335" s="7" t="str">
        <f>"2120"</f>
        <v>2120</v>
      </c>
      <c r="B335" s="7" t="s">
        <v>368</v>
      </c>
      <c r="C335" s="7" t="str">
        <f>"苏都"</f>
        <v>苏都</v>
      </c>
      <c r="D335" s="7" t="str">
        <f>"20125012016"</f>
        <v>20125012016</v>
      </c>
      <c r="E335" s="8">
        <v>71</v>
      </c>
      <c r="F335" s="18" t="s">
        <v>370</v>
      </c>
      <c r="G335" s="9">
        <v>75.48</v>
      </c>
      <c r="H335" s="7" t="s">
        <v>11</v>
      </c>
    </row>
    <row r="336" spans="1:8" s="13" customFormat="1" ht="15" customHeight="1">
      <c r="A336" s="7" t="str">
        <f>"2120"</f>
        <v>2120</v>
      </c>
      <c r="B336" s="7" t="s">
        <v>368</v>
      </c>
      <c r="C336" s="7" t="str">
        <f>"王胜"</f>
        <v>王胜</v>
      </c>
      <c r="D336" s="7" t="str">
        <f>"20125012030"</f>
        <v>20125012030</v>
      </c>
      <c r="E336" s="8">
        <v>69.5</v>
      </c>
      <c r="F336" s="17">
        <v>81.24</v>
      </c>
      <c r="G336" s="9">
        <v>74.196</v>
      </c>
      <c r="H336" s="7" t="s">
        <v>11</v>
      </c>
    </row>
    <row r="337" spans="1:8" s="13" customFormat="1" ht="15" customHeight="1">
      <c r="A337" s="7" t="str">
        <f>"2121"</f>
        <v>2121</v>
      </c>
      <c r="B337" s="7" t="s">
        <v>371</v>
      </c>
      <c r="C337" s="7" t="str">
        <f>"文秀"</f>
        <v>文秀</v>
      </c>
      <c r="D337" s="7" t="str">
        <f>"20125012220"</f>
        <v>20125012220</v>
      </c>
      <c r="E337" s="8">
        <v>69.5</v>
      </c>
      <c r="F337" s="17">
        <v>84.74</v>
      </c>
      <c r="G337" s="9">
        <v>75.596</v>
      </c>
      <c r="H337" s="7" t="s">
        <v>10</v>
      </c>
    </row>
    <row r="338" spans="1:8" s="13" customFormat="1" ht="15" customHeight="1">
      <c r="A338" s="7" t="str">
        <f>"2121"</f>
        <v>2121</v>
      </c>
      <c r="B338" s="7" t="s">
        <v>371</v>
      </c>
      <c r="C338" s="7" t="str">
        <f>"昂嘎呼"</f>
        <v>昂嘎呼</v>
      </c>
      <c r="D338" s="7" t="str">
        <f>"20125012211"</f>
        <v>20125012211</v>
      </c>
      <c r="E338" s="8">
        <v>67.5</v>
      </c>
      <c r="F338" s="17">
        <v>80.76</v>
      </c>
      <c r="G338" s="9">
        <v>72.804</v>
      </c>
      <c r="H338" s="7" t="s">
        <v>11</v>
      </c>
    </row>
    <row r="339" spans="1:8" s="13" customFormat="1" ht="15" customHeight="1">
      <c r="A339" s="7" t="str">
        <f>"2121"</f>
        <v>2121</v>
      </c>
      <c r="B339" s="7" t="s">
        <v>371</v>
      </c>
      <c r="C339" s="7" t="str">
        <f>"小梅"</f>
        <v>小梅</v>
      </c>
      <c r="D339" s="7" t="str">
        <f>"20125012202"</f>
        <v>20125012202</v>
      </c>
      <c r="E339" s="8">
        <v>66.5</v>
      </c>
      <c r="F339" s="17">
        <v>80.14</v>
      </c>
      <c r="G339" s="9">
        <v>71.956</v>
      </c>
      <c r="H339" s="7" t="s">
        <v>11</v>
      </c>
    </row>
    <row r="340" spans="1:8" s="13" customFormat="1" ht="15" customHeight="1">
      <c r="A340" s="7" t="str">
        <f aca="true" t="shared" si="3" ref="A340:A345">"2201"</f>
        <v>2201</v>
      </c>
      <c r="B340" s="7" t="s">
        <v>9</v>
      </c>
      <c r="C340" s="7" t="str">
        <f>"张嗣强"</f>
        <v>张嗣强</v>
      </c>
      <c r="D340" s="7" t="str">
        <f>"20125016216"</f>
        <v>20125016216</v>
      </c>
      <c r="E340" s="8">
        <v>76.5</v>
      </c>
      <c r="F340" s="8">
        <v>84.74</v>
      </c>
      <c r="G340" s="9">
        <v>79.79599999999999</v>
      </c>
      <c r="H340" s="7" t="s">
        <v>10</v>
      </c>
    </row>
    <row r="341" spans="1:8" s="13" customFormat="1" ht="15" customHeight="1">
      <c r="A341" s="7" t="str">
        <f t="shared" si="3"/>
        <v>2201</v>
      </c>
      <c r="B341" s="7" t="s">
        <v>9</v>
      </c>
      <c r="C341" s="7" t="str">
        <f>"徐丽丽"</f>
        <v>徐丽丽</v>
      </c>
      <c r="D341" s="7" t="str">
        <f>"20125016303"</f>
        <v>20125016303</v>
      </c>
      <c r="E341" s="8">
        <v>74.5</v>
      </c>
      <c r="F341" s="8">
        <v>86</v>
      </c>
      <c r="G341" s="9">
        <v>79.1</v>
      </c>
      <c r="H341" s="7" t="s">
        <v>10</v>
      </c>
    </row>
    <row r="342" spans="1:8" s="13" customFormat="1" ht="15" customHeight="1">
      <c r="A342" s="7" t="str">
        <f t="shared" si="3"/>
        <v>2201</v>
      </c>
      <c r="B342" s="7" t="s">
        <v>9</v>
      </c>
      <c r="C342" s="7" t="str">
        <f>"包淑梅"</f>
        <v>包淑梅</v>
      </c>
      <c r="D342" s="7" t="str">
        <f>"20125016516"</f>
        <v>20125016516</v>
      </c>
      <c r="E342" s="8">
        <v>75.5</v>
      </c>
      <c r="F342" s="8">
        <v>83.82</v>
      </c>
      <c r="G342" s="9">
        <v>78.828</v>
      </c>
      <c r="H342" s="7" t="s">
        <v>11</v>
      </c>
    </row>
    <row r="343" spans="1:8" s="13" customFormat="1" ht="15" customHeight="1">
      <c r="A343" s="7" t="str">
        <f t="shared" si="3"/>
        <v>2201</v>
      </c>
      <c r="B343" s="7" t="s">
        <v>9</v>
      </c>
      <c r="C343" s="7" t="str">
        <f>"魏新新"</f>
        <v>魏新新</v>
      </c>
      <c r="D343" s="7" t="str">
        <f>"20125016406"</f>
        <v>20125016406</v>
      </c>
      <c r="E343" s="8">
        <v>73</v>
      </c>
      <c r="F343" s="8">
        <v>85.24</v>
      </c>
      <c r="G343" s="9">
        <v>77.89599999999999</v>
      </c>
      <c r="H343" s="7" t="s">
        <v>11</v>
      </c>
    </row>
    <row r="344" spans="1:8" s="13" customFormat="1" ht="15" customHeight="1">
      <c r="A344" s="7" t="str">
        <f t="shared" si="3"/>
        <v>2201</v>
      </c>
      <c r="B344" s="7" t="s">
        <v>9</v>
      </c>
      <c r="C344" s="7" t="str">
        <f>"王晶晶"</f>
        <v>王晶晶</v>
      </c>
      <c r="D344" s="7" t="str">
        <f>"20125016306"</f>
        <v>20125016306</v>
      </c>
      <c r="E344" s="8">
        <v>73.5</v>
      </c>
      <c r="F344" s="8">
        <v>83.14</v>
      </c>
      <c r="G344" s="9">
        <v>77.356</v>
      </c>
      <c r="H344" s="7" t="s">
        <v>11</v>
      </c>
    </row>
    <row r="345" spans="1:8" s="13" customFormat="1" ht="15" customHeight="1">
      <c r="A345" s="7" t="str">
        <f t="shared" si="3"/>
        <v>2201</v>
      </c>
      <c r="B345" s="7" t="s">
        <v>9</v>
      </c>
      <c r="C345" s="7" t="str">
        <f>"范志学"</f>
        <v>范志学</v>
      </c>
      <c r="D345" s="7" t="str">
        <f>"20125016426"</f>
        <v>20125016426</v>
      </c>
      <c r="E345" s="8">
        <v>73</v>
      </c>
      <c r="F345" s="8">
        <v>81.64</v>
      </c>
      <c r="G345" s="9">
        <v>76.45599999999999</v>
      </c>
      <c r="H345" s="7" t="s">
        <v>11</v>
      </c>
    </row>
    <row r="346" spans="1:8" s="13" customFormat="1" ht="15" customHeight="1">
      <c r="A346" s="7" t="str">
        <f>"2202"</f>
        <v>2202</v>
      </c>
      <c r="B346" s="7" t="s">
        <v>67</v>
      </c>
      <c r="C346" s="7" t="str">
        <f>"特日格乐"</f>
        <v>特日格乐</v>
      </c>
      <c r="D346" s="7" t="str">
        <f>"20125012305"</f>
        <v>20125012305</v>
      </c>
      <c r="E346" s="8">
        <v>70.5</v>
      </c>
      <c r="F346" s="18" t="s">
        <v>372</v>
      </c>
      <c r="G346" s="9">
        <v>76.036</v>
      </c>
      <c r="H346" s="7" t="s">
        <v>10</v>
      </c>
    </row>
    <row r="347" spans="1:8" s="13" customFormat="1" ht="15" customHeight="1">
      <c r="A347" s="7" t="str">
        <f>"2202"</f>
        <v>2202</v>
      </c>
      <c r="B347" s="7" t="s">
        <v>67</v>
      </c>
      <c r="C347" s="7" t="str">
        <f>"努图格图"</f>
        <v>努图格图</v>
      </c>
      <c r="D347" s="7" t="str">
        <f>"20125012308"</f>
        <v>20125012308</v>
      </c>
      <c r="E347" s="8">
        <v>72.5</v>
      </c>
      <c r="F347" s="18" t="s">
        <v>373</v>
      </c>
      <c r="G347" s="9">
        <v>75.908</v>
      </c>
      <c r="H347" s="7" t="s">
        <v>11</v>
      </c>
    </row>
    <row r="348" spans="1:8" s="13" customFormat="1" ht="15" customHeight="1">
      <c r="A348" s="7" t="str">
        <f>"2202"</f>
        <v>2202</v>
      </c>
      <c r="B348" s="7" t="s">
        <v>67</v>
      </c>
      <c r="C348" s="7" t="str">
        <f>"乌云嘎"</f>
        <v>乌云嘎</v>
      </c>
      <c r="D348" s="7" t="str">
        <f>"20125012317"</f>
        <v>20125012317</v>
      </c>
      <c r="E348" s="8">
        <v>71.5</v>
      </c>
      <c r="F348" s="18" t="s">
        <v>374</v>
      </c>
      <c r="G348" s="9">
        <v>75.364</v>
      </c>
      <c r="H348" s="7" t="s">
        <v>11</v>
      </c>
    </row>
    <row r="349" spans="1:8" s="13" customFormat="1" ht="15" customHeight="1">
      <c r="A349" s="7" t="str">
        <f>"2202"</f>
        <v>2202</v>
      </c>
      <c r="B349" s="7" t="s">
        <v>67</v>
      </c>
      <c r="C349" s="7" t="str">
        <f>"兰英"</f>
        <v>兰英</v>
      </c>
      <c r="D349" s="7" t="str">
        <f>"20125012224"</f>
        <v>20125012224</v>
      </c>
      <c r="E349" s="8">
        <v>70.5</v>
      </c>
      <c r="F349" s="18" t="s">
        <v>375</v>
      </c>
      <c r="G349" s="9">
        <v>74.86</v>
      </c>
      <c r="H349" s="7" t="s">
        <v>11</v>
      </c>
    </row>
    <row r="350" spans="1:8" s="13" customFormat="1" ht="15" customHeight="1">
      <c r="A350" s="7" t="str">
        <f>"2203"</f>
        <v>2203</v>
      </c>
      <c r="B350" s="7" t="s">
        <v>193</v>
      </c>
      <c r="C350" s="7" t="str">
        <f>"慧斌"</f>
        <v>慧斌</v>
      </c>
      <c r="D350" s="7" t="str">
        <f>"20125016605"</f>
        <v>20125016605</v>
      </c>
      <c r="E350" s="8">
        <v>76.5</v>
      </c>
      <c r="F350" s="8">
        <v>82.42</v>
      </c>
      <c r="G350" s="9">
        <v>78.868</v>
      </c>
      <c r="H350" s="7" t="s">
        <v>10</v>
      </c>
    </row>
    <row r="351" spans="1:8" s="13" customFormat="1" ht="15" customHeight="1">
      <c r="A351" s="7" t="str">
        <f>"2203"</f>
        <v>2203</v>
      </c>
      <c r="B351" s="7" t="s">
        <v>193</v>
      </c>
      <c r="C351" s="7" t="str">
        <f>"贺文静"</f>
        <v>贺文静</v>
      </c>
      <c r="D351" s="7" t="str">
        <f>"20125016604"</f>
        <v>20125016604</v>
      </c>
      <c r="E351" s="8">
        <v>65.5</v>
      </c>
      <c r="F351" s="8">
        <v>83.32</v>
      </c>
      <c r="G351" s="9">
        <v>72.62799999999999</v>
      </c>
      <c r="H351" s="7" t="s">
        <v>10</v>
      </c>
    </row>
    <row r="352" spans="1:8" s="13" customFormat="1" ht="15" customHeight="1">
      <c r="A352" s="7" t="str">
        <f>"2203"</f>
        <v>2203</v>
      </c>
      <c r="B352" s="7" t="s">
        <v>193</v>
      </c>
      <c r="C352" s="7" t="str">
        <f>"王宁"</f>
        <v>王宁</v>
      </c>
      <c r="D352" s="7" t="str">
        <f>"20125016602"</f>
        <v>20125016602</v>
      </c>
      <c r="E352" s="8">
        <v>60</v>
      </c>
      <c r="F352" s="8">
        <v>80.78</v>
      </c>
      <c r="G352" s="9">
        <v>68.31200000000001</v>
      </c>
      <c r="H352" s="7" t="s">
        <v>11</v>
      </c>
    </row>
    <row r="353" spans="1:8" s="13" customFormat="1" ht="15" customHeight="1">
      <c r="A353" s="7" t="str">
        <f>"2203"</f>
        <v>2203</v>
      </c>
      <c r="B353" s="7" t="s">
        <v>193</v>
      </c>
      <c r="C353" s="7" t="str">
        <f>"易得荣"</f>
        <v>易得荣</v>
      </c>
      <c r="D353" s="7" t="str">
        <f>"20125016603"</f>
        <v>20125016603</v>
      </c>
      <c r="E353" s="8">
        <v>55.5</v>
      </c>
      <c r="F353" s="8">
        <v>82.04</v>
      </c>
      <c r="G353" s="9">
        <v>66.116</v>
      </c>
      <c r="H353" s="7" t="s">
        <v>11</v>
      </c>
    </row>
    <row r="354" spans="1:8" s="13" customFormat="1" ht="15" customHeight="1">
      <c r="A354" s="7" t="str">
        <f>"2204-1"</f>
        <v>2204-1</v>
      </c>
      <c r="B354" s="7" t="s">
        <v>9</v>
      </c>
      <c r="C354" s="7" t="str">
        <f>"杨洪波"</f>
        <v>杨洪波</v>
      </c>
      <c r="D354" s="7" t="str">
        <f>"20125016607"</f>
        <v>20125016607</v>
      </c>
      <c r="E354" s="8">
        <v>76.5</v>
      </c>
      <c r="F354" s="8">
        <v>82.34</v>
      </c>
      <c r="G354" s="9">
        <v>78.836</v>
      </c>
      <c r="H354" s="7" t="s">
        <v>10</v>
      </c>
    </row>
    <row r="355" spans="1:8" s="13" customFormat="1" ht="15" customHeight="1">
      <c r="A355" s="7" t="str">
        <f>"2204-1"</f>
        <v>2204-1</v>
      </c>
      <c r="B355" s="7" t="s">
        <v>9</v>
      </c>
      <c r="C355" s="7" t="str">
        <f>"龚玉璞"</f>
        <v>龚玉璞</v>
      </c>
      <c r="D355" s="7" t="str">
        <f>"20125016616"</f>
        <v>20125016616</v>
      </c>
      <c r="E355" s="8">
        <v>68.5</v>
      </c>
      <c r="F355" s="8">
        <v>85.08</v>
      </c>
      <c r="G355" s="9">
        <v>75.132</v>
      </c>
      <c r="H355" s="7" t="s">
        <v>11</v>
      </c>
    </row>
    <row r="356" spans="1:8" s="13" customFormat="1" ht="15" customHeight="1">
      <c r="A356" s="7" t="str">
        <f>"2204-1"</f>
        <v>2204-1</v>
      </c>
      <c r="B356" s="7" t="s">
        <v>9</v>
      </c>
      <c r="C356" s="7" t="str">
        <f>"张春伟"</f>
        <v>张春伟</v>
      </c>
      <c r="D356" s="7" t="str">
        <f>"20125016617"</f>
        <v>20125016617</v>
      </c>
      <c r="E356" s="8">
        <v>69.5</v>
      </c>
      <c r="F356" s="8">
        <v>83.02</v>
      </c>
      <c r="G356" s="9">
        <v>74.90799999999999</v>
      </c>
      <c r="H356" s="7" t="s">
        <v>11</v>
      </c>
    </row>
    <row r="357" spans="1:8" s="13" customFormat="1" ht="15" customHeight="1">
      <c r="A357" s="7" t="str">
        <f>"2205"</f>
        <v>2205</v>
      </c>
      <c r="B357" s="7" t="s">
        <v>39</v>
      </c>
      <c r="C357" s="7" t="str">
        <f>"路向航"</f>
        <v>路向航</v>
      </c>
      <c r="D357" s="7" t="str">
        <f>"20125016729"</f>
        <v>20125016729</v>
      </c>
      <c r="E357" s="8">
        <v>77.5</v>
      </c>
      <c r="F357" s="8">
        <v>84.12</v>
      </c>
      <c r="G357" s="9">
        <v>80.148</v>
      </c>
      <c r="H357" s="7" t="s">
        <v>10</v>
      </c>
    </row>
    <row r="358" spans="1:8" s="13" customFormat="1" ht="15" customHeight="1">
      <c r="A358" s="7" t="str">
        <f>"2205"</f>
        <v>2205</v>
      </c>
      <c r="B358" s="7" t="s">
        <v>39</v>
      </c>
      <c r="C358" s="7" t="str">
        <f>"贾健伟"</f>
        <v>贾健伟</v>
      </c>
      <c r="D358" s="7" t="str">
        <f>"20125016714"</f>
        <v>20125016714</v>
      </c>
      <c r="E358" s="8">
        <v>71.5</v>
      </c>
      <c r="F358" s="8">
        <v>84.42</v>
      </c>
      <c r="G358" s="9">
        <v>76.668</v>
      </c>
      <c r="H358" s="7" t="s">
        <v>11</v>
      </c>
    </row>
    <row r="359" spans="1:8" s="13" customFormat="1" ht="15" customHeight="1">
      <c r="A359" s="7" t="str">
        <f>"2205"</f>
        <v>2205</v>
      </c>
      <c r="B359" s="7" t="s">
        <v>39</v>
      </c>
      <c r="C359" s="7" t="str">
        <f>"石琳琳"</f>
        <v>石琳琳</v>
      </c>
      <c r="D359" s="7" t="str">
        <f>"20125016708"</f>
        <v>20125016708</v>
      </c>
      <c r="E359" s="8">
        <v>72</v>
      </c>
      <c r="F359" s="8">
        <v>80.8</v>
      </c>
      <c r="G359" s="9">
        <v>75.52</v>
      </c>
      <c r="H359" s="7" t="s">
        <v>11</v>
      </c>
    </row>
    <row r="360" spans="1:8" s="13" customFormat="1" ht="15" customHeight="1">
      <c r="A360" s="7" t="str">
        <f>"2206"</f>
        <v>2206</v>
      </c>
      <c r="B360" s="7" t="s">
        <v>118</v>
      </c>
      <c r="C360" s="7" t="str">
        <f>"任岩松"</f>
        <v>任岩松</v>
      </c>
      <c r="D360" s="7" t="str">
        <f>"20125016815"</f>
        <v>20125016815</v>
      </c>
      <c r="E360" s="8">
        <v>76</v>
      </c>
      <c r="F360" s="8">
        <v>82.12</v>
      </c>
      <c r="G360" s="9">
        <v>78.44800000000001</v>
      </c>
      <c r="H360" s="7" t="s">
        <v>10</v>
      </c>
    </row>
    <row r="361" spans="1:8" s="13" customFormat="1" ht="15" customHeight="1">
      <c r="A361" s="7" t="str">
        <f>"2206"</f>
        <v>2206</v>
      </c>
      <c r="B361" s="7" t="s">
        <v>118</v>
      </c>
      <c r="C361" s="7" t="str">
        <f>"吴克文"</f>
        <v>吴克文</v>
      </c>
      <c r="D361" s="7" t="str">
        <f>"20125016807"</f>
        <v>20125016807</v>
      </c>
      <c r="E361" s="8">
        <v>75</v>
      </c>
      <c r="F361" s="8">
        <v>81.44</v>
      </c>
      <c r="G361" s="9">
        <v>77.576</v>
      </c>
      <c r="H361" s="7" t="s">
        <v>11</v>
      </c>
    </row>
    <row r="362" spans="1:8" s="13" customFormat="1" ht="15" customHeight="1">
      <c r="A362" s="7" t="str">
        <f>"2206"</f>
        <v>2206</v>
      </c>
      <c r="B362" s="7" t="s">
        <v>118</v>
      </c>
      <c r="C362" s="7" t="str">
        <f>"张立明"</f>
        <v>张立明</v>
      </c>
      <c r="D362" s="7" t="str">
        <f>"20125016905"</f>
        <v>20125016905</v>
      </c>
      <c r="E362" s="8">
        <v>74</v>
      </c>
      <c r="F362" s="8">
        <v>82.64</v>
      </c>
      <c r="G362" s="9">
        <v>77.456</v>
      </c>
      <c r="H362" s="7" t="s">
        <v>11</v>
      </c>
    </row>
    <row r="363" spans="1:8" s="13" customFormat="1" ht="15" customHeight="1">
      <c r="A363" s="7" t="str">
        <f>"2207"</f>
        <v>2207</v>
      </c>
      <c r="B363" s="7" t="s">
        <v>201</v>
      </c>
      <c r="C363" s="7" t="str">
        <f>"特日棍"</f>
        <v>特日棍</v>
      </c>
      <c r="D363" s="7" t="str">
        <f>"20125012407"</f>
        <v>20125012407</v>
      </c>
      <c r="E363" s="8">
        <v>75.5</v>
      </c>
      <c r="F363" s="18" t="s">
        <v>376</v>
      </c>
      <c r="G363" s="9">
        <v>78.41999999999999</v>
      </c>
      <c r="H363" s="7" t="s">
        <v>10</v>
      </c>
    </row>
    <row r="364" spans="1:8" s="13" customFormat="1" ht="15" customHeight="1">
      <c r="A364" s="7" t="str">
        <f>"2207"</f>
        <v>2207</v>
      </c>
      <c r="B364" s="7" t="s">
        <v>201</v>
      </c>
      <c r="C364" s="7" t="str">
        <f>"青松"</f>
        <v>青松</v>
      </c>
      <c r="D364" s="7" t="str">
        <f>"20125012504"</f>
        <v>20125012504</v>
      </c>
      <c r="E364" s="8">
        <v>73</v>
      </c>
      <c r="F364" s="18" t="s">
        <v>377</v>
      </c>
      <c r="G364" s="9">
        <v>76.4</v>
      </c>
      <c r="H364" s="7" t="s">
        <v>11</v>
      </c>
    </row>
    <row r="365" spans="1:8" s="13" customFormat="1" ht="15" customHeight="1">
      <c r="A365" s="7" t="str">
        <f>"2207"</f>
        <v>2207</v>
      </c>
      <c r="B365" s="7" t="s">
        <v>201</v>
      </c>
      <c r="C365" s="7" t="str">
        <f>"包文明"</f>
        <v>包文明</v>
      </c>
      <c r="D365" s="7" t="str">
        <f>"20125012428"</f>
        <v>20125012428</v>
      </c>
      <c r="E365" s="8">
        <v>71</v>
      </c>
      <c r="F365" s="18" t="s">
        <v>378</v>
      </c>
      <c r="G365" s="9">
        <v>75.56800000000001</v>
      </c>
      <c r="H365" s="7" t="s">
        <v>11</v>
      </c>
    </row>
    <row r="366" spans="1:8" s="13" customFormat="1" ht="15" customHeight="1">
      <c r="A366" s="7" t="str">
        <f>"2208"</f>
        <v>2208</v>
      </c>
      <c r="B366" s="7" t="s">
        <v>118</v>
      </c>
      <c r="C366" s="7" t="str">
        <f>"高伟"</f>
        <v>高伟</v>
      </c>
      <c r="D366" s="7" t="str">
        <f>"20125017105"</f>
        <v>20125017105</v>
      </c>
      <c r="E366" s="8">
        <v>78.5</v>
      </c>
      <c r="F366" s="8">
        <v>83.28</v>
      </c>
      <c r="G366" s="9">
        <v>80.412</v>
      </c>
      <c r="H366" s="7" t="s">
        <v>10</v>
      </c>
    </row>
    <row r="367" spans="1:8" s="13" customFormat="1" ht="15" customHeight="1">
      <c r="A367" s="7" t="str">
        <f>"2208"</f>
        <v>2208</v>
      </c>
      <c r="B367" s="7" t="s">
        <v>118</v>
      </c>
      <c r="C367" s="7" t="str">
        <f>"梁智博"</f>
        <v>梁智博</v>
      </c>
      <c r="D367" s="7" t="str">
        <f>"20125017208"</f>
        <v>20125017208</v>
      </c>
      <c r="E367" s="8">
        <v>77.5</v>
      </c>
      <c r="F367" s="8">
        <v>83.78</v>
      </c>
      <c r="G367" s="9">
        <v>80.012</v>
      </c>
      <c r="H367" s="7" t="s">
        <v>11</v>
      </c>
    </row>
    <row r="368" spans="1:8" s="13" customFormat="1" ht="15" customHeight="1">
      <c r="A368" s="7" t="str">
        <f>"2208"</f>
        <v>2208</v>
      </c>
      <c r="B368" s="7" t="s">
        <v>118</v>
      </c>
      <c r="C368" s="7" t="str">
        <f>"于玮"</f>
        <v>于玮</v>
      </c>
      <c r="D368" s="7" t="str">
        <f>"20125017307"</f>
        <v>20125017307</v>
      </c>
      <c r="E368" s="8">
        <v>78</v>
      </c>
      <c r="F368" s="8">
        <v>81.18</v>
      </c>
      <c r="G368" s="9">
        <v>79.27199999999999</v>
      </c>
      <c r="H368" s="7" t="s">
        <v>11</v>
      </c>
    </row>
    <row r="369" spans="1:8" s="13" customFormat="1" ht="15" customHeight="1">
      <c r="A369" s="7" t="str">
        <f aca="true" t="shared" si="4" ref="A369:A374">"2209"</f>
        <v>2209</v>
      </c>
      <c r="B369" s="7" t="s">
        <v>22</v>
      </c>
      <c r="C369" s="7" t="str">
        <f>"郭龙"</f>
        <v>郭龙</v>
      </c>
      <c r="D369" s="7" t="str">
        <f>"20125018317"</f>
        <v>20125018317</v>
      </c>
      <c r="E369" s="8">
        <v>65.5</v>
      </c>
      <c r="F369" s="8">
        <v>82.94</v>
      </c>
      <c r="G369" s="9">
        <v>72.476</v>
      </c>
      <c r="H369" s="7" t="s">
        <v>10</v>
      </c>
    </row>
    <row r="370" spans="1:8" s="13" customFormat="1" ht="15" customHeight="1">
      <c r="A370" s="7" t="str">
        <f t="shared" si="4"/>
        <v>2209</v>
      </c>
      <c r="B370" s="7" t="s">
        <v>22</v>
      </c>
      <c r="C370" s="7" t="str">
        <f>"路艳爽"</f>
        <v>路艳爽</v>
      </c>
      <c r="D370" s="7" t="str">
        <f>"20125018318"</f>
        <v>20125018318</v>
      </c>
      <c r="E370" s="8">
        <v>67.5</v>
      </c>
      <c r="F370" s="8">
        <v>79.92</v>
      </c>
      <c r="G370" s="9">
        <v>72.468</v>
      </c>
      <c r="H370" s="7" t="s">
        <v>10</v>
      </c>
    </row>
    <row r="371" spans="1:8" s="13" customFormat="1" ht="15" customHeight="1">
      <c r="A371" s="7" t="str">
        <f t="shared" si="4"/>
        <v>2209</v>
      </c>
      <c r="B371" s="7" t="s">
        <v>22</v>
      </c>
      <c r="C371" s="7" t="str">
        <f>"马振洲"</f>
        <v>马振洲</v>
      </c>
      <c r="D371" s="7" t="str">
        <f>"20125018314"</f>
        <v>20125018314</v>
      </c>
      <c r="E371" s="8">
        <v>62.5</v>
      </c>
      <c r="F371" s="8">
        <v>84.16</v>
      </c>
      <c r="G371" s="9">
        <v>71.164</v>
      </c>
      <c r="H371" s="7" t="s">
        <v>11</v>
      </c>
    </row>
    <row r="372" spans="1:8" s="13" customFormat="1" ht="15" customHeight="1">
      <c r="A372" s="7" t="str">
        <f t="shared" si="4"/>
        <v>2209</v>
      </c>
      <c r="B372" s="7" t="s">
        <v>22</v>
      </c>
      <c r="C372" s="7" t="str">
        <f>"王启凡"</f>
        <v>王启凡</v>
      </c>
      <c r="D372" s="7" t="str">
        <f>"20125018310"</f>
        <v>20125018310</v>
      </c>
      <c r="E372" s="8">
        <v>62</v>
      </c>
      <c r="F372" s="8">
        <v>84.08</v>
      </c>
      <c r="G372" s="9">
        <v>70.832</v>
      </c>
      <c r="H372" s="7" t="s">
        <v>11</v>
      </c>
    </row>
    <row r="373" spans="1:8" s="13" customFormat="1" ht="15" customHeight="1">
      <c r="A373" s="7" t="str">
        <f t="shared" si="4"/>
        <v>2209</v>
      </c>
      <c r="B373" s="7" t="s">
        <v>22</v>
      </c>
      <c r="C373" s="7" t="str">
        <f>"庄艳秋"</f>
        <v>庄艳秋</v>
      </c>
      <c r="D373" s="7" t="str">
        <f>"20125018311"</f>
        <v>20125018311</v>
      </c>
      <c r="E373" s="8">
        <v>63.5</v>
      </c>
      <c r="F373" s="8">
        <v>81.22</v>
      </c>
      <c r="G373" s="9">
        <v>70.588</v>
      </c>
      <c r="H373" s="7" t="s">
        <v>11</v>
      </c>
    </row>
    <row r="374" spans="1:8" s="13" customFormat="1" ht="15" customHeight="1">
      <c r="A374" s="7" t="str">
        <f t="shared" si="4"/>
        <v>2209</v>
      </c>
      <c r="B374" s="7" t="s">
        <v>22</v>
      </c>
      <c r="C374" s="7" t="str">
        <f>"杨佳丽"</f>
        <v>杨佳丽</v>
      </c>
      <c r="D374" s="7" t="str">
        <f>"20125018322"</f>
        <v>20125018322</v>
      </c>
      <c r="E374" s="8">
        <v>44</v>
      </c>
      <c r="F374" s="8" t="s">
        <v>58</v>
      </c>
      <c r="G374" s="9">
        <v>26.4</v>
      </c>
      <c r="H374" s="7" t="s">
        <v>11</v>
      </c>
    </row>
    <row r="375" spans="1:8" s="13" customFormat="1" ht="15" customHeight="1">
      <c r="A375" s="7" t="str">
        <f>"2210"</f>
        <v>2210</v>
      </c>
      <c r="B375" s="7" t="s">
        <v>12</v>
      </c>
      <c r="C375" s="7" t="str">
        <f>"王禹"</f>
        <v>王禹</v>
      </c>
      <c r="D375" s="7" t="str">
        <f>"20125018325"</f>
        <v>20125018325</v>
      </c>
      <c r="E375" s="8">
        <v>64</v>
      </c>
      <c r="F375" s="17">
        <v>85.96</v>
      </c>
      <c r="G375" s="9">
        <v>72.78399999999999</v>
      </c>
      <c r="H375" s="7" t="s">
        <v>10</v>
      </c>
    </row>
    <row r="376" spans="1:8" s="13" customFormat="1" ht="15" customHeight="1">
      <c r="A376" s="7" t="str">
        <f>"2210"</f>
        <v>2210</v>
      </c>
      <c r="B376" s="7" t="s">
        <v>12</v>
      </c>
      <c r="C376" s="7" t="str">
        <f>"初一"</f>
        <v>初一</v>
      </c>
      <c r="D376" s="7" t="str">
        <f>"20125018328"</f>
        <v>20125018328</v>
      </c>
      <c r="E376" s="8">
        <v>61.5</v>
      </c>
      <c r="F376" s="17">
        <v>82.62</v>
      </c>
      <c r="G376" s="9">
        <v>69.94800000000001</v>
      </c>
      <c r="H376" s="7" t="s">
        <v>11</v>
      </c>
    </row>
    <row r="377" spans="1:8" s="13" customFormat="1" ht="15" customHeight="1">
      <c r="A377" s="7" t="str">
        <f>"2210"</f>
        <v>2210</v>
      </c>
      <c r="B377" s="7" t="s">
        <v>12</v>
      </c>
      <c r="C377" s="7" t="str">
        <f>"吴海英"</f>
        <v>吴海英</v>
      </c>
      <c r="D377" s="7" t="str">
        <f>"20125018326"</f>
        <v>20125018326</v>
      </c>
      <c r="E377" s="8">
        <v>57</v>
      </c>
      <c r="F377" s="17">
        <v>79.04</v>
      </c>
      <c r="G377" s="9">
        <v>65.816</v>
      </c>
      <c r="H377" s="7" t="s">
        <v>11</v>
      </c>
    </row>
    <row r="378" spans="1:8" s="13" customFormat="1" ht="15" customHeight="1">
      <c r="A378" s="7" t="str">
        <f>"2210-2"</f>
        <v>2210-2</v>
      </c>
      <c r="B378" s="7" t="s">
        <v>39</v>
      </c>
      <c r="C378" s="7" t="str">
        <f>"萨如拉"</f>
        <v>萨如拉</v>
      </c>
      <c r="D378" s="7" t="str">
        <f>"20125018401"</f>
        <v>20125018401</v>
      </c>
      <c r="E378" s="8">
        <v>65</v>
      </c>
      <c r="F378" s="18" t="s">
        <v>379</v>
      </c>
      <c r="G378" s="9">
        <v>73.32</v>
      </c>
      <c r="H378" s="7" t="s">
        <v>10</v>
      </c>
    </row>
    <row r="379" spans="1:8" s="13" customFormat="1" ht="15" customHeight="1">
      <c r="A379" s="7" t="str">
        <f>"2210-2"</f>
        <v>2210-2</v>
      </c>
      <c r="B379" s="7" t="s">
        <v>39</v>
      </c>
      <c r="C379" s="7" t="str">
        <f>"梅英"</f>
        <v>梅英</v>
      </c>
      <c r="D379" s="7" t="str">
        <f>"20125014625"</f>
        <v>20125014625</v>
      </c>
      <c r="E379" s="8">
        <v>63.5</v>
      </c>
      <c r="F379" s="17">
        <v>83.06</v>
      </c>
      <c r="G379" s="9">
        <v>71.32400000000001</v>
      </c>
      <c r="H379" s="7" t="s">
        <v>11</v>
      </c>
    </row>
    <row r="380" spans="1:8" s="13" customFormat="1" ht="15" customHeight="1">
      <c r="A380" s="7" t="str">
        <f>"2210-2"</f>
        <v>2210-2</v>
      </c>
      <c r="B380" s="7" t="s">
        <v>39</v>
      </c>
      <c r="C380" s="7" t="str">
        <f>"朝木日勒格"</f>
        <v>朝木日勒格</v>
      </c>
      <c r="D380" s="7" t="str">
        <f>"20125014624"</f>
        <v>20125014624</v>
      </c>
      <c r="E380" s="8">
        <v>60</v>
      </c>
      <c r="F380" s="17">
        <v>84.32</v>
      </c>
      <c r="G380" s="9">
        <v>69.72800000000001</v>
      </c>
      <c r="H380" s="7" t="s">
        <v>11</v>
      </c>
    </row>
    <row r="381" spans="1:8" s="13" customFormat="1" ht="15" customHeight="1">
      <c r="A381" s="7" t="str">
        <f aca="true" t="shared" si="5" ref="A381:A386">"2211"</f>
        <v>2211</v>
      </c>
      <c r="B381" s="7" t="s">
        <v>380</v>
      </c>
      <c r="C381" s="7" t="str">
        <f>"南迪娜"</f>
        <v>南迪娜</v>
      </c>
      <c r="D381" s="7" t="str">
        <f>"20125012521"</f>
        <v>20125012521</v>
      </c>
      <c r="E381" s="8">
        <v>71.5</v>
      </c>
      <c r="F381" s="18" t="s">
        <v>381</v>
      </c>
      <c r="G381" s="9">
        <v>76.62</v>
      </c>
      <c r="H381" s="7" t="s">
        <v>10</v>
      </c>
    </row>
    <row r="382" spans="1:8" s="13" customFormat="1" ht="15" customHeight="1">
      <c r="A382" s="7" t="str">
        <f t="shared" si="5"/>
        <v>2211</v>
      </c>
      <c r="B382" s="7" t="s">
        <v>380</v>
      </c>
      <c r="C382" s="7" t="str">
        <f>"其力格尔"</f>
        <v>其力格尔</v>
      </c>
      <c r="D382" s="7" t="str">
        <f>"20125012517"</f>
        <v>20125012517</v>
      </c>
      <c r="E382" s="8">
        <v>66</v>
      </c>
      <c r="F382" s="18" t="s">
        <v>382</v>
      </c>
      <c r="G382" s="9">
        <v>73.96000000000001</v>
      </c>
      <c r="H382" s="7" t="s">
        <v>10</v>
      </c>
    </row>
    <row r="383" spans="1:8" s="13" customFormat="1" ht="15" customHeight="1">
      <c r="A383" s="7" t="str">
        <f t="shared" si="5"/>
        <v>2211</v>
      </c>
      <c r="B383" s="7" t="s">
        <v>380</v>
      </c>
      <c r="C383" s="7" t="str">
        <f>"朝木尔力格"</f>
        <v>朝木尔力格</v>
      </c>
      <c r="D383" s="7" t="str">
        <f>"20125012516"</f>
        <v>20125012516</v>
      </c>
      <c r="E383" s="8">
        <v>66</v>
      </c>
      <c r="F383" s="17">
        <v>84.58</v>
      </c>
      <c r="G383" s="9">
        <v>73.432</v>
      </c>
      <c r="H383" s="7" t="s">
        <v>11</v>
      </c>
    </row>
    <row r="384" spans="1:8" s="13" customFormat="1" ht="15" customHeight="1">
      <c r="A384" s="7" t="str">
        <f t="shared" si="5"/>
        <v>2211</v>
      </c>
      <c r="B384" s="7" t="s">
        <v>380</v>
      </c>
      <c r="C384" s="7" t="str">
        <f>"香春"</f>
        <v>香春</v>
      </c>
      <c r="D384" s="7" t="str">
        <f>"20125012512"</f>
        <v>20125012512</v>
      </c>
      <c r="E384" s="8">
        <v>68.5</v>
      </c>
      <c r="F384" s="18" t="s">
        <v>383</v>
      </c>
      <c r="G384" s="9">
        <v>71.98</v>
      </c>
      <c r="H384" s="7" t="s">
        <v>11</v>
      </c>
    </row>
    <row r="385" spans="1:8" s="13" customFormat="1" ht="15" customHeight="1">
      <c r="A385" s="7" t="str">
        <f t="shared" si="5"/>
        <v>2211</v>
      </c>
      <c r="B385" s="7" t="s">
        <v>380</v>
      </c>
      <c r="C385" s="7" t="str">
        <f>"赵丽花"</f>
        <v>赵丽花</v>
      </c>
      <c r="D385" s="7" t="str">
        <f>"20125012518"</f>
        <v>20125012518</v>
      </c>
      <c r="E385" s="8">
        <v>65.5</v>
      </c>
      <c r="F385" s="17">
        <v>77.54</v>
      </c>
      <c r="G385" s="9">
        <v>70.316</v>
      </c>
      <c r="H385" s="7" t="s">
        <v>11</v>
      </c>
    </row>
    <row r="386" spans="1:8" s="13" customFormat="1" ht="15" customHeight="1">
      <c r="A386" s="7" t="str">
        <f t="shared" si="5"/>
        <v>2211</v>
      </c>
      <c r="B386" s="7" t="s">
        <v>380</v>
      </c>
      <c r="C386" s="7" t="str">
        <f>"英英"</f>
        <v>英英</v>
      </c>
      <c r="D386" s="7" t="str">
        <f>"20125012513"</f>
        <v>20125012513</v>
      </c>
      <c r="E386" s="8">
        <v>60.5</v>
      </c>
      <c r="F386" s="17">
        <v>77.78</v>
      </c>
      <c r="G386" s="9">
        <v>67.412</v>
      </c>
      <c r="H386" s="7" t="s">
        <v>11</v>
      </c>
    </row>
    <row r="387" spans="1:8" s="13" customFormat="1" ht="15" customHeight="1">
      <c r="A387" s="7" t="str">
        <f aca="true" t="shared" si="6" ref="A387:A402">"2212"</f>
        <v>2212</v>
      </c>
      <c r="B387" s="7" t="s">
        <v>38</v>
      </c>
      <c r="C387" s="7" t="str">
        <f>"曹婉露"</f>
        <v>曹婉露</v>
      </c>
      <c r="D387" s="7" t="str">
        <f>"20125018504"</f>
        <v>20125018504</v>
      </c>
      <c r="E387" s="8">
        <v>77</v>
      </c>
      <c r="F387" s="18" t="s">
        <v>384</v>
      </c>
      <c r="G387" s="9">
        <v>79.16</v>
      </c>
      <c r="H387" s="7" t="s">
        <v>10</v>
      </c>
    </row>
    <row r="388" spans="1:8" s="13" customFormat="1" ht="15" customHeight="1">
      <c r="A388" s="7" t="str">
        <f t="shared" si="6"/>
        <v>2212</v>
      </c>
      <c r="B388" s="7" t="s">
        <v>38</v>
      </c>
      <c r="C388" s="7" t="str">
        <f>"陈玉杰"</f>
        <v>陈玉杰</v>
      </c>
      <c r="D388" s="7" t="str">
        <f>"20125018414"</f>
        <v>20125018414</v>
      </c>
      <c r="E388" s="8">
        <v>74.5</v>
      </c>
      <c r="F388" s="17">
        <v>84.46</v>
      </c>
      <c r="G388" s="9">
        <v>78.484</v>
      </c>
      <c r="H388" s="7" t="s">
        <v>10</v>
      </c>
    </row>
    <row r="389" spans="1:8" s="13" customFormat="1" ht="15" customHeight="1">
      <c r="A389" s="7" t="str">
        <f t="shared" si="6"/>
        <v>2212</v>
      </c>
      <c r="B389" s="7" t="s">
        <v>38</v>
      </c>
      <c r="C389" s="7" t="str">
        <f>"沈艳娇"</f>
        <v>沈艳娇</v>
      </c>
      <c r="D389" s="7" t="str">
        <f>"20125018616"</f>
        <v>20125018616</v>
      </c>
      <c r="E389" s="8">
        <v>72.5</v>
      </c>
      <c r="F389" s="17">
        <v>85.52</v>
      </c>
      <c r="G389" s="9">
        <v>77.708</v>
      </c>
      <c r="H389" s="7" t="s">
        <v>10</v>
      </c>
    </row>
    <row r="390" spans="1:8" s="13" customFormat="1" ht="15" customHeight="1">
      <c r="A390" s="7" t="str">
        <f t="shared" si="6"/>
        <v>2212</v>
      </c>
      <c r="B390" s="7" t="s">
        <v>38</v>
      </c>
      <c r="C390" s="7" t="str">
        <f>"王爽"</f>
        <v>王爽</v>
      </c>
      <c r="D390" s="7" t="str">
        <f>"20125018424"</f>
        <v>20125018424</v>
      </c>
      <c r="E390" s="8">
        <v>72.5</v>
      </c>
      <c r="F390" s="18" t="s">
        <v>385</v>
      </c>
      <c r="G390" s="9">
        <v>76.94</v>
      </c>
      <c r="H390" s="7" t="s">
        <v>10</v>
      </c>
    </row>
    <row r="391" spans="1:8" s="13" customFormat="1" ht="15" customHeight="1">
      <c r="A391" s="7" t="str">
        <f t="shared" si="6"/>
        <v>2212</v>
      </c>
      <c r="B391" s="7" t="s">
        <v>38</v>
      </c>
      <c r="C391" s="7" t="str">
        <f>"陈伟"</f>
        <v>陈伟</v>
      </c>
      <c r="D391" s="7" t="str">
        <f>"20125018527"</f>
        <v>20125018527</v>
      </c>
      <c r="E391" s="8">
        <v>72</v>
      </c>
      <c r="F391" s="17">
        <v>83.66</v>
      </c>
      <c r="G391" s="9">
        <v>76.66399999999999</v>
      </c>
      <c r="H391" s="7" t="s">
        <v>10</v>
      </c>
    </row>
    <row r="392" spans="1:8" s="13" customFormat="1" ht="15" customHeight="1">
      <c r="A392" s="7" t="str">
        <f t="shared" si="6"/>
        <v>2212</v>
      </c>
      <c r="B392" s="7" t="s">
        <v>38</v>
      </c>
      <c r="C392" s="7" t="str">
        <f>"苏日古格"</f>
        <v>苏日古格</v>
      </c>
      <c r="D392" s="7" t="str">
        <f>"20125018415"</f>
        <v>20125018415</v>
      </c>
      <c r="E392" s="8">
        <v>72.5</v>
      </c>
      <c r="F392" s="17">
        <v>82.12</v>
      </c>
      <c r="G392" s="9">
        <v>76.34800000000001</v>
      </c>
      <c r="H392" s="7" t="s">
        <v>11</v>
      </c>
    </row>
    <row r="393" spans="1:8" s="13" customFormat="1" ht="15" customHeight="1">
      <c r="A393" s="7" t="str">
        <f t="shared" si="6"/>
        <v>2212</v>
      </c>
      <c r="B393" s="7" t="s">
        <v>38</v>
      </c>
      <c r="C393" s="7" t="str">
        <f>"于静"</f>
        <v>于静</v>
      </c>
      <c r="D393" s="7" t="str">
        <f>"20125018409"</f>
        <v>20125018409</v>
      </c>
      <c r="E393" s="8">
        <v>69.5</v>
      </c>
      <c r="F393" s="17">
        <v>83.96</v>
      </c>
      <c r="G393" s="9">
        <v>75.28399999999999</v>
      </c>
      <c r="H393" s="7" t="s">
        <v>11</v>
      </c>
    </row>
    <row r="394" spans="1:8" s="13" customFormat="1" ht="15" customHeight="1">
      <c r="A394" s="7" t="str">
        <f t="shared" si="6"/>
        <v>2212</v>
      </c>
      <c r="B394" s="7" t="s">
        <v>38</v>
      </c>
      <c r="C394" s="7" t="str">
        <f>"顺胜"</f>
        <v>顺胜</v>
      </c>
      <c r="D394" s="7" t="str">
        <f>"20125018510"</f>
        <v>20125018510</v>
      </c>
      <c r="E394" s="8">
        <v>68</v>
      </c>
      <c r="F394" s="17">
        <v>84.62</v>
      </c>
      <c r="G394" s="9">
        <v>74.648</v>
      </c>
      <c r="H394" s="7" t="s">
        <v>11</v>
      </c>
    </row>
    <row r="395" spans="1:8" s="13" customFormat="1" ht="15" customHeight="1">
      <c r="A395" s="7" t="str">
        <f t="shared" si="6"/>
        <v>2212</v>
      </c>
      <c r="B395" s="7" t="s">
        <v>38</v>
      </c>
      <c r="C395" s="7" t="str">
        <f>"华裕鑫"</f>
        <v>华裕鑫</v>
      </c>
      <c r="D395" s="7" t="str">
        <f>"20125018707"</f>
        <v>20125018707</v>
      </c>
      <c r="E395" s="8">
        <v>67.5</v>
      </c>
      <c r="F395" s="17">
        <v>84.08</v>
      </c>
      <c r="G395" s="9">
        <v>74.132</v>
      </c>
      <c r="H395" s="7" t="s">
        <v>11</v>
      </c>
    </row>
    <row r="396" spans="1:8" s="13" customFormat="1" ht="15" customHeight="1">
      <c r="A396" s="7" t="str">
        <f t="shared" si="6"/>
        <v>2212</v>
      </c>
      <c r="B396" s="7" t="s">
        <v>38</v>
      </c>
      <c r="C396" s="7" t="str">
        <f>"文化"</f>
        <v>文化</v>
      </c>
      <c r="D396" s="7" t="str">
        <f>"20125018602"</f>
        <v>20125018602</v>
      </c>
      <c r="E396" s="8">
        <v>68</v>
      </c>
      <c r="F396" s="17">
        <v>82.74</v>
      </c>
      <c r="G396" s="9">
        <v>73.89599999999999</v>
      </c>
      <c r="H396" s="7" t="s">
        <v>11</v>
      </c>
    </row>
    <row r="397" spans="1:8" s="13" customFormat="1" ht="15" customHeight="1">
      <c r="A397" s="7" t="str">
        <f t="shared" si="6"/>
        <v>2212</v>
      </c>
      <c r="B397" s="7" t="s">
        <v>38</v>
      </c>
      <c r="C397" s="7" t="str">
        <f>"莫日根散丹"</f>
        <v>莫日根散丹</v>
      </c>
      <c r="D397" s="7" t="str">
        <f>"20125018428"</f>
        <v>20125018428</v>
      </c>
      <c r="E397" s="8">
        <v>67</v>
      </c>
      <c r="F397" s="17">
        <v>81.46</v>
      </c>
      <c r="G397" s="9">
        <v>72.78399999999999</v>
      </c>
      <c r="H397" s="7" t="s">
        <v>11</v>
      </c>
    </row>
    <row r="398" spans="1:8" s="13" customFormat="1" ht="15" customHeight="1">
      <c r="A398" s="7" t="str">
        <f t="shared" si="6"/>
        <v>2212</v>
      </c>
      <c r="B398" s="7" t="s">
        <v>38</v>
      </c>
      <c r="C398" s="7" t="str">
        <f>"阿日根"</f>
        <v>阿日根</v>
      </c>
      <c r="D398" s="7" t="str">
        <f>"20125018629"</f>
        <v>20125018629</v>
      </c>
      <c r="E398" s="8">
        <v>68.5</v>
      </c>
      <c r="F398" s="17">
        <v>78.92</v>
      </c>
      <c r="G398" s="9">
        <v>72.668</v>
      </c>
      <c r="H398" s="7" t="s">
        <v>11</v>
      </c>
    </row>
    <row r="399" spans="1:8" s="13" customFormat="1" ht="15" customHeight="1">
      <c r="A399" s="7" t="str">
        <f t="shared" si="6"/>
        <v>2212</v>
      </c>
      <c r="B399" s="7" t="s">
        <v>38</v>
      </c>
      <c r="C399" s="7" t="str">
        <f>"任建强"</f>
        <v>任建强</v>
      </c>
      <c r="D399" s="7" t="str">
        <f>"20125018516"</f>
        <v>20125018516</v>
      </c>
      <c r="E399" s="8">
        <v>66</v>
      </c>
      <c r="F399" s="17">
        <v>80.74</v>
      </c>
      <c r="G399" s="9">
        <v>71.896</v>
      </c>
      <c r="H399" s="7" t="s">
        <v>11</v>
      </c>
    </row>
    <row r="400" spans="1:8" s="13" customFormat="1" ht="15" customHeight="1">
      <c r="A400" s="7" t="str">
        <f t="shared" si="6"/>
        <v>2212</v>
      </c>
      <c r="B400" s="7" t="s">
        <v>38</v>
      </c>
      <c r="C400" s="7" t="str">
        <f>"蔡利军"</f>
        <v>蔡利军</v>
      </c>
      <c r="D400" s="7" t="str">
        <f>"20125018423"</f>
        <v>20125018423</v>
      </c>
      <c r="E400" s="8">
        <v>65.5</v>
      </c>
      <c r="F400" s="17">
        <v>77.68</v>
      </c>
      <c r="G400" s="9">
        <v>70.372</v>
      </c>
      <c r="H400" s="7" t="s">
        <v>11</v>
      </c>
    </row>
    <row r="401" spans="1:8" s="13" customFormat="1" ht="15" customHeight="1">
      <c r="A401" s="7" t="str">
        <f t="shared" si="6"/>
        <v>2212</v>
      </c>
      <c r="B401" s="7" t="s">
        <v>38</v>
      </c>
      <c r="C401" s="7" t="str">
        <f>"银海"</f>
        <v>银海</v>
      </c>
      <c r="D401" s="7" t="str">
        <f>"20125018503"</f>
        <v>20125018503</v>
      </c>
      <c r="E401" s="8">
        <v>65.5</v>
      </c>
      <c r="F401" s="17">
        <v>72.92</v>
      </c>
      <c r="G401" s="9">
        <v>68.468</v>
      </c>
      <c r="H401" s="7" t="s">
        <v>11</v>
      </c>
    </row>
    <row r="402" spans="1:8" s="13" customFormat="1" ht="15" customHeight="1">
      <c r="A402" s="7" t="str">
        <f t="shared" si="6"/>
        <v>2212</v>
      </c>
      <c r="B402" s="7" t="s">
        <v>38</v>
      </c>
      <c r="C402" s="7" t="str">
        <f>"郭昆朋"</f>
        <v>郭昆朋</v>
      </c>
      <c r="D402" s="7" t="str">
        <f>"20125018402"</f>
        <v>20125018402</v>
      </c>
      <c r="E402" s="8">
        <v>65.5</v>
      </c>
      <c r="F402" s="8" t="s">
        <v>58</v>
      </c>
      <c r="G402" s="9">
        <v>39.3</v>
      </c>
      <c r="H402" s="7" t="s">
        <v>11</v>
      </c>
    </row>
    <row r="403" spans="1:8" s="13" customFormat="1" ht="15" customHeight="1">
      <c r="A403" s="7" t="str">
        <f>"2301"</f>
        <v>2301</v>
      </c>
      <c r="B403" s="7" t="s">
        <v>118</v>
      </c>
      <c r="C403" s="7" t="str">
        <f>"李扬"</f>
        <v>李扬</v>
      </c>
      <c r="D403" s="7" t="str">
        <f>"20125018819"</f>
        <v>20125018819</v>
      </c>
      <c r="E403" s="8">
        <v>77.5</v>
      </c>
      <c r="F403" s="8">
        <v>82.06</v>
      </c>
      <c r="G403" s="9">
        <v>79.32400000000001</v>
      </c>
      <c r="H403" s="7" t="s">
        <v>10</v>
      </c>
    </row>
    <row r="404" spans="1:8" s="13" customFormat="1" ht="15" customHeight="1">
      <c r="A404" s="7" t="str">
        <f>"2301"</f>
        <v>2301</v>
      </c>
      <c r="B404" s="7" t="s">
        <v>118</v>
      </c>
      <c r="C404" s="7" t="str">
        <f>"全福"</f>
        <v>全福</v>
      </c>
      <c r="D404" s="7" t="str">
        <f>"20125018822"</f>
        <v>20125018822</v>
      </c>
      <c r="E404" s="8">
        <v>76</v>
      </c>
      <c r="F404" s="8">
        <v>78.76</v>
      </c>
      <c r="G404" s="9">
        <v>77.10400000000001</v>
      </c>
      <c r="H404" s="7" t="s">
        <v>11</v>
      </c>
    </row>
    <row r="405" spans="1:8" s="13" customFormat="1" ht="15" customHeight="1">
      <c r="A405" s="7" t="str">
        <f>"2301"</f>
        <v>2301</v>
      </c>
      <c r="B405" s="7" t="s">
        <v>118</v>
      </c>
      <c r="C405" s="7" t="str">
        <f>"白文光"</f>
        <v>白文光</v>
      </c>
      <c r="D405" s="7" t="str">
        <f>"20125018813"</f>
        <v>20125018813</v>
      </c>
      <c r="E405" s="8">
        <v>74.5</v>
      </c>
      <c r="F405" s="8" t="s">
        <v>58</v>
      </c>
      <c r="G405" s="9">
        <v>44.7</v>
      </c>
      <c r="H405" s="7" t="s">
        <v>11</v>
      </c>
    </row>
    <row r="406" spans="1:8" s="13" customFormat="1" ht="15" customHeight="1">
      <c r="A406" s="7" t="str">
        <f>"2302"</f>
        <v>2302</v>
      </c>
      <c r="B406" s="7" t="s">
        <v>22</v>
      </c>
      <c r="C406" s="7" t="str">
        <f>"巴特尔"</f>
        <v>巴特尔</v>
      </c>
      <c r="D406" s="7" t="str">
        <f>"20125018902"</f>
        <v>20125018902</v>
      </c>
      <c r="E406" s="8">
        <v>65.5</v>
      </c>
      <c r="F406" s="8">
        <v>83.64</v>
      </c>
      <c r="G406" s="9">
        <v>72.756</v>
      </c>
      <c r="H406" s="7" t="s">
        <v>10</v>
      </c>
    </row>
    <row r="407" spans="1:8" s="13" customFormat="1" ht="15" customHeight="1">
      <c r="A407" s="7" t="str">
        <f>"2302"</f>
        <v>2302</v>
      </c>
      <c r="B407" s="7" t="s">
        <v>22</v>
      </c>
      <c r="C407" s="7" t="str">
        <f>"谢爽"</f>
        <v>谢爽</v>
      </c>
      <c r="D407" s="7" t="str">
        <f>"20125018905"</f>
        <v>20125018905</v>
      </c>
      <c r="E407" s="8">
        <v>58.5</v>
      </c>
      <c r="F407" s="8">
        <v>81.88</v>
      </c>
      <c r="G407" s="9">
        <v>67.852</v>
      </c>
      <c r="H407" s="7" t="s">
        <v>11</v>
      </c>
    </row>
    <row r="408" spans="1:8" s="13" customFormat="1" ht="15" customHeight="1">
      <c r="A408" s="7" t="str">
        <f>"2303"</f>
        <v>2303</v>
      </c>
      <c r="B408" s="7" t="s">
        <v>12</v>
      </c>
      <c r="C408" s="7" t="str">
        <f>"高世斌"</f>
        <v>高世斌</v>
      </c>
      <c r="D408" s="7" t="str">
        <f>"20125018909"</f>
        <v>20125018909</v>
      </c>
      <c r="E408" s="8">
        <v>65</v>
      </c>
      <c r="F408" s="8">
        <v>80.64</v>
      </c>
      <c r="G408" s="9">
        <v>71.256</v>
      </c>
      <c r="H408" s="7" t="s">
        <v>11</v>
      </c>
    </row>
    <row r="409" spans="1:8" s="13" customFormat="1" ht="15" customHeight="1">
      <c r="A409" s="7" t="str">
        <f>"2303"</f>
        <v>2303</v>
      </c>
      <c r="B409" s="7" t="s">
        <v>12</v>
      </c>
      <c r="C409" s="7" t="str">
        <f>"杨宁"</f>
        <v>杨宁</v>
      </c>
      <c r="D409" s="7" t="str">
        <f>"20125018906"</f>
        <v>20125018906</v>
      </c>
      <c r="E409" s="8">
        <v>71.5</v>
      </c>
      <c r="F409" s="8" t="s">
        <v>58</v>
      </c>
      <c r="G409" s="9">
        <v>42.9</v>
      </c>
      <c r="H409" s="7" t="s">
        <v>11</v>
      </c>
    </row>
    <row r="410" spans="1:8" s="13" customFormat="1" ht="15" customHeight="1">
      <c r="A410" s="7" t="str">
        <f>"2303-2"</f>
        <v>2303-2</v>
      </c>
      <c r="B410" s="7" t="s">
        <v>39</v>
      </c>
      <c r="C410" s="7" t="str">
        <f>"成格尔"</f>
        <v>成格尔</v>
      </c>
      <c r="D410" s="7" t="str">
        <f>"20125018914"</f>
        <v>20125018914</v>
      </c>
      <c r="E410" s="8">
        <v>73.5</v>
      </c>
      <c r="F410" s="17">
        <v>86.06</v>
      </c>
      <c r="G410" s="9">
        <v>78.524</v>
      </c>
      <c r="H410" s="7" t="s">
        <v>10</v>
      </c>
    </row>
    <row r="411" spans="1:8" s="13" customFormat="1" ht="15" customHeight="1">
      <c r="A411" s="7" t="str">
        <f>"2303-2"</f>
        <v>2303-2</v>
      </c>
      <c r="B411" s="7" t="s">
        <v>39</v>
      </c>
      <c r="C411" s="7" t="str">
        <f>"隋跃"</f>
        <v>隋跃</v>
      </c>
      <c r="D411" s="7" t="str">
        <f>"20125018926"</f>
        <v>20125018926</v>
      </c>
      <c r="E411" s="8">
        <v>76.5</v>
      </c>
      <c r="F411" s="17">
        <v>81.26</v>
      </c>
      <c r="G411" s="9">
        <v>78.404</v>
      </c>
      <c r="H411" s="7" t="s">
        <v>11</v>
      </c>
    </row>
    <row r="412" spans="1:8" s="13" customFormat="1" ht="15" customHeight="1">
      <c r="A412" s="7" t="str">
        <f>"2303-2"</f>
        <v>2303-2</v>
      </c>
      <c r="B412" s="7" t="s">
        <v>39</v>
      </c>
      <c r="C412" s="7" t="str">
        <f>"王玉琦"</f>
        <v>王玉琦</v>
      </c>
      <c r="D412" s="7" t="str">
        <f>"20125018918"</f>
        <v>20125018918</v>
      </c>
      <c r="E412" s="8">
        <v>73</v>
      </c>
      <c r="F412" s="18" t="s">
        <v>386</v>
      </c>
      <c r="G412" s="9">
        <v>77.28</v>
      </c>
      <c r="H412" s="7" t="s">
        <v>11</v>
      </c>
    </row>
    <row r="413" spans="1:8" s="13" customFormat="1" ht="15" customHeight="1">
      <c r="A413" s="7" t="str">
        <f aca="true" t="shared" si="7" ref="A413:A419">"2304"</f>
        <v>2304</v>
      </c>
      <c r="B413" s="7" t="s">
        <v>13</v>
      </c>
      <c r="C413" s="7" t="str">
        <f>"白丽梅"</f>
        <v>白丽梅</v>
      </c>
      <c r="D413" s="7" t="str">
        <f>"10125013110"</f>
        <v>10125013110</v>
      </c>
      <c r="E413" s="8">
        <v>78.5</v>
      </c>
      <c r="F413" s="8">
        <v>84.62</v>
      </c>
      <c r="G413" s="9">
        <v>80.94800000000001</v>
      </c>
      <c r="H413" s="7" t="s">
        <v>10</v>
      </c>
    </row>
    <row r="414" spans="1:8" s="13" customFormat="1" ht="15" customHeight="1">
      <c r="A414" s="7" t="str">
        <f t="shared" si="7"/>
        <v>2304</v>
      </c>
      <c r="B414" s="7" t="s">
        <v>13</v>
      </c>
      <c r="C414" s="7" t="str">
        <f>"李晓庆"</f>
        <v>李晓庆</v>
      </c>
      <c r="D414" s="7" t="str">
        <f>"20125019006"</f>
        <v>20125019006</v>
      </c>
      <c r="E414" s="8">
        <v>75.5</v>
      </c>
      <c r="F414" s="8">
        <v>85.54</v>
      </c>
      <c r="G414" s="9">
        <v>79.51599999999999</v>
      </c>
      <c r="H414" s="7" t="s">
        <v>10</v>
      </c>
    </row>
    <row r="415" spans="1:8" s="13" customFormat="1" ht="15" customHeight="1">
      <c r="A415" s="7" t="str">
        <f t="shared" si="7"/>
        <v>2304</v>
      </c>
      <c r="B415" s="7" t="s">
        <v>13</v>
      </c>
      <c r="C415" s="7" t="str">
        <f>"沈慧成"</f>
        <v>沈慧成</v>
      </c>
      <c r="D415" s="7" t="str">
        <f>"10125013017"</f>
        <v>10125013017</v>
      </c>
      <c r="E415" s="8">
        <v>75</v>
      </c>
      <c r="F415" s="8">
        <v>86.04</v>
      </c>
      <c r="G415" s="9">
        <v>79.416</v>
      </c>
      <c r="H415" s="7" t="s">
        <v>11</v>
      </c>
    </row>
    <row r="416" spans="1:8" s="13" customFormat="1" ht="15" customHeight="1">
      <c r="A416" s="7" t="str">
        <f t="shared" si="7"/>
        <v>2304</v>
      </c>
      <c r="B416" s="7" t="s">
        <v>13</v>
      </c>
      <c r="C416" s="7" t="str">
        <f>"艾子扬"</f>
        <v>艾子扬</v>
      </c>
      <c r="D416" s="7" t="str">
        <f>"20125019029"</f>
        <v>20125019029</v>
      </c>
      <c r="E416" s="8">
        <v>74.5</v>
      </c>
      <c r="F416" s="8">
        <v>85.56</v>
      </c>
      <c r="G416" s="9">
        <v>78.924</v>
      </c>
      <c r="H416" s="7" t="s">
        <v>11</v>
      </c>
    </row>
    <row r="417" spans="1:8" s="13" customFormat="1" ht="15" customHeight="1">
      <c r="A417" s="7" t="str">
        <f t="shared" si="7"/>
        <v>2304</v>
      </c>
      <c r="B417" s="7" t="s">
        <v>13</v>
      </c>
      <c r="C417" s="7" t="str">
        <f>"孙迅"</f>
        <v>孙迅</v>
      </c>
      <c r="D417" s="7" t="str">
        <f>"20125019002"</f>
        <v>20125019002</v>
      </c>
      <c r="E417" s="8">
        <v>74</v>
      </c>
      <c r="F417" s="8">
        <v>83.46</v>
      </c>
      <c r="G417" s="9">
        <v>77.78399999999999</v>
      </c>
      <c r="H417" s="7" t="s">
        <v>11</v>
      </c>
    </row>
    <row r="418" spans="1:8" s="13" customFormat="1" ht="15" customHeight="1">
      <c r="A418" s="7" t="str">
        <f t="shared" si="7"/>
        <v>2304</v>
      </c>
      <c r="B418" s="7" t="s">
        <v>13</v>
      </c>
      <c r="C418" s="7" t="str">
        <f>"张晶晶"</f>
        <v>张晶晶</v>
      </c>
      <c r="D418" s="7" t="str">
        <f>"10125013118"</f>
        <v>10125013118</v>
      </c>
      <c r="E418" s="8">
        <v>73.5</v>
      </c>
      <c r="F418" s="8">
        <v>83.66</v>
      </c>
      <c r="G418" s="9">
        <v>77.564</v>
      </c>
      <c r="H418" s="7" t="s">
        <v>11</v>
      </c>
    </row>
    <row r="419" spans="1:8" s="13" customFormat="1" ht="15" customHeight="1">
      <c r="A419" s="7" t="str">
        <f t="shared" si="7"/>
        <v>2304</v>
      </c>
      <c r="B419" s="7" t="s">
        <v>13</v>
      </c>
      <c r="C419" s="7" t="str">
        <f>"刘英杰"</f>
        <v>刘英杰</v>
      </c>
      <c r="D419" s="7" t="str">
        <f>"20125019023"</f>
        <v>20125019023</v>
      </c>
      <c r="E419" s="8">
        <v>73.5</v>
      </c>
      <c r="F419" s="8">
        <v>82.3</v>
      </c>
      <c r="G419" s="9">
        <v>77.02000000000001</v>
      </c>
      <c r="H419" s="7" t="s">
        <v>11</v>
      </c>
    </row>
    <row r="420" spans="1:8" s="13" customFormat="1" ht="15" customHeight="1">
      <c r="A420" s="7" t="str">
        <f>"2305"</f>
        <v>2305</v>
      </c>
      <c r="B420" s="7" t="s">
        <v>13</v>
      </c>
      <c r="C420" s="7" t="str">
        <f>"李欣然"</f>
        <v>李欣然</v>
      </c>
      <c r="D420" s="7" t="str">
        <f>"10125013201"</f>
        <v>10125013201</v>
      </c>
      <c r="E420" s="8">
        <v>73.5</v>
      </c>
      <c r="F420" s="8">
        <v>81.48</v>
      </c>
      <c r="G420" s="9">
        <v>76.69200000000001</v>
      </c>
      <c r="H420" s="7" t="s">
        <v>10</v>
      </c>
    </row>
    <row r="421" spans="1:8" s="13" customFormat="1" ht="15" customHeight="1">
      <c r="A421" s="7" t="str">
        <f>"2305"</f>
        <v>2305</v>
      </c>
      <c r="B421" s="7" t="s">
        <v>13</v>
      </c>
      <c r="C421" s="7" t="str">
        <f>"马成伟"</f>
        <v>马成伟</v>
      </c>
      <c r="D421" s="7" t="str">
        <f>"10125013209"</f>
        <v>10125013209</v>
      </c>
      <c r="E421" s="8">
        <v>72</v>
      </c>
      <c r="F421" s="9">
        <v>82.8</v>
      </c>
      <c r="G421" s="9">
        <v>76.32</v>
      </c>
      <c r="H421" s="7" t="s">
        <v>11</v>
      </c>
    </row>
    <row r="422" spans="1:8" s="13" customFormat="1" ht="15" customHeight="1">
      <c r="A422" s="7" t="str">
        <f>"2305"</f>
        <v>2305</v>
      </c>
      <c r="B422" s="7" t="s">
        <v>13</v>
      </c>
      <c r="C422" s="7" t="str">
        <f>"王晓龙"</f>
        <v>王晓龙</v>
      </c>
      <c r="D422" s="7" t="str">
        <f>"10125013213"</f>
        <v>10125013213</v>
      </c>
      <c r="E422" s="8">
        <v>70.5</v>
      </c>
      <c r="F422" s="8">
        <v>82.82</v>
      </c>
      <c r="G422" s="9">
        <v>75.428</v>
      </c>
      <c r="H422" s="7" t="s">
        <v>11</v>
      </c>
    </row>
    <row r="423" spans="1:8" s="13" customFormat="1" ht="15" customHeight="1">
      <c r="A423" s="7" t="str">
        <f>"2305"</f>
        <v>2305</v>
      </c>
      <c r="B423" s="7" t="s">
        <v>13</v>
      </c>
      <c r="C423" s="7" t="str">
        <f>"杜佳宁"</f>
        <v>杜佳宁</v>
      </c>
      <c r="D423" s="7" t="str">
        <f>"10125013206"</f>
        <v>10125013206</v>
      </c>
      <c r="E423" s="8">
        <v>70.5</v>
      </c>
      <c r="F423" s="8">
        <v>82.56</v>
      </c>
      <c r="G423" s="9">
        <v>75.324</v>
      </c>
      <c r="H423" s="7" t="s">
        <v>11</v>
      </c>
    </row>
    <row r="424" spans="1:8" s="13" customFormat="1" ht="15" customHeight="1">
      <c r="A424" s="7" t="str">
        <f>"2306"</f>
        <v>2306</v>
      </c>
      <c r="B424" s="7" t="s">
        <v>387</v>
      </c>
      <c r="C424" s="7" t="str">
        <f>"呼和"</f>
        <v>呼和</v>
      </c>
      <c r="D424" s="7" t="str">
        <f>"20125012525"</f>
        <v>20125012525</v>
      </c>
      <c r="E424" s="8">
        <v>69.5</v>
      </c>
      <c r="F424" s="17">
        <v>82.78</v>
      </c>
      <c r="G424" s="9">
        <v>74.812</v>
      </c>
      <c r="H424" s="7" t="s">
        <v>10</v>
      </c>
    </row>
    <row r="425" spans="1:8" s="13" customFormat="1" ht="15" customHeight="1">
      <c r="A425" s="7" t="str">
        <f>"2306"</f>
        <v>2306</v>
      </c>
      <c r="B425" s="7" t="s">
        <v>387</v>
      </c>
      <c r="C425" s="7" t="str">
        <f>"那日苏"</f>
        <v>那日苏</v>
      </c>
      <c r="D425" s="7" t="str">
        <f>"20125012601"</f>
        <v>20125012601</v>
      </c>
      <c r="E425" s="8">
        <v>70</v>
      </c>
      <c r="F425" s="18" t="s">
        <v>388</v>
      </c>
      <c r="G425" s="9">
        <v>74.584</v>
      </c>
      <c r="H425" s="7" t="s">
        <v>11</v>
      </c>
    </row>
    <row r="426" spans="1:8" s="13" customFormat="1" ht="15" customHeight="1">
      <c r="A426" s="7" t="str">
        <f>"2306"</f>
        <v>2306</v>
      </c>
      <c r="B426" s="7" t="s">
        <v>387</v>
      </c>
      <c r="C426" s="7" t="str">
        <f>"李明"</f>
        <v>李明</v>
      </c>
      <c r="D426" s="7" t="str">
        <f>"20125012528"</f>
        <v>20125012528</v>
      </c>
      <c r="E426" s="8">
        <v>68</v>
      </c>
      <c r="F426" s="18" t="s">
        <v>389</v>
      </c>
      <c r="G426" s="9">
        <v>72.56</v>
      </c>
      <c r="H426" s="7" t="s">
        <v>11</v>
      </c>
    </row>
    <row r="427" spans="1:8" s="13" customFormat="1" ht="15" customHeight="1">
      <c r="A427" s="7" t="str">
        <f>"2306"</f>
        <v>2306</v>
      </c>
      <c r="B427" s="7" t="s">
        <v>387</v>
      </c>
      <c r="C427" s="7" t="str">
        <f>"燕燕"</f>
        <v>燕燕</v>
      </c>
      <c r="D427" s="7" t="str">
        <f>"20125012530"</f>
        <v>20125012530</v>
      </c>
      <c r="E427" s="8">
        <v>68</v>
      </c>
      <c r="F427" s="18" t="s">
        <v>390</v>
      </c>
      <c r="G427" s="9">
        <v>72.096</v>
      </c>
      <c r="H427" s="7" t="s">
        <v>11</v>
      </c>
    </row>
    <row r="428" spans="1:8" s="13" customFormat="1" ht="15" customHeight="1">
      <c r="A428" s="7" t="str">
        <f>"2306"</f>
        <v>2306</v>
      </c>
      <c r="B428" s="7" t="s">
        <v>387</v>
      </c>
      <c r="C428" s="7" t="str">
        <f>"伊勒胡"</f>
        <v>伊勒胡</v>
      </c>
      <c r="D428" s="7" t="str">
        <f>"20125012603"</f>
        <v>20125012603</v>
      </c>
      <c r="E428" s="8">
        <v>68</v>
      </c>
      <c r="F428" s="18" t="s">
        <v>391</v>
      </c>
      <c r="G428" s="9">
        <v>61.336</v>
      </c>
      <c r="H428" s="7" t="s">
        <v>11</v>
      </c>
    </row>
    <row r="429" spans="1:8" s="13" customFormat="1" ht="15" customHeight="1">
      <c r="A429" s="7" t="str">
        <f>"2401"</f>
        <v>2401</v>
      </c>
      <c r="B429" s="7" t="s">
        <v>181</v>
      </c>
      <c r="C429" s="7" t="str">
        <f>"特日格勒"</f>
        <v>特日格勒</v>
      </c>
      <c r="D429" s="7" t="str">
        <f>"20125012613"</f>
        <v>20125012613</v>
      </c>
      <c r="E429" s="8">
        <v>70</v>
      </c>
      <c r="F429" s="18" t="s">
        <v>392</v>
      </c>
      <c r="G429" s="9">
        <v>74.52000000000001</v>
      </c>
      <c r="H429" s="7" t="s">
        <v>10</v>
      </c>
    </row>
    <row r="430" spans="1:8" s="13" customFormat="1" ht="15" customHeight="1">
      <c r="A430" s="7" t="str">
        <f>"2401"</f>
        <v>2401</v>
      </c>
      <c r="B430" s="7" t="s">
        <v>181</v>
      </c>
      <c r="C430" s="7" t="str">
        <f>"李小龙"</f>
        <v>李小龙</v>
      </c>
      <c r="D430" s="7" t="str">
        <f>"20125012621"</f>
        <v>20125012621</v>
      </c>
      <c r="E430" s="8">
        <v>68</v>
      </c>
      <c r="F430" s="18" t="s">
        <v>392</v>
      </c>
      <c r="G430" s="9">
        <v>73.32</v>
      </c>
      <c r="H430" s="7" t="s">
        <v>11</v>
      </c>
    </row>
    <row r="431" spans="1:8" s="13" customFormat="1" ht="15" customHeight="1">
      <c r="A431" s="7" t="str">
        <f>"2401"</f>
        <v>2401</v>
      </c>
      <c r="B431" s="7" t="s">
        <v>181</v>
      </c>
      <c r="C431" s="7" t="str">
        <f>"苏日力格"</f>
        <v>苏日力格</v>
      </c>
      <c r="D431" s="7" t="str">
        <f>"20125012605"</f>
        <v>20125012605</v>
      </c>
      <c r="E431" s="8">
        <v>66.5</v>
      </c>
      <c r="F431" s="18" t="s">
        <v>393</v>
      </c>
      <c r="G431" s="9">
        <v>72.58</v>
      </c>
      <c r="H431" s="7" t="s">
        <v>11</v>
      </c>
    </row>
    <row r="432" spans="1:8" s="13" customFormat="1" ht="15" customHeight="1">
      <c r="A432" s="7" t="str">
        <f>"2402"</f>
        <v>2402</v>
      </c>
      <c r="B432" s="7" t="s">
        <v>12</v>
      </c>
      <c r="C432" s="7" t="str">
        <f>"宋志宏"</f>
        <v>宋志宏</v>
      </c>
      <c r="D432" s="7" t="str">
        <f>"10125013226"</f>
        <v>10125013226</v>
      </c>
      <c r="E432" s="8">
        <v>59.5</v>
      </c>
      <c r="F432" s="17">
        <v>85.22</v>
      </c>
      <c r="G432" s="9">
        <v>69.788</v>
      </c>
      <c r="H432" s="7" t="s">
        <v>10</v>
      </c>
    </row>
    <row r="433" spans="1:8" s="13" customFormat="1" ht="15" customHeight="1">
      <c r="A433" s="7" t="str">
        <f>"2402"</f>
        <v>2402</v>
      </c>
      <c r="B433" s="7" t="s">
        <v>12</v>
      </c>
      <c r="C433" s="7" t="str">
        <f>"阿木古楞"</f>
        <v>阿木古楞</v>
      </c>
      <c r="D433" s="7" t="str">
        <f>"10125013225"</f>
        <v>10125013225</v>
      </c>
      <c r="E433" s="8">
        <v>56.5</v>
      </c>
      <c r="F433" s="17">
        <v>82.64</v>
      </c>
      <c r="G433" s="9">
        <v>66.956</v>
      </c>
      <c r="H433" s="7" t="s">
        <v>11</v>
      </c>
    </row>
    <row r="434" spans="1:8" s="13" customFormat="1" ht="15" customHeight="1">
      <c r="A434" s="7" t="str">
        <f>"2402"</f>
        <v>2402</v>
      </c>
      <c r="B434" s="7" t="s">
        <v>12</v>
      </c>
      <c r="C434" s="7" t="str">
        <f>"昂嘎利玛"</f>
        <v>昂嘎利玛</v>
      </c>
      <c r="D434" s="7" t="str">
        <f>"10125013223"</f>
        <v>10125013223</v>
      </c>
      <c r="E434" s="8">
        <v>63.5</v>
      </c>
      <c r="F434" s="8" t="s">
        <v>58</v>
      </c>
      <c r="G434" s="9">
        <v>38.1</v>
      </c>
      <c r="H434" s="7" t="s">
        <v>11</v>
      </c>
    </row>
    <row r="435" spans="1:8" s="13" customFormat="1" ht="15" customHeight="1">
      <c r="A435" s="7" t="str">
        <f>"2501"</f>
        <v>2501</v>
      </c>
      <c r="B435" s="7" t="s">
        <v>9</v>
      </c>
      <c r="C435" s="7" t="str">
        <f>"姜艳娇"</f>
        <v>姜艳娇</v>
      </c>
      <c r="D435" s="7" t="str">
        <f>"10125013304"</f>
        <v>10125013304</v>
      </c>
      <c r="E435" s="8">
        <v>67</v>
      </c>
      <c r="F435" s="8">
        <v>82.02</v>
      </c>
      <c r="G435" s="9">
        <v>73.008</v>
      </c>
      <c r="H435" s="7" t="s">
        <v>10</v>
      </c>
    </row>
    <row r="436" spans="1:8" s="13" customFormat="1" ht="15" customHeight="1">
      <c r="A436" s="7" t="str">
        <f>"2501"</f>
        <v>2501</v>
      </c>
      <c r="B436" s="7" t="s">
        <v>9</v>
      </c>
      <c r="C436" s="7" t="str">
        <f>"魏一晴"</f>
        <v>魏一晴</v>
      </c>
      <c r="D436" s="7" t="str">
        <f>"10125013229"</f>
        <v>10125013229</v>
      </c>
      <c r="E436" s="8">
        <v>66</v>
      </c>
      <c r="F436" s="8">
        <v>81.54</v>
      </c>
      <c r="G436" s="9">
        <v>72.21600000000001</v>
      </c>
      <c r="H436" s="7" t="s">
        <v>11</v>
      </c>
    </row>
    <row r="437" spans="1:8" s="13" customFormat="1" ht="15" customHeight="1">
      <c r="A437" s="7" t="str">
        <f>"2501"</f>
        <v>2501</v>
      </c>
      <c r="B437" s="7" t="s">
        <v>9</v>
      </c>
      <c r="C437" s="7" t="str">
        <f>"胡雪"</f>
        <v>胡雪</v>
      </c>
      <c r="D437" s="7" t="str">
        <f>"10125013227"</f>
        <v>10125013227</v>
      </c>
      <c r="E437" s="8">
        <v>66</v>
      </c>
      <c r="F437" s="8">
        <v>81.12</v>
      </c>
      <c r="G437" s="9">
        <v>72.048</v>
      </c>
      <c r="H437" s="7" t="s">
        <v>11</v>
      </c>
    </row>
    <row r="438" spans="1:8" s="13" customFormat="1" ht="15" customHeight="1">
      <c r="A438" s="7" t="str">
        <f>"2503"</f>
        <v>2503</v>
      </c>
      <c r="B438" s="7" t="s">
        <v>13</v>
      </c>
      <c r="C438" s="7" t="str">
        <f>"巴达仁贵"</f>
        <v>巴达仁贵</v>
      </c>
      <c r="D438" s="7" t="str">
        <f>"10125013417"</f>
        <v>10125013417</v>
      </c>
      <c r="E438" s="8">
        <v>71.5</v>
      </c>
      <c r="F438" s="8">
        <v>82.18</v>
      </c>
      <c r="G438" s="9">
        <v>75.772</v>
      </c>
      <c r="H438" s="7" t="s">
        <v>10</v>
      </c>
    </row>
    <row r="439" spans="1:8" s="13" customFormat="1" ht="15" customHeight="1">
      <c r="A439" s="7" t="str">
        <f>"2503"</f>
        <v>2503</v>
      </c>
      <c r="B439" s="7" t="s">
        <v>13</v>
      </c>
      <c r="C439" s="7" t="str">
        <f>"徐凌禄"</f>
        <v>徐凌禄</v>
      </c>
      <c r="D439" s="7" t="str">
        <f>"10125013402"</f>
        <v>10125013402</v>
      </c>
      <c r="E439" s="8">
        <v>68</v>
      </c>
      <c r="F439" s="8">
        <v>82.12</v>
      </c>
      <c r="G439" s="9">
        <v>73.648</v>
      </c>
      <c r="H439" s="7" t="s">
        <v>11</v>
      </c>
    </row>
    <row r="440" spans="1:8" s="13" customFormat="1" ht="15" customHeight="1">
      <c r="A440" s="7" t="str">
        <f>"2503"</f>
        <v>2503</v>
      </c>
      <c r="B440" s="7" t="s">
        <v>13</v>
      </c>
      <c r="C440" s="7" t="str">
        <f>"李浩"</f>
        <v>李浩</v>
      </c>
      <c r="D440" s="7" t="str">
        <f>"10125013424"</f>
        <v>10125013424</v>
      </c>
      <c r="E440" s="8">
        <v>68</v>
      </c>
      <c r="F440" s="8">
        <v>79</v>
      </c>
      <c r="G440" s="9">
        <v>72.4</v>
      </c>
      <c r="H440" s="7" t="s">
        <v>11</v>
      </c>
    </row>
    <row r="441" spans="1:8" s="13" customFormat="1" ht="15" customHeight="1">
      <c r="A441" s="7" t="str">
        <f>"2504"</f>
        <v>2504</v>
      </c>
      <c r="B441" s="7" t="s">
        <v>38</v>
      </c>
      <c r="C441" s="7" t="str">
        <f>"张赛"</f>
        <v>张赛</v>
      </c>
      <c r="D441" s="7" t="str">
        <f>"10125013510"</f>
        <v>10125013510</v>
      </c>
      <c r="E441" s="8">
        <v>69.5</v>
      </c>
      <c r="F441" s="8">
        <v>82.32</v>
      </c>
      <c r="G441" s="9">
        <v>74.62799999999999</v>
      </c>
      <c r="H441" s="7" t="s">
        <v>10</v>
      </c>
    </row>
    <row r="442" spans="1:8" s="13" customFormat="1" ht="15" customHeight="1">
      <c r="A442" s="7" t="str">
        <f>"2504"</f>
        <v>2504</v>
      </c>
      <c r="B442" s="7" t="s">
        <v>38</v>
      </c>
      <c r="C442" s="7" t="str">
        <f>"吴倩"</f>
        <v>吴倩</v>
      </c>
      <c r="D442" s="7" t="str">
        <f>"10125013502"</f>
        <v>10125013502</v>
      </c>
      <c r="E442" s="8">
        <v>65</v>
      </c>
      <c r="F442" s="8">
        <v>81.08</v>
      </c>
      <c r="G442" s="9">
        <v>71.432</v>
      </c>
      <c r="H442" s="7" t="s">
        <v>11</v>
      </c>
    </row>
    <row r="443" spans="1:8" s="13" customFormat="1" ht="15" customHeight="1">
      <c r="A443" s="7" t="str">
        <f>"2504"</f>
        <v>2504</v>
      </c>
      <c r="B443" s="7" t="s">
        <v>38</v>
      </c>
      <c r="C443" s="7" t="str">
        <f>"耿晓宇"</f>
        <v>耿晓宇</v>
      </c>
      <c r="D443" s="7" t="str">
        <f>"10125013503"</f>
        <v>10125013503</v>
      </c>
      <c r="E443" s="8">
        <v>64.5</v>
      </c>
      <c r="F443" s="8">
        <v>81.12</v>
      </c>
      <c r="G443" s="9">
        <v>71.148</v>
      </c>
      <c r="H443" s="7" t="s">
        <v>11</v>
      </c>
    </row>
    <row r="444" spans="1:8" s="13" customFormat="1" ht="15" customHeight="1">
      <c r="A444" s="7" t="str">
        <f>"2505"</f>
        <v>2505</v>
      </c>
      <c r="B444" s="7" t="s">
        <v>394</v>
      </c>
      <c r="C444" s="7" t="str">
        <f>"任兆刚"</f>
        <v>任兆刚</v>
      </c>
      <c r="D444" s="7" t="str">
        <f>"10125013527"</f>
        <v>10125013527</v>
      </c>
      <c r="E444" s="8">
        <v>66</v>
      </c>
      <c r="F444" s="8">
        <v>84.26</v>
      </c>
      <c r="G444" s="9">
        <v>73.304</v>
      </c>
      <c r="H444" s="7" t="s">
        <v>10</v>
      </c>
    </row>
    <row r="445" spans="1:8" s="13" customFormat="1" ht="15" customHeight="1">
      <c r="A445" s="7" t="str">
        <f>"2505"</f>
        <v>2505</v>
      </c>
      <c r="B445" s="7" t="s">
        <v>394</v>
      </c>
      <c r="C445" s="7" t="str">
        <f>"崔元竹"</f>
        <v>崔元竹</v>
      </c>
      <c r="D445" s="7" t="str">
        <f>"10125013528"</f>
        <v>10125013528</v>
      </c>
      <c r="E445" s="8">
        <v>61.5</v>
      </c>
      <c r="F445" s="8">
        <v>82.4</v>
      </c>
      <c r="G445" s="9">
        <v>69.86</v>
      </c>
      <c r="H445" s="7" t="s">
        <v>11</v>
      </c>
    </row>
    <row r="446" spans="1:8" s="13" customFormat="1" ht="15" customHeight="1">
      <c r="A446" s="7" t="str">
        <f>"2505"</f>
        <v>2505</v>
      </c>
      <c r="B446" s="7" t="s">
        <v>394</v>
      </c>
      <c r="C446" s="7" t="str">
        <f>"崔美婧"</f>
        <v>崔美婧</v>
      </c>
      <c r="D446" s="7" t="str">
        <f>"10125013524"</f>
        <v>10125013524</v>
      </c>
      <c r="E446" s="8">
        <v>60.5</v>
      </c>
      <c r="F446" s="8">
        <v>81.36</v>
      </c>
      <c r="G446" s="9">
        <v>68.844</v>
      </c>
      <c r="H446" s="7" t="s">
        <v>11</v>
      </c>
    </row>
    <row r="447" spans="1:8" s="13" customFormat="1" ht="15" customHeight="1">
      <c r="A447" s="7" t="str">
        <f>"2506"</f>
        <v>2506</v>
      </c>
      <c r="B447" s="7" t="s">
        <v>209</v>
      </c>
      <c r="C447" s="7" t="str">
        <f>"刘欣蕾"</f>
        <v>刘欣蕾</v>
      </c>
      <c r="D447" s="7" t="str">
        <f>"10125013601"</f>
        <v>10125013601</v>
      </c>
      <c r="E447" s="8">
        <v>68.5</v>
      </c>
      <c r="F447" s="18" t="s">
        <v>395</v>
      </c>
      <c r="G447" s="9">
        <v>75.30000000000001</v>
      </c>
      <c r="H447" s="7" t="s">
        <v>10</v>
      </c>
    </row>
    <row r="448" spans="1:8" s="13" customFormat="1" ht="15" customHeight="1">
      <c r="A448" s="7" t="str">
        <f>"2506"</f>
        <v>2506</v>
      </c>
      <c r="B448" s="7" t="s">
        <v>209</v>
      </c>
      <c r="C448" s="7" t="str">
        <f>"乌日汗"</f>
        <v>乌日汗</v>
      </c>
      <c r="D448" s="7" t="str">
        <f>"10125013602"</f>
        <v>10125013602</v>
      </c>
      <c r="E448" s="8">
        <v>67.5</v>
      </c>
      <c r="F448" s="17">
        <v>86.94</v>
      </c>
      <c r="G448" s="9">
        <v>75.27600000000001</v>
      </c>
      <c r="H448" s="7" t="s">
        <v>11</v>
      </c>
    </row>
    <row r="449" spans="1:8" s="13" customFormat="1" ht="15" customHeight="1">
      <c r="A449" s="7" t="str">
        <f>"2506"</f>
        <v>2506</v>
      </c>
      <c r="B449" s="7" t="s">
        <v>209</v>
      </c>
      <c r="C449" s="7" t="str">
        <f>"宝乌勇嘎"</f>
        <v>宝乌勇嘎</v>
      </c>
      <c r="D449" s="7" t="str">
        <f>"10125013529"</f>
        <v>10125013529</v>
      </c>
      <c r="E449" s="8">
        <v>61</v>
      </c>
      <c r="F449" s="17">
        <v>81.46</v>
      </c>
      <c r="G449" s="9">
        <v>69.184</v>
      </c>
      <c r="H449" s="7" t="s">
        <v>11</v>
      </c>
    </row>
    <row r="450" spans="1:8" s="13" customFormat="1" ht="15" customHeight="1">
      <c r="A450" s="7" t="str">
        <f>"2601"</f>
        <v>2601</v>
      </c>
      <c r="B450" s="7" t="s">
        <v>118</v>
      </c>
      <c r="C450" s="7" t="str">
        <f>"崔丽茉"</f>
        <v>崔丽茉</v>
      </c>
      <c r="D450" s="7" t="str">
        <f>"10125013825"</f>
        <v>10125013825</v>
      </c>
      <c r="E450" s="8">
        <v>79.5</v>
      </c>
      <c r="F450" s="8">
        <v>82.56</v>
      </c>
      <c r="G450" s="9">
        <v>80.72399999999999</v>
      </c>
      <c r="H450" s="7" t="s">
        <v>10</v>
      </c>
    </row>
    <row r="451" spans="1:8" s="13" customFormat="1" ht="15" customHeight="1">
      <c r="A451" s="7" t="str">
        <f>"2601"</f>
        <v>2601</v>
      </c>
      <c r="B451" s="7" t="s">
        <v>118</v>
      </c>
      <c r="C451" s="7" t="str">
        <f>"焦敏达"</f>
        <v>焦敏达</v>
      </c>
      <c r="D451" s="7" t="str">
        <f>"10125013728"</f>
        <v>10125013728</v>
      </c>
      <c r="E451" s="8">
        <v>78.5</v>
      </c>
      <c r="F451" s="8">
        <v>83.24</v>
      </c>
      <c r="G451" s="9">
        <v>80.396</v>
      </c>
      <c r="H451" s="7" t="s">
        <v>11</v>
      </c>
    </row>
    <row r="452" spans="1:8" s="13" customFormat="1" ht="15" customHeight="1">
      <c r="A452" s="7" t="str">
        <f>"2601"</f>
        <v>2601</v>
      </c>
      <c r="B452" s="7" t="s">
        <v>118</v>
      </c>
      <c r="C452" s="7" t="str">
        <f>"曹雷"</f>
        <v>曹雷</v>
      </c>
      <c r="D452" s="7" t="str">
        <f>"10125014519"</f>
        <v>10125014519</v>
      </c>
      <c r="E452" s="8">
        <v>77</v>
      </c>
      <c r="F452" s="8">
        <v>82.94</v>
      </c>
      <c r="G452" s="9">
        <v>79.376</v>
      </c>
      <c r="H452" s="7" t="s">
        <v>11</v>
      </c>
    </row>
    <row r="453" spans="1:8" s="13" customFormat="1" ht="15" customHeight="1">
      <c r="A453" s="7" t="str">
        <f>"2602"</f>
        <v>2602</v>
      </c>
      <c r="B453" s="7" t="s">
        <v>9</v>
      </c>
      <c r="C453" s="7" t="str">
        <f>"包乃文"</f>
        <v>包乃文</v>
      </c>
      <c r="D453" s="7" t="str">
        <f>"10125015210"</f>
        <v>10125015210</v>
      </c>
      <c r="E453" s="8">
        <v>78.5</v>
      </c>
      <c r="F453" s="8">
        <v>80.64</v>
      </c>
      <c r="G453" s="9">
        <v>79.356</v>
      </c>
      <c r="H453" s="7" t="s">
        <v>10</v>
      </c>
    </row>
    <row r="454" spans="1:8" s="13" customFormat="1" ht="15" customHeight="1">
      <c r="A454" s="7" t="str">
        <f>"2602"</f>
        <v>2602</v>
      </c>
      <c r="B454" s="7" t="s">
        <v>9</v>
      </c>
      <c r="C454" s="7" t="str">
        <f>"贺希格图"</f>
        <v>贺希格图</v>
      </c>
      <c r="D454" s="7" t="str">
        <f>"10125015302"</f>
        <v>10125015302</v>
      </c>
      <c r="E454" s="8">
        <v>73</v>
      </c>
      <c r="F454" s="8">
        <v>80.66</v>
      </c>
      <c r="G454" s="9">
        <v>76.064</v>
      </c>
      <c r="H454" s="7" t="s">
        <v>11</v>
      </c>
    </row>
    <row r="455" spans="1:8" s="13" customFormat="1" ht="15" customHeight="1">
      <c r="A455" s="7" t="str">
        <f>"2602"</f>
        <v>2602</v>
      </c>
      <c r="B455" s="7" t="s">
        <v>9</v>
      </c>
      <c r="C455" s="7" t="str">
        <f>"征世"</f>
        <v>征世</v>
      </c>
      <c r="D455" s="7" t="str">
        <f>"10125015207"</f>
        <v>10125015207</v>
      </c>
      <c r="E455" s="8">
        <v>73</v>
      </c>
      <c r="F455" s="8">
        <v>80.32</v>
      </c>
      <c r="G455" s="9">
        <v>75.928</v>
      </c>
      <c r="H455" s="7" t="s">
        <v>11</v>
      </c>
    </row>
    <row r="456" spans="1:8" s="13" customFormat="1" ht="15" customHeight="1">
      <c r="A456" s="7" t="str">
        <f>"2603"</f>
        <v>2603</v>
      </c>
      <c r="B456" s="7" t="s">
        <v>67</v>
      </c>
      <c r="C456" s="7" t="str">
        <f>"给利泊根"</f>
        <v>给利泊根</v>
      </c>
      <c r="D456" s="7" t="str">
        <f>"20125012808"</f>
        <v>20125012808</v>
      </c>
      <c r="E456" s="8">
        <v>71</v>
      </c>
      <c r="F456" s="18" t="s">
        <v>384</v>
      </c>
      <c r="G456" s="9">
        <v>75.56</v>
      </c>
      <c r="H456" s="7" t="s">
        <v>10</v>
      </c>
    </row>
    <row r="457" spans="1:8" s="13" customFormat="1" ht="15" customHeight="1">
      <c r="A457" s="7" t="str">
        <f>"2603"</f>
        <v>2603</v>
      </c>
      <c r="B457" s="7" t="s">
        <v>67</v>
      </c>
      <c r="C457" s="7" t="str">
        <f>"丹丹"</f>
        <v>丹丹</v>
      </c>
      <c r="D457" s="7" t="str">
        <f>"20125012722"</f>
        <v>20125012722</v>
      </c>
      <c r="E457" s="8">
        <v>68</v>
      </c>
      <c r="F457" s="17">
        <v>82.08</v>
      </c>
      <c r="G457" s="9">
        <v>73.632</v>
      </c>
      <c r="H457" s="7" t="s">
        <v>11</v>
      </c>
    </row>
    <row r="458" spans="1:8" s="13" customFormat="1" ht="15" customHeight="1">
      <c r="A458" s="7" t="str">
        <f>"2603"</f>
        <v>2603</v>
      </c>
      <c r="B458" s="7" t="s">
        <v>67</v>
      </c>
      <c r="C458" s="7" t="str">
        <f>"王小春"</f>
        <v>王小春</v>
      </c>
      <c r="D458" s="7" t="str">
        <f>"20125012730"</f>
        <v>20125012730</v>
      </c>
      <c r="E458" s="8">
        <v>67.5</v>
      </c>
      <c r="F458" s="17">
        <v>80.92</v>
      </c>
      <c r="G458" s="9">
        <v>72.868</v>
      </c>
      <c r="H458" s="7" t="s">
        <v>11</v>
      </c>
    </row>
    <row r="459" spans="1:8" s="13" customFormat="1" ht="15" customHeight="1">
      <c r="A459" s="7" t="str">
        <f>"2604"</f>
        <v>2604</v>
      </c>
      <c r="B459" s="7" t="s">
        <v>13</v>
      </c>
      <c r="C459" s="7" t="str">
        <f>"暴景杰"</f>
        <v>暴景杰</v>
      </c>
      <c r="D459" s="7" t="str">
        <f>"10125015417"</f>
        <v>10125015417</v>
      </c>
      <c r="E459" s="8">
        <v>80.5</v>
      </c>
      <c r="F459" s="8">
        <v>81.34</v>
      </c>
      <c r="G459" s="9">
        <v>80.836</v>
      </c>
      <c r="H459" s="7" t="s">
        <v>10</v>
      </c>
    </row>
    <row r="460" spans="1:8" s="13" customFormat="1" ht="15" customHeight="1">
      <c r="A460" s="7" t="str">
        <f>"2604"</f>
        <v>2604</v>
      </c>
      <c r="B460" s="7" t="s">
        <v>13</v>
      </c>
      <c r="C460" s="7" t="str">
        <f>"吴建国"</f>
        <v>吴建国</v>
      </c>
      <c r="D460" s="7" t="str">
        <f>"10125015530"</f>
        <v>10125015530</v>
      </c>
      <c r="E460" s="8">
        <v>71.5</v>
      </c>
      <c r="F460" s="8">
        <v>81.86</v>
      </c>
      <c r="G460" s="9">
        <v>75.644</v>
      </c>
      <c r="H460" s="7" t="s">
        <v>11</v>
      </c>
    </row>
    <row r="461" spans="1:8" s="13" customFormat="1" ht="15" customHeight="1">
      <c r="A461" s="7" t="str">
        <f>"2604"</f>
        <v>2604</v>
      </c>
      <c r="B461" s="7" t="s">
        <v>13</v>
      </c>
      <c r="C461" s="7" t="str">
        <f>"王晓峰"</f>
        <v>王晓峰</v>
      </c>
      <c r="D461" s="7" t="str">
        <f>"10125015415"</f>
        <v>10125015415</v>
      </c>
      <c r="E461" s="8">
        <v>71.5</v>
      </c>
      <c r="F461" s="8">
        <v>80.4</v>
      </c>
      <c r="G461" s="9">
        <v>75.06</v>
      </c>
      <c r="H461" s="7" t="s">
        <v>11</v>
      </c>
    </row>
    <row r="462" spans="1:8" s="13" customFormat="1" ht="15" customHeight="1">
      <c r="A462" s="7" t="str">
        <f>"2605"</f>
        <v>2605</v>
      </c>
      <c r="B462" s="7" t="s">
        <v>38</v>
      </c>
      <c r="C462" s="7" t="str">
        <f>"李宗曌"</f>
        <v>李宗曌</v>
      </c>
      <c r="D462" s="7" t="str">
        <f>"10125015623"</f>
        <v>10125015623</v>
      </c>
      <c r="E462" s="8">
        <v>79</v>
      </c>
      <c r="F462" s="8">
        <v>79.6</v>
      </c>
      <c r="G462" s="9">
        <v>79.24</v>
      </c>
      <c r="H462" s="7" t="s">
        <v>10</v>
      </c>
    </row>
    <row r="463" spans="1:8" s="13" customFormat="1" ht="15" customHeight="1">
      <c r="A463" s="7" t="str">
        <f>"2605"</f>
        <v>2605</v>
      </c>
      <c r="B463" s="7" t="s">
        <v>38</v>
      </c>
      <c r="C463" s="7" t="str">
        <f>"李兰"</f>
        <v>李兰</v>
      </c>
      <c r="D463" s="7" t="str">
        <f>"10125015804"</f>
        <v>10125015804</v>
      </c>
      <c r="E463" s="8">
        <v>76</v>
      </c>
      <c r="F463" s="8">
        <v>80.1</v>
      </c>
      <c r="G463" s="9">
        <v>77.64</v>
      </c>
      <c r="H463" s="7" t="s">
        <v>11</v>
      </c>
    </row>
    <row r="464" spans="1:8" s="13" customFormat="1" ht="15" customHeight="1">
      <c r="A464" s="7" t="str">
        <f>"2605"</f>
        <v>2605</v>
      </c>
      <c r="B464" s="7" t="s">
        <v>38</v>
      </c>
      <c r="C464" s="7" t="str">
        <f>"石林烁"</f>
        <v>石林烁</v>
      </c>
      <c r="D464" s="7" t="str">
        <f>"10125015624"</f>
        <v>10125015624</v>
      </c>
      <c r="E464" s="8">
        <v>72</v>
      </c>
      <c r="F464" s="8">
        <v>81.58</v>
      </c>
      <c r="G464" s="9">
        <v>75.832</v>
      </c>
      <c r="H464" s="7" t="s">
        <v>11</v>
      </c>
    </row>
    <row r="465" spans="1:8" s="13" customFormat="1" ht="15" customHeight="1">
      <c r="A465" s="7" t="str">
        <f>"2606"</f>
        <v>2606</v>
      </c>
      <c r="B465" s="7" t="s">
        <v>394</v>
      </c>
      <c r="C465" s="7" t="str">
        <f>"乌日汗"</f>
        <v>乌日汗</v>
      </c>
      <c r="D465" s="7" t="str">
        <f>"30125013028"</f>
        <v>30125013028</v>
      </c>
      <c r="E465" s="8">
        <v>76</v>
      </c>
      <c r="F465" s="8">
        <v>80.86</v>
      </c>
      <c r="G465" s="9">
        <v>77.944</v>
      </c>
      <c r="H465" s="7" t="s">
        <v>10</v>
      </c>
    </row>
    <row r="466" spans="1:8" s="13" customFormat="1" ht="15" customHeight="1">
      <c r="A466" s="7" t="str">
        <f>"2606"</f>
        <v>2606</v>
      </c>
      <c r="B466" s="7" t="s">
        <v>394</v>
      </c>
      <c r="C466" s="7" t="str">
        <f>"孙虎"</f>
        <v>孙虎</v>
      </c>
      <c r="D466" s="7" t="str">
        <f>"30125013102"</f>
        <v>30125013102</v>
      </c>
      <c r="E466" s="8">
        <v>67</v>
      </c>
      <c r="F466" s="8">
        <v>79.38</v>
      </c>
      <c r="G466" s="9">
        <v>71.952</v>
      </c>
      <c r="H466" s="7" t="s">
        <v>11</v>
      </c>
    </row>
    <row r="467" spans="1:8" s="13" customFormat="1" ht="15" customHeight="1">
      <c r="A467" s="7" t="str">
        <f>"2606"</f>
        <v>2606</v>
      </c>
      <c r="B467" s="7" t="s">
        <v>394</v>
      </c>
      <c r="C467" s="7" t="str">
        <f>"李青"</f>
        <v>李青</v>
      </c>
      <c r="D467" s="7" t="str">
        <f>"30125013029"</f>
        <v>30125013029</v>
      </c>
      <c r="E467" s="8">
        <v>61</v>
      </c>
      <c r="F467" s="8">
        <v>62.62</v>
      </c>
      <c r="G467" s="9">
        <v>61.648</v>
      </c>
      <c r="H467" s="7" t="s">
        <v>11</v>
      </c>
    </row>
    <row r="468" spans="1:8" s="13" customFormat="1" ht="15" customHeight="1">
      <c r="A468" s="7" t="str">
        <f>"2607"</f>
        <v>2607</v>
      </c>
      <c r="B468" s="7" t="s">
        <v>29</v>
      </c>
      <c r="C468" s="7" t="str">
        <f>"张静男"</f>
        <v>张静男</v>
      </c>
      <c r="D468" s="7" t="str">
        <f>"30125013114"</f>
        <v>30125013114</v>
      </c>
      <c r="E468" s="8">
        <v>71</v>
      </c>
      <c r="F468" s="8">
        <v>81.52</v>
      </c>
      <c r="G468" s="9">
        <v>75.208</v>
      </c>
      <c r="H468" s="7" t="s">
        <v>10</v>
      </c>
    </row>
    <row r="469" spans="1:8" s="13" customFormat="1" ht="15" customHeight="1">
      <c r="A469" s="7" t="str">
        <f>"2607"</f>
        <v>2607</v>
      </c>
      <c r="B469" s="7" t="s">
        <v>29</v>
      </c>
      <c r="C469" s="7" t="str">
        <f>"王心坦"</f>
        <v>王心坦</v>
      </c>
      <c r="D469" s="7" t="str">
        <f>"30125013121"</f>
        <v>30125013121</v>
      </c>
      <c r="E469" s="8">
        <v>68.5</v>
      </c>
      <c r="F469" s="8">
        <v>80.3</v>
      </c>
      <c r="G469" s="9">
        <v>73.22</v>
      </c>
      <c r="H469" s="7" t="s">
        <v>11</v>
      </c>
    </row>
    <row r="470" spans="1:8" s="13" customFormat="1" ht="15" customHeight="1">
      <c r="A470" s="7" t="str">
        <f>"2607"</f>
        <v>2607</v>
      </c>
      <c r="B470" s="7" t="s">
        <v>29</v>
      </c>
      <c r="C470" s="7" t="str">
        <f>"包永伟"</f>
        <v>包永伟</v>
      </c>
      <c r="D470" s="7" t="str">
        <f>"30125013109"</f>
        <v>30125013109</v>
      </c>
      <c r="E470" s="8">
        <v>69</v>
      </c>
      <c r="F470" s="8">
        <v>79.5</v>
      </c>
      <c r="G470" s="9">
        <v>73.2</v>
      </c>
      <c r="H470" s="7" t="s">
        <v>11</v>
      </c>
    </row>
    <row r="471" spans="1:8" s="13" customFormat="1" ht="15" customHeight="1">
      <c r="A471" s="7" t="str">
        <f>"2608"</f>
        <v>2608</v>
      </c>
      <c r="B471" s="7" t="s">
        <v>307</v>
      </c>
      <c r="C471" s="7" t="str">
        <f>"赵灵"</f>
        <v>赵灵</v>
      </c>
      <c r="D471" s="7" t="str">
        <f>"30125013205"</f>
        <v>30125013205</v>
      </c>
      <c r="E471" s="8">
        <v>66.5</v>
      </c>
      <c r="F471" s="18" t="s">
        <v>381</v>
      </c>
      <c r="G471" s="9">
        <v>73.62</v>
      </c>
      <c r="H471" s="7" t="s">
        <v>10</v>
      </c>
    </row>
    <row r="472" spans="1:8" s="13" customFormat="1" ht="15" customHeight="1">
      <c r="A472" s="7" t="str">
        <f>"2608"</f>
        <v>2608</v>
      </c>
      <c r="B472" s="7" t="s">
        <v>307</v>
      </c>
      <c r="C472" s="7" t="str">
        <f>"特日格乐"</f>
        <v>特日格乐</v>
      </c>
      <c r="D472" s="7" t="str">
        <f>"30125013202"</f>
        <v>30125013202</v>
      </c>
      <c r="E472" s="8">
        <v>65</v>
      </c>
      <c r="F472" s="17">
        <v>80.74</v>
      </c>
      <c r="G472" s="9">
        <v>71.29599999999999</v>
      </c>
      <c r="H472" s="7" t="s">
        <v>11</v>
      </c>
    </row>
    <row r="473" spans="1:8" s="13" customFormat="1" ht="15" customHeight="1">
      <c r="A473" s="7" t="str">
        <f>"2608"</f>
        <v>2608</v>
      </c>
      <c r="B473" s="7" t="s">
        <v>307</v>
      </c>
      <c r="C473" s="7" t="str">
        <f>"孙振波"</f>
        <v>孙振波</v>
      </c>
      <c r="D473" s="7" t="str">
        <f>"30125013204"</f>
        <v>30125013204</v>
      </c>
      <c r="E473" s="8">
        <v>62.5</v>
      </c>
      <c r="F473" s="8">
        <v>0</v>
      </c>
      <c r="G473" s="9">
        <v>37.5</v>
      </c>
      <c r="H473" s="7" t="s">
        <v>11</v>
      </c>
    </row>
    <row r="474" spans="1:8" s="13" customFormat="1" ht="15" customHeight="1">
      <c r="A474" s="7" t="str">
        <f>"2609"</f>
        <v>2609</v>
      </c>
      <c r="B474" s="7" t="s">
        <v>36</v>
      </c>
      <c r="C474" s="7" t="str">
        <f>"王蕾"</f>
        <v>王蕾</v>
      </c>
      <c r="D474" s="7" t="str">
        <f>"30125013411"</f>
        <v>30125013411</v>
      </c>
      <c r="E474" s="8">
        <v>78.5</v>
      </c>
      <c r="F474" s="8">
        <v>81.4</v>
      </c>
      <c r="G474" s="9">
        <v>79.66</v>
      </c>
      <c r="H474" s="7" t="s">
        <v>10</v>
      </c>
    </row>
    <row r="475" spans="1:8" s="13" customFormat="1" ht="15" customHeight="1">
      <c r="A475" s="7" t="str">
        <f>"2609"</f>
        <v>2609</v>
      </c>
      <c r="B475" s="7" t="s">
        <v>36</v>
      </c>
      <c r="C475" s="7" t="str">
        <f>"德乐贺"</f>
        <v>德乐贺</v>
      </c>
      <c r="D475" s="7" t="str">
        <f>"30125013318"</f>
        <v>30125013318</v>
      </c>
      <c r="E475" s="8">
        <v>76.5</v>
      </c>
      <c r="F475" s="8">
        <v>82.58</v>
      </c>
      <c r="G475" s="9">
        <v>78.932</v>
      </c>
      <c r="H475" s="7" t="s">
        <v>11</v>
      </c>
    </row>
    <row r="476" spans="1:8" s="13" customFormat="1" ht="15" customHeight="1">
      <c r="A476" s="7" t="str">
        <f>"2609"</f>
        <v>2609</v>
      </c>
      <c r="B476" s="7" t="s">
        <v>36</v>
      </c>
      <c r="C476" s="7" t="str">
        <f>"海英"</f>
        <v>海英</v>
      </c>
      <c r="D476" s="7" t="str">
        <f>"30125013405"</f>
        <v>30125013405</v>
      </c>
      <c r="E476" s="8">
        <v>73.5</v>
      </c>
      <c r="F476" s="8">
        <v>79.76</v>
      </c>
      <c r="G476" s="9">
        <v>76.004</v>
      </c>
      <c r="H476" s="7" t="s">
        <v>11</v>
      </c>
    </row>
    <row r="477" spans="1:8" s="13" customFormat="1" ht="15" customHeight="1">
      <c r="A477" s="7" t="str">
        <f>"2609"</f>
        <v>2609</v>
      </c>
      <c r="B477" s="7" t="s">
        <v>36</v>
      </c>
      <c r="C477" s="7" t="str">
        <f>"孙立娜"</f>
        <v>孙立娜</v>
      </c>
      <c r="D477" s="7" t="str">
        <f>"30125013219"</f>
        <v>30125013219</v>
      </c>
      <c r="E477" s="8">
        <v>73.5</v>
      </c>
      <c r="F477" s="8">
        <v>77.26</v>
      </c>
      <c r="G477" s="9">
        <v>75.004</v>
      </c>
      <c r="H477" s="7" t="s">
        <v>11</v>
      </c>
    </row>
    <row r="478" spans="1:8" s="13" customFormat="1" ht="15" customHeight="1">
      <c r="A478" s="7" t="str">
        <f aca="true" t="shared" si="8" ref="A478:A491">"2610"</f>
        <v>2610</v>
      </c>
      <c r="B478" s="7" t="s">
        <v>396</v>
      </c>
      <c r="C478" s="7" t="str">
        <f>"哈斯图雅"</f>
        <v>哈斯图雅</v>
      </c>
      <c r="D478" s="7" t="str">
        <f>"30125013515"</f>
        <v>30125013515</v>
      </c>
      <c r="E478" s="8">
        <v>65</v>
      </c>
      <c r="F478" s="18" t="s">
        <v>397</v>
      </c>
      <c r="G478" s="9">
        <v>74.304</v>
      </c>
      <c r="H478" s="7" t="s">
        <v>10</v>
      </c>
    </row>
    <row r="479" spans="1:8" s="13" customFormat="1" ht="15" customHeight="1">
      <c r="A479" s="7" t="str">
        <f t="shared" si="8"/>
        <v>2610</v>
      </c>
      <c r="B479" s="7" t="s">
        <v>396</v>
      </c>
      <c r="C479" s="7" t="str">
        <f>"给力巴"</f>
        <v>给力巴</v>
      </c>
      <c r="D479" s="7" t="str">
        <f>"30125013517"</f>
        <v>30125013517</v>
      </c>
      <c r="E479" s="8">
        <v>66.5</v>
      </c>
      <c r="F479" s="18" t="s">
        <v>398</v>
      </c>
      <c r="G479" s="9">
        <v>74.292</v>
      </c>
      <c r="H479" s="7" t="s">
        <v>10</v>
      </c>
    </row>
    <row r="480" spans="1:8" s="13" customFormat="1" ht="15" customHeight="1">
      <c r="A480" s="7" t="str">
        <f t="shared" si="8"/>
        <v>2610</v>
      </c>
      <c r="B480" s="7" t="s">
        <v>396</v>
      </c>
      <c r="C480" s="7" t="str">
        <f>"窦宇坤"</f>
        <v>窦宇坤</v>
      </c>
      <c r="D480" s="7" t="str">
        <f>"30125013501"</f>
        <v>30125013501</v>
      </c>
      <c r="E480" s="8">
        <v>65.5</v>
      </c>
      <c r="F480" s="18" t="s">
        <v>399</v>
      </c>
      <c r="G480" s="9">
        <v>73.9</v>
      </c>
      <c r="H480" s="7" t="s">
        <v>10</v>
      </c>
    </row>
    <row r="481" spans="1:8" s="13" customFormat="1" ht="15" customHeight="1">
      <c r="A481" s="7" t="str">
        <f t="shared" si="8"/>
        <v>2610</v>
      </c>
      <c r="B481" s="7" t="s">
        <v>396</v>
      </c>
      <c r="C481" s="7" t="str">
        <f>"徐宁"</f>
        <v>徐宁</v>
      </c>
      <c r="D481" s="7" t="str">
        <f>"30125013514"</f>
        <v>30125013514</v>
      </c>
      <c r="E481" s="8">
        <v>67</v>
      </c>
      <c r="F481" s="18" t="s">
        <v>400</v>
      </c>
      <c r="G481" s="9">
        <v>73.332</v>
      </c>
      <c r="H481" s="7" t="s">
        <v>10</v>
      </c>
    </row>
    <row r="482" spans="1:8" s="13" customFormat="1" ht="15" customHeight="1">
      <c r="A482" s="7" t="str">
        <f t="shared" si="8"/>
        <v>2610</v>
      </c>
      <c r="B482" s="7" t="s">
        <v>396</v>
      </c>
      <c r="C482" s="7" t="str">
        <f>"韩雪"</f>
        <v>韩雪</v>
      </c>
      <c r="D482" s="7" t="str">
        <f>"30125013513"</f>
        <v>30125013513</v>
      </c>
      <c r="E482" s="8">
        <v>63.5</v>
      </c>
      <c r="F482" s="18" t="s">
        <v>401</v>
      </c>
      <c r="G482" s="9">
        <v>72.70400000000001</v>
      </c>
      <c r="H482" s="7" t="s">
        <v>10</v>
      </c>
    </row>
    <row r="483" spans="1:8" s="13" customFormat="1" ht="15" customHeight="1">
      <c r="A483" s="7" t="str">
        <f t="shared" si="8"/>
        <v>2610</v>
      </c>
      <c r="B483" s="7" t="s">
        <v>396</v>
      </c>
      <c r="C483" s="7" t="str">
        <f>"唐明正"</f>
        <v>唐明正</v>
      </c>
      <c r="D483" s="7" t="str">
        <f>"30125013423"</f>
        <v>30125013423</v>
      </c>
      <c r="E483" s="8">
        <v>62</v>
      </c>
      <c r="F483" s="18" t="s">
        <v>402</v>
      </c>
      <c r="G483" s="9">
        <v>72.092</v>
      </c>
      <c r="H483" s="7" t="s">
        <v>11</v>
      </c>
    </row>
    <row r="484" spans="1:8" s="13" customFormat="1" ht="15" customHeight="1">
      <c r="A484" s="7" t="str">
        <f t="shared" si="8"/>
        <v>2610</v>
      </c>
      <c r="B484" s="7" t="s">
        <v>396</v>
      </c>
      <c r="C484" s="7" t="str">
        <f>"李扬"</f>
        <v>李扬</v>
      </c>
      <c r="D484" s="7" t="str">
        <f>"30125013521"</f>
        <v>30125013521</v>
      </c>
      <c r="E484" s="8">
        <v>61</v>
      </c>
      <c r="F484" s="18" t="s">
        <v>403</v>
      </c>
      <c r="G484" s="9">
        <v>70.78399999999999</v>
      </c>
      <c r="H484" s="7" t="s">
        <v>11</v>
      </c>
    </row>
    <row r="485" spans="1:8" s="13" customFormat="1" ht="15" customHeight="1">
      <c r="A485" s="7" t="str">
        <f t="shared" si="8"/>
        <v>2610</v>
      </c>
      <c r="B485" s="7" t="s">
        <v>396</v>
      </c>
      <c r="C485" s="7" t="str">
        <f>"盛红颖"</f>
        <v>盛红颖</v>
      </c>
      <c r="D485" s="7" t="str">
        <f>"30125013519"</f>
        <v>30125013519</v>
      </c>
      <c r="E485" s="8">
        <v>61.5</v>
      </c>
      <c r="F485" s="18" t="s">
        <v>404</v>
      </c>
      <c r="G485" s="9">
        <v>70.71600000000001</v>
      </c>
      <c r="H485" s="7" t="s">
        <v>11</v>
      </c>
    </row>
    <row r="486" spans="1:8" s="13" customFormat="1" ht="15" customHeight="1">
      <c r="A486" s="7" t="str">
        <f t="shared" si="8"/>
        <v>2610</v>
      </c>
      <c r="B486" s="7" t="s">
        <v>396</v>
      </c>
      <c r="C486" s="7" t="str">
        <f>"于晓龙"</f>
        <v>于晓龙</v>
      </c>
      <c r="D486" s="7" t="str">
        <f>"30125013511"</f>
        <v>30125013511</v>
      </c>
      <c r="E486" s="8">
        <v>59</v>
      </c>
      <c r="F486" s="18" t="s">
        <v>405</v>
      </c>
      <c r="G486" s="9">
        <v>68.924</v>
      </c>
      <c r="H486" s="7" t="s">
        <v>11</v>
      </c>
    </row>
    <row r="487" spans="1:8" s="13" customFormat="1" ht="15" customHeight="1">
      <c r="A487" s="7" t="str">
        <f t="shared" si="8"/>
        <v>2610</v>
      </c>
      <c r="B487" s="7" t="s">
        <v>396</v>
      </c>
      <c r="C487" s="7" t="str">
        <f>"色吉日胡"</f>
        <v>色吉日胡</v>
      </c>
      <c r="D487" s="7" t="str">
        <f>"30125013429"</f>
        <v>30125013429</v>
      </c>
      <c r="E487" s="8">
        <v>58.5</v>
      </c>
      <c r="F487" s="18" t="s">
        <v>406</v>
      </c>
      <c r="G487" s="9">
        <v>68.648</v>
      </c>
      <c r="H487" s="7" t="s">
        <v>11</v>
      </c>
    </row>
    <row r="488" spans="1:8" s="13" customFormat="1" ht="15" customHeight="1">
      <c r="A488" s="7" t="str">
        <f t="shared" si="8"/>
        <v>2610</v>
      </c>
      <c r="B488" s="7" t="s">
        <v>396</v>
      </c>
      <c r="C488" s="7" t="str">
        <f>"骆首龙"</f>
        <v>骆首龙</v>
      </c>
      <c r="D488" s="7" t="str">
        <f>"30125013505"</f>
        <v>30125013505</v>
      </c>
      <c r="E488" s="8">
        <v>57.5</v>
      </c>
      <c r="F488" s="18" t="s">
        <v>407</v>
      </c>
      <c r="G488" s="9">
        <v>68.28800000000001</v>
      </c>
      <c r="H488" s="7" t="s">
        <v>11</v>
      </c>
    </row>
    <row r="489" spans="1:8" s="13" customFormat="1" ht="15" customHeight="1">
      <c r="A489" s="7" t="str">
        <f t="shared" si="8"/>
        <v>2610</v>
      </c>
      <c r="B489" s="7" t="s">
        <v>396</v>
      </c>
      <c r="C489" s="7" t="str">
        <f>"戴国利"</f>
        <v>戴国利</v>
      </c>
      <c r="D489" s="7" t="str">
        <f>"30125013503"</f>
        <v>30125013503</v>
      </c>
      <c r="E489" s="8">
        <v>58</v>
      </c>
      <c r="F489" s="18" t="s">
        <v>408</v>
      </c>
      <c r="G489" s="9">
        <v>67.62</v>
      </c>
      <c r="H489" s="7" t="s">
        <v>11</v>
      </c>
    </row>
    <row r="490" spans="1:8" s="13" customFormat="1" ht="15" customHeight="1">
      <c r="A490" s="7" t="str">
        <f t="shared" si="8"/>
        <v>2610</v>
      </c>
      <c r="B490" s="7" t="s">
        <v>396</v>
      </c>
      <c r="C490" s="7" t="str">
        <f>"韩艳芳"</f>
        <v>韩艳芳</v>
      </c>
      <c r="D490" s="7" t="str">
        <f>"30125013512"</f>
        <v>30125013512</v>
      </c>
      <c r="E490" s="8">
        <v>57.5</v>
      </c>
      <c r="F490" s="8" t="s">
        <v>58</v>
      </c>
      <c r="G490" s="9">
        <v>34.5</v>
      </c>
      <c r="H490" s="7" t="s">
        <v>11</v>
      </c>
    </row>
    <row r="491" spans="1:8" s="13" customFormat="1" ht="15" customHeight="1">
      <c r="A491" s="7" t="str">
        <f t="shared" si="8"/>
        <v>2610</v>
      </c>
      <c r="B491" s="7" t="s">
        <v>396</v>
      </c>
      <c r="C491" s="7" t="str">
        <f>"胡树龙"</f>
        <v>胡树龙</v>
      </c>
      <c r="D491" s="7" t="str">
        <f>"30125013506"</f>
        <v>30125013506</v>
      </c>
      <c r="E491" s="8">
        <v>56</v>
      </c>
      <c r="F491" s="8" t="s">
        <v>58</v>
      </c>
      <c r="G491" s="9">
        <v>33.6</v>
      </c>
      <c r="H491" s="7" t="s">
        <v>11</v>
      </c>
    </row>
    <row r="492" spans="1:8" s="13" customFormat="1" ht="15" customHeight="1">
      <c r="A492" s="7" t="str">
        <f aca="true" t="shared" si="9" ref="A492:A497">"2611"</f>
        <v>2611</v>
      </c>
      <c r="B492" s="7" t="s">
        <v>344</v>
      </c>
      <c r="C492" s="7" t="str">
        <f>"苏雅拉"</f>
        <v>苏雅拉</v>
      </c>
      <c r="D492" s="7" t="str">
        <f>"20125012824"</f>
        <v>20125012824</v>
      </c>
      <c r="E492" s="8">
        <v>76</v>
      </c>
      <c r="F492" s="18" t="s">
        <v>409</v>
      </c>
      <c r="G492" s="9">
        <v>78.80000000000001</v>
      </c>
      <c r="H492" s="7" t="s">
        <v>10</v>
      </c>
    </row>
    <row r="493" spans="1:8" s="13" customFormat="1" ht="15" customHeight="1">
      <c r="A493" s="7" t="str">
        <f t="shared" si="9"/>
        <v>2611</v>
      </c>
      <c r="B493" s="7" t="s">
        <v>344</v>
      </c>
      <c r="C493" s="7" t="str">
        <f>"包天花"</f>
        <v>包天花</v>
      </c>
      <c r="D493" s="7" t="str">
        <f>"20125012826"</f>
        <v>20125012826</v>
      </c>
      <c r="E493" s="8">
        <v>69.5</v>
      </c>
      <c r="F493" s="17">
        <v>82.66</v>
      </c>
      <c r="G493" s="9">
        <v>74.764</v>
      </c>
      <c r="H493" s="7" t="s">
        <v>10</v>
      </c>
    </row>
    <row r="494" spans="1:8" s="13" customFormat="1" ht="15" customHeight="1">
      <c r="A494" s="7" t="str">
        <f t="shared" si="9"/>
        <v>2611</v>
      </c>
      <c r="B494" s="7" t="s">
        <v>344</v>
      </c>
      <c r="C494" s="7" t="str">
        <f>"青海"</f>
        <v>青海</v>
      </c>
      <c r="D494" s="7" t="str">
        <f>"20125012829"</f>
        <v>20125012829</v>
      </c>
      <c r="E494" s="8">
        <v>68.5</v>
      </c>
      <c r="F494" s="17">
        <v>83.46</v>
      </c>
      <c r="G494" s="9">
        <v>74.48400000000001</v>
      </c>
      <c r="H494" s="7" t="s">
        <v>11</v>
      </c>
    </row>
    <row r="495" spans="1:8" s="13" customFormat="1" ht="15" customHeight="1">
      <c r="A495" s="7" t="str">
        <f t="shared" si="9"/>
        <v>2611</v>
      </c>
      <c r="B495" s="7" t="s">
        <v>344</v>
      </c>
      <c r="C495" s="7" t="str">
        <f>"美兰"</f>
        <v>美兰</v>
      </c>
      <c r="D495" s="7" t="str">
        <f>"20125013022"</f>
        <v>20125013022</v>
      </c>
      <c r="E495" s="8">
        <v>69</v>
      </c>
      <c r="F495" s="18" t="s">
        <v>410</v>
      </c>
      <c r="G495" s="9">
        <v>74.24</v>
      </c>
      <c r="H495" s="7" t="s">
        <v>11</v>
      </c>
    </row>
    <row r="496" spans="1:8" s="13" customFormat="1" ht="15" customHeight="1">
      <c r="A496" s="7" t="str">
        <f t="shared" si="9"/>
        <v>2611</v>
      </c>
      <c r="B496" s="7" t="s">
        <v>344</v>
      </c>
      <c r="C496" s="7" t="str">
        <f>"王萨拉古拉"</f>
        <v>王萨拉古拉</v>
      </c>
      <c r="D496" s="7" t="str">
        <f>"20125013006"</f>
        <v>20125013006</v>
      </c>
      <c r="E496" s="8">
        <v>68</v>
      </c>
      <c r="F496" s="17">
        <v>78.28</v>
      </c>
      <c r="G496" s="9">
        <v>72.112</v>
      </c>
      <c r="H496" s="7" t="s">
        <v>11</v>
      </c>
    </row>
    <row r="497" spans="1:8" s="13" customFormat="1" ht="15" customHeight="1">
      <c r="A497" s="7" t="str">
        <f t="shared" si="9"/>
        <v>2611</v>
      </c>
      <c r="B497" s="7" t="s">
        <v>344</v>
      </c>
      <c r="C497" s="7" t="str">
        <f>"春英"</f>
        <v>春英</v>
      </c>
      <c r="D497" s="7" t="str">
        <f>"20125012908"</f>
        <v>20125012908</v>
      </c>
      <c r="E497" s="8">
        <v>67.5</v>
      </c>
      <c r="F497" s="17">
        <v>77.24</v>
      </c>
      <c r="G497" s="9">
        <v>71.396</v>
      </c>
      <c r="H497" s="7" t="s">
        <v>11</v>
      </c>
    </row>
    <row r="498" spans="1:8" s="13" customFormat="1" ht="15" customHeight="1">
      <c r="A498" s="7" t="str">
        <f>"2612"</f>
        <v>2612</v>
      </c>
      <c r="B498" s="7" t="s">
        <v>350</v>
      </c>
      <c r="C498" s="7" t="str">
        <f>"包文利"</f>
        <v>包文利</v>
      </c>
      <c r="D498" s="7" t="str">
        <f>"30125014207"</f>
        <v>30125014207</v>
      </c>
      <c r="E498" s="8">
        <v>80.5</v>
      </c>
      <c r="F498" s="8">
        <v>84.08</v>
      </c>
      <c r="G498" s="9">
        <v>81.93199999999999</v>
      </c>
      <c r="H498" s="7" t="s">
        <v>10</v>
      </c>
    </row>
    <row r="499" spans="1:8" s="13" customFormat="1" ht="15" customHeight="1">
      <c r="A499" s="7" t="str">
        <f>"2612"</f>
        <v>2612</v>
      </c>
      <c r="B499" s="7" t="s">
        <v>350</v>
      </c>
      <c r="C499" s="7" t="str">
        <f>"赵海香"</f>
        <v>赵海香</v>
      </c>
      <c r="D499" s="7" t="str">
        <f>"30125014010"</f>
        <v>30125014010</v>
      </c>
      <c r="E499" s="8">
        <v>74</v>
      </c>
      <c r="F499" s="8">
        <v>81.78</v>
      </c>
      <c r="G499" s="9">
        <v>77.112</v>
      </c>
      <c r="H499" s="7" t="s">
        <v>11</v>
      </c>
    </row>
    <row r="500" spans="1:8" s="13" customFormat="1" ht="15" customHeight="1">
      <c r="A500" s="7" t="str">
        <f>"2612"</f>
        <v>2612</v>
      </c>
      <c r="B500" s="7" t="s">
        <v>350</v>
      </c>
      <c r="C500" s="7" t="str">
        <f>"姜若楠"</f>
        <v>姜若楠</v>
      </c>
      <c r="D500" s="7" t="str">
        <f>"30125013701"</f>
        <v>30125013701</v>
      </c>
      <c r="E500" s="8">
        <v>74.5</v>
      </c>
      <c r="F500" s="8">
        <v>79.28</v>
      </c>
      <c r="G500" s="9">
        <v>76.412</v>
      </c>
      <c r="H500" s="7" t="s">
        <v>11</v>
      </c>
    </row>
    <row r="501" spans="1:8" s="13" customFormat="1" ht="15" customHeight="1">
      <c r="A501" s="7" t="str">
        <f>"2701"</f>
        <v>2701</v>
      </c>
      <c r="B501" s="7" t="s">
        <v>201</v>
      </c>
      <c r="C501" s="7" t="str">
        <f>"美丽"</f>
        <v>美丽</v>
      </c>
      <c r="D501" s="7" t="str">
        <f>"20125013027"</f>
        <v>20125013027</v>
      </c>
      <c r="E501" s="8">
        <v>70.5</v>
      </c>
      <c r="F501" s="17">
        <v>81.14</v>
      </c>
      <c r="G501" s="9">
        <v>74.756</v>
      </c>
      <c r="H501" s="7" t="s">
        <v>10</v>
      </c>
    </row>
    <row r="502" spans="1:8" s="13" customFormat="1" ht="15" customHeight="1">
      <c r="A502" s="7" t="str">
        <f>"2701"</f>
        <v>2701</v>
      </c>
      <c r="B502" s="7" t="s">
        <v>201</v>
      </c>
      <c r="C502" s="7" t="str">
        <f>"格日乐吐"</f>
        <v>格日乐吐</v>
      </c>
      <c r="D502" s="7" t="str">
        <f>"20125013102"</f>
        <v>20125013102</v>
      </c>
      <c r="E502" s="8">
        <v>71</v>
      </c>
      <c r="F502" s="17">
        <v>79.86</v>
      </c>
      <c r="G502" s="9">
        <v>74.54400000000001</v>
      </c>
      <c r="H502" s="7" t="s">
        <v>11</v>
      </c>
    </row>
    <row r="503" spans="1:8" s="13" customFormat="1" ht="15" customHeight="1">
      <c r="A503" s="7" t="str">
        <f>"2701"</f>
        <v>2701</v>
      </c>
      <c r="B503" s="7" t="s">
        <v>201</v>
      </c>
      <c r="C503" s="7" t="str">
        <f>"苏雅拉图"</f>
        <v>苏雅拉图</v>
      </c>
      <c r="D503" s="7" t="str">
        <f>"20125013117"</f>
        <v>20125013117</v>
      </c>
      <c r="E503" s="8">
        <v>68.5</v>
      </c>
      <c r="F503" s="17">
        <v>82.88</v>
      </c>
      <c r="G503" s="9">
        <v>74.25200000000001</v>
      </c>
      <c r="H503" s="7" t="s">
        <v>11</v>
      </c>
    </row>
    <row r="504" spans="1:8" s="13" customFormat="1" ht="15" customHeight="1">
      <c r="A504" s="7" t="str">
        <f>"2801"</f>
        <v>2801</v>
      </c>
      <c r="B504" s="7" t="s">
        <v>118</v>
      </c>
      <c r="C504" s="7" t="str">
        <f>"孙悦"</f>
        <v>孙悦</v>
      </c>
      <c r="D504" s="7" t="str">
        <f>"30125014424"</f>
        <v>30125014424</v>
      </c>
      <c r="E504" s="8">
        <v>78</v>
      </c>
      <c r="F504" s="8">
        <v>83.82</v>
      </c>
      <c r="G504" s="9">
        <v>80.328</v>
      </c>
      <c r="H504" s="7" t="s">
        <v>10</v>
      </c>
    </row>
    <row r="505" spans="1:8" s="13" customFormat="1" ht="15" customHeight="1">
      <c r="A505" s="7" t="str">
        <f>"2801"</f>
        <v>2801</v>
      </c>
      <c r="B505" s="7" t="s">
        <v>118</v>
      </c>
      <c r="C505" s="7" t="str">
        <f>"张玉玲"</f>
        <v>张玉玲</v>
      </c>
      <c r="D505" s="7" t="str">
        <f>"30125014415"</f>
        <v>30125014415</v>
      </c>
      <c r="E505" s="8">
        <v>74</v>
      </c>
      <c r="F505" s="8">
        <v>80.3</v>
      </c>
      <c r="G505" s="9">
        <v>76.52</v>
      </c>
      <c r="H505" s="7" t="s">
        <v>11</v>
      </c>
    </row>
    <row r="506" spans="1:8" s="13" customFormat="1" ht="15" customHeight="1">
      <c r="A506" s="7" t="str">
        <f>"2801"</f>
        <v>2801</v>
      </c>
      <c r="B506" s="7" t="s">
        <v>118</v>
      </c>
      <c r="C506" s="7" t="str">
        <f>"王子琪"</f>
        <v>王子琪</v>
      </c>
      <c r="D506" s="7" t="str">
        <f>"30125014509"</f>
        <v>30125014509</v>
      </c>
      <c r="E506" s="8">
        <v>73</v>
      </c>
      <c r="F506" s="8">
        <v>79.1</v>
      </c>
      <c r="G506" s="9">
        <v>75.44</v>
      </c>
      <c r="H506" s="7" t="s">
        <v>11</v>
      </c>
    </row>
    <row r="507" spans="1:8" s="13" customFormat="1" ht="15" customHeight="1">
      <c r="A507" s="7" t="str">
        <f>"2802"</f>
        <v>2802</v>
      </c>
      <c r="B507" s="7" t="s">
        <v>411</v>
      </c>
      <c r="C507" s="7" t="str">
        <f>"陈国庆"</f>
        <v>陈国庆</v>
      </c>
      <c r="D507" s="7" t="str">
        <f>"20125013306"</f>
        <v>20125013306</v>
      </c>
      <c r="E507" s="8">
        <v>74.5</v>
      </c>
      <c r="F507" s="17">
        <v>83.94</v>
      </c>
      <c r="G507" s="9">
        <v>78.276</v>
      </c>
      <c r="H507" s="7" t="s">
        <v>10</v>
      </c>
    </row>
    <row r="508" spans="1:8" s="13" customFormat="1" ht="15" customHeight="1">
      <c r="A508" s="7" t="str">
        <f>"2802"</f>
        <v>2802</v>
      </c>
      <c r="B508" s="7" t="s">
        <v>411</v>
      </c>
      <c r="C508" s="7" t="str">
        <f>"德勒黑"</f>
        <v>德勒黑</v>
      </c>
      <c r="D508" s="7" t="str">
        <f>"20125013221"</f>
        <v>20125013221</v>
      </c>
      <c r="E508" s="8">
        <v>72.5</v>
      </c>
      <c r="F508" s="17">
        <v>84.96</v>
      </c>
      <c r="G508" s="9">
        <v>77.48400000000001</v>
      </c>
      <c r="H508" s="7" t="s">
        <v>11</v>
      </c>
    </row>
    <row r="509" spans="1:8" s="13" customFormat="1" ht="15" customHeight="1">
      <c r="A509" s="7" t="str">
        <f>"2802"</f>
        <v>2802</v>
      </c>
      <c r="B509" s="7" t="s">
        <v>411</v>
      </c>
      <c r="C509" s="7" t="str">
        <f>"冠华"</f>
        <v>冠华</v>
      </c>
      <c r="D509" s="7" t="str">
        <f>"20125013303"</f>
        <v>20125013303</v>
      </c>
      <c r="E509" s="8">
        <v>73</v>
      </c>
      <c r="F509" s="17">
        <v>82.06</v>
      </c>
      <c r="G509" s="9">
        <v>76.624</v>
      </c>
      <c r="H509" s="7" t="s">
        <v>11</v>
      </c>
    </row>
    <row r="510" spans="1:8" s="13" customFormat="1" ht="15" customHeight="1">
      <c r="A510" s="7" t="str">
        <f>"2802"</f>
        <v>2802</v>
      </c>
      <c r="B510" s="7" t="s">
        <v>411</v>
      </c>
      <c r="C510" s="7" t="str">
        <f>"李华"</f>
        <v>李华</v>
      </c>
      <c r="D510" s="7" t="str">
        <f>"20125013305"</f>
        <v>20125013305</v>
      </c>
      <c r="E510" s="8">
        <v>72.5</v>
      </c>
      <c r="F510" s="17">
        <v>79.74</v>
      </c>
      <c r="G510" s="9">
        <v>75.396</v>
      </c>
      <c r="H510" s="7" t="s">
        <v>11</v>
      </c>
    </row>
    <row r="511" spans="1:8" s="13" customFormat="1" ht="15" customHeight="1">
      <c r="A511" s="7" t="str">
        <f>"2901"</f>
        <v>2901</v>
      </c>
      <c r="B511" s="7" t="s">
        <v>9</v>
      </c>
      <c r="C511" s="7" t="str">
        <f>"赵瑞琪"</f>
        <v>赵瑞琪</v>
      </c>
      <c r="D511" s="7" t="str">
        <f>"30125014529"</f>
        <v>30125014529</v>
      </c>
      <c r="E511" s="8">
        <v>76</v>
      </c>
      <c r="F511" s="8">
        <v>85.76</v>
      </c>
      <c r="G511" s="9">
        <v>79.904</v>
      </c>
      <c r="H511" s="7" t="s">
        <v>10</v>
      </c>
    </row>
    <row r="512" spans="1:8" s="13" customFormat="1" ht="15" customHeight="1">
      <c r="A512" s="7" t="str">
        <f>"2901"</f>
        <v>2901</v>
      </c>
      <c r="B512" s="7" t="s">
        <v>9</v>
      </c>
      <c r="C512" s="7" t="str">
        <f>"佟菲"</f>
        <v>佟菲</v>
      </c>
      <c r="D512" s="7" t="str">
        <f>"30125014803"</f>
        <v>30125014803</v>
      </c>
      <c r="E512" s="8">
        <v>76</v>
      </c>
      <c r="F512" s="8">
        <v>83.66</v>
      </c>
      <c r="G512" s="9">
        <v>79.064</v>
      </c>
      <c r="H512" s="7" t="s">
        <v>11</v>
      </c>
    </row>
    <row r="513" spans="1:8" s="13" customFormat="1" ht="15" customHeight="1">
      <c r="A513" s="7" t="str">
        <f>"2901"</f>
        <v>2901</v>
      </c>
      <c r="B513" s="7" t="s">
        <v>9</v>
      </c>
      <c r="C513" s="7" t="str">
        <f>"黄哲"</f>
        <v>黄哲</v>
      </c>
      <c r="D513" s="7" t="str">
        <f>"30125014605"</f>
        <v>30125014605</v>
      </c>
      <c r="E513" s="8">
        <v>75.5</v>
      </c>
      <c r="F513" s="8">
        <v>83.18</v>
      </c>
      <c r="G513" s="9">
        <v>78.572</v>
      </c>
      <c r="H513" s="7" t="s">
        <v>11</v>
      </c>
    </row>
    <row r="514" spans="1:8" s="13" customFormat="1" ht="15" customHeight="1">
      <c r="A514" s="7" t="str">
        <f>"2902-1"</f>
        <v>2902-1</v>
      </c>
      <c r="B514" s="7" t="s">
        <v>39</v>
      </c>
      <c r="C514" s="7" t="str">
        <f>"付立勇"</f>
        <v>付立勇</v>
      </c>
      <c r="D514" s="7" t="str">
        <f>"30125014829"</f>
        <v>30125014829</v>
      </c>
      <c r="E514" s="8">
        <v>78.5</v>
      </c>
      <c r="F514" s="17">
        <v>86.79</v>
      </c>
      <c r="G514" s="9">
        <v>81.816</v>
      </c>
      <c r="H514" s="7" t="s">
        <v>10</v>
      </c>
    </row>
    <row r="515" spans="1:8" s="13" customFormat="1" ht="15" customHeight="1">
      <c r="A515" s="7" t="str">
        <f>"2902-1"</f>
        <v>2902-1</v>
      </c>
      <c r="B515" s="7" t="s">
        <v>39</v>
      </c>
      <c r="C515" s="7" t="str">
        <f>"沙楚拉"</f>
        <v>沙楚拉</v>
      </c>
      <c r="D515" s="7" t="str">
        <f>"30125014907"</f>
        <v>30125014907</v>
      </c>
      <c r="E515" s="8">
        <v>70.5</v>
      </c>
      <c r="F515" s="17">
        <v>83.95</v>
      </c>
      <c r="G515" s="9">
        <v>75.88</v>
      </c>
      <c r="H515" s="7" t="s">
        <v>11</v>
      </c>
    </row>
    <row r="516" spans="1:8" s="13" customFormat="1" ht="15" customHeight="1">
      <c r="A516" s="7" t="str">
        <f>"2902-1"</f>
        <v>2902-1</v>
      </c>
      <c r="B516" s="7" t="s">
        <v>39</v>
      </c>
      <c r="C516" s="7" t="str">
        <f>"刘博弘"</f>
        <v>刘博弘</v>
      </c>
      <c r="D516" s="7" t="str">
        <f>"30125014828"</f>
        <v>30125014828</v>
      </c>
      <c r="E516" s="8">
        <v>68</v>
      </c>
      <c r="F516" s="8" t="s">
        <v>58</v>
      </c>
      <c r="G516" s="9">
        <v>40.8</v>
      </c>
      <c r="H516" s="7" t="s">
        <v>11</v>
      </c>
    </row>
    <row r="517" spans="1:8" s="13" customFormat="1" ht="15" customHeight="1">
      <c r="A517" s="7" t="str">
        <f>"3001"</f>
        <v>3001</v>
      </c>
      <c r="B517" s="7" t="s">
        <v>22</v>
      </c>
      <c r="C517" s="7" t="str">
        <f>"永刚"</f>
        <v>永刚</v>
      </c>
      <c r="D517" s="7" t="str">
        <f>"30125014910"</f>
        <v>30125014910</v>
      </c>
      <c r="E517" s="8">
        <v>54.5</v>
      </c>
      <c r="F517" s="8">
        <v>78.72</v>
      </c>
      <c r="G517" s="9">
        <v>64.18799999999999</v>
      </c>
      <c r="H517" s="7" t="s">
        <v>11</v>
      </c>
    </row>
    <row r="518" spans="1:8" s="13" customFormat="1" ht="15" customHeight="1">
      <c r="A518" s="7" t="str">
        <f>"3002"</f>
        <v>3002</v>
      </c>
      <c r="B518" s="7" t="s">
        <v>39</v>
      </c>
      <c r="C518" s="7" t="str">
        <f>"于洋"</f>
        <v>于洋</v>
      </c>
      <c r="D518" s="7" t="str">
        <f>"30125015016"</f>
        <v>30125015016</v>
      </c>
      <c r="E518" s="8">
        <v>75.5</v>
      </c>
      <c r="F518" s="17">
        <v>87.75</v>
      </c>
      <c r="G518" s="9">
        <v>80.4</v>
      </c>
      <c r="H518" s="7" t="s">
        <v>10</v>
      </c>
    </row>
    <row r="519" spans="1:8" s="13" customFormat="1" ht="15" customHeight="1">
      <c r="A519" s="7" t="str">
        <f>"3002"</f>
        <v>3002</v>
      </c>
      <c r="B519" s="7" t="s">
        <v>39</v>
      </c>
      <c r="C519" s="7" t="str">
        <f>"宝彩云"</f>
        <v>宝彩云</v>
      </c>
      <c r="D519" s="7" t="str">
        <f>"30125014922"</f>
        <v>30125014922</v>
      </c>
      <c r="E519" s="8">
        <v>75</v>
      </c>
      <c r="F519" s="17">
        <v>86.35</v>
      </c>
      <c r="G519" s="9">
        <v>79.53999999999999</v>
      </c>
      <c r="H519" s="7" t="s">
        <v>11</v>
      </c>
    </row>
    <row r="520" spans="1:8" s="13" customFormat="1" ht="15" customHeight="1">
      <c r="A520" s="7" t="str">
        <f>"3002"</f>
        <v>3002</v>
      </c>
      <c r="B520" s="7" t="s">
        <v>39</v>
      </c>
      <c r="C520" s="7" t="str">
        <f>"史海春"</f>
        <v>史海春</v>
      </c>
      <c r="D520" s="7" t="str">
        <f>"30125015005"</f>
        <v>30125015005</v>
      </c>
      <c r="E520" s="8">
        <v>72.5</v>
      </c>
      <c r="F520" s="8">
        <v>0</v>
      </c>
      <c r="G520" s="9">
        <v>43.5</v>
      </c>
      <c r="H520" s="7" t="s">
        <v>11</v>
      </c>
    </row>
    <row r="521" spans="1:8" s="13" customFormat="1" ht="15" customHeight="1">
      <c r="A521" s="7" t="str">
        <f>"3101-1"</f>
        <v>3101-1</v>
      </c>
      <c r="B521" s="7" t="s">
        <v>118</v>
      </c>
      <c r="C521" s="7" t="str">
        <f>"白祚林"</f>
        <v>白祚林</v>
      </c>
      <c r="D521" s="7" t="str">
        <f>"30125015108"</f>
        <v>30125015108</v>
      </c>
      <c r="E521" s="8">
        <v>68</v>
      </c>
      <c r="F521" s="8">
        <v>82.16</v>
      </c>
      <c r="G521" s="9">
        <v>73.66399999999999</v>
      </c>
      <c r="H521" s="7" t="s">
        <v>10</v>
      </c>
    </row>
    <row r="522" spans="1:8" s="13" customFormat="1" ht="15" customHeight="1">
      <c r="A522" s="7" t="str">
        <f>"3101-1"</f>
        <v>3101-1</v>
      </c>
      <c r="B522" s="7" t="s">
        <v>118</v>
      </c>
      <c r="C522" s="7" t="str">
        <f>"李艳菊"</f>
        <v>李艳菊</v>
      </c>
      <c r="D522" s="7" t="str">
        <f>"30125015110"</f>
        <v>30125015110</v>
      </c>
      <c r="E522" s="8">
        <v>69</v>
      </c>
      <c r="F522" s="8">
        <v>79.7</v>
      </c>
      <c r="G522" s="9">
        <v>73.28</v>
      </c>
      <c r="H522" s="7" t="s">
        <v>11</v>
      </c>
    </row>
    <row r="523" spans="1:8" s="13" customFormat="1" ht="15" customHeight="1">
      <c r="A523" s="7" t="str">
        <f>"3102"</f>
        <v>3102</v>
      </c>
      <c r="B523" s="7" t="s">
        <v>181</v>
      </c>
      <c r="C523" s="7" t="str">
        <f>"杜美丽"</f>
        <v>杜美丽</v>
      </c>
      <c r="D523" s="7" t="str">
        <f>"20125013409"</f>
        <v>20125013409</v>
      </c>
      <c r="E523" s="8">
        <v>74</v>
      </c>
      <c r="F523" s="17">
        <v>84.62</v>
      </c>
      <c r="G523" s="9">
        <v>78.248</v>
      </c>
      <c r="H523" s="7" t="s">
        <v>10</v>
      </c>
    </row>
    <row r="524" spans="1:8" s="13" customFormat="1" ht="15" customHeight="1">
      <c r="A524" s="7" t="str">
        <f>"3102"</f>
        <v>3102</v>
      </c>
      <c r="B524" s="7" t="s">
        <v>181</v>
      </c>
      <c r="C524" s="7" t="str">
        <f>"乌日查义胡"</f>
        <v>乌日查义胡</v>
      </c>
      <c r="D524" s="7" t="str">
        <f>"20125013529"</f>
        <v>20125013529</v>
      </c>
      <c r="E524" s="8">
        <v>72</v>
      </c>
      <c r="F524" s="17">
        <v>81.26</v>
      </c>
      <c r="G524" s="9">
        <v>75.70400000000001</v>
      </c>
      <c r="H524" s="7" t="s">
        <v>11</v>
      </c>
    </row>
    <row r="525" spans="1:8" s="13" customFormat="1" ht="15" customHeight="1">
      <c r="A525" s="7" t="str">
        <f>"3102"</f>
        <v>3102</v>
      </c>
      <c r="B525" s="7" t="s">
        <v>181</v>
      </c>
      <c r="C525" s="7" t="str">
        <f>"牧其尔"</f>
        <v>牧其尔</v>
      </c>
      <c r="D525" s="7" t="str">
        <f>"20125013528"</f>
        <v>20125013528</v>
      </c>
      <c r="E525" s="8">
        <v>69.5</v>
      </c>
      <c r="F525" s="17">
        <v>83.24</v>
      </c>
      <c r="G525" s="9">
        <v>74.996</v>
      </c>
      <c r="H525" s="7" t="s">
        <v>11</v>
      </c>
    </row>
    <row r="526" spans="1:8" s="13" customFormat="1" ht="15" customHeight="1">
      <c r="A526" s="7" t="str">
        <f>"3102"</f>
        <v>3102</v>
      </c>
      <c r="B526" s="7" t="s">
        <v>181</v>
      </c>
      <c r="C526" s="7" t="str">
        <f>"萨仁特日格乐"</f>
        <v>萨仁特日格乐</v>
      </c>
      <c r="D526" s="7" t="str">
        <f>"20125013604"</f>
        <v>20125013604</v>
      </c>
      <c r="E526" s="8">
        <v>69.5</v>
      </c>
      <c r="F526" s="17">
        <v>81.06</v>
      </c>
      <c r="G526" s="9">
        <v>74.124</v>
      </c>
      <c r="H526" s="7" t="s">
        <v>11</v>
      </c>
    </row>
    <row r="527" spans="1:8" s="13" customFormat="1" ht="15" customHeight="1">
      <c r="A527" s="7" t="str">
        <f>"3103"</f>
        <v>3103</v>
      </c>
      <c r="B527" s="7" t="s">
        <v>39</v>
      </c>
      <c r="C527" s="7" t="str">
        <f>"鲁天赐"</f>
        <v>鲁天赐</v>
      </c>
      <c r="D527" s="7" t="str">
        <f>"30125015219"</f>
        <v>30125015219</v>
      </c>
      <c r="E527" s="8">
        <v>73.5</v>
      </c>
      <c r="F527" s="8">
        <v>82.94</v>
      </c>
      <c r="G527" s="9">
        <v>77.27600000000001</v>
      </c>
      <c r="H527" s="7" t="s">
        <v>10</v>
      </c>
    </row>
    <row r="528" spans="1:8" s="13" customFormat="1" ht="15" customHeight="1">
      <c r="A528" s="7" t="str">
        <f>"3103"</f>
        <v>3103</v>
      </c>
      <c r="B528" s="7" t="s">
        <v>39</v>
      </c>
      <c r="C528" s="7" t="str">
        <f>"包静文"</f>
        <v>包静文</v>
      </c>
      <c r="D528" s="7" t="str">
        <f>"30125015301"</f>
        <v>30125015301</v>
      </c>
      <c r="E528" s="8">
        <v>73.5</v>
      </c>
      <c r="F528" s="8">
        <v>82.56</v>
      </c>
      <c r="G528" s="9">
        <v>77.124</v>
      </c>
      <c r="H528" s="7" t="s">
        <v>11</v>
      </c>
    </row>
    <row r="529" spans="1:8" s="13" customFormat="1" ht="15" customHeight="1">
      <c r="A529" s="7" t="str">
        <f>"3201"</f>
        <v>3201</v>
      </c>
      <c r="B529" s="7" t="s">
        <v>22</v>
      </c>
      <c r="C529" s="7" t="str">
        <f>"查苏娜"</f>
        <v>查苏娜</v>
      </c>
      <c r="D529" s="7" t="str">
        <f>"30125015305"</f>
        <v>30125015305</v>
      </c>
      <c r="E529" s="8">
        <v>67.5</v>
      </c>
      <c r="F529" s="17">
        <v>85.26</v>
      </c>
      <c r="G529" s="9">
        <v>74.60400000000001</v>
      </c>
      <c r="H529" s="7" t="s">
        <v>10</v>
      </c>
    </row>
    <row r="530" spans="1:8" s="13" customFormat="1" ht="15" customHeight="1">
      <c r="A530" s="7" t="str">
        <f>"3201"</f>
        <v>3201</v>
      </c>
      <c r="B530" s="7" t="s">
        <v>22</v>
      </c>
      <c r="C530" s="7" t="str">
        <f>"包艳红"</f>
        <v>包艳红</v>
      </c>
      <c r="D530" s="7" t="str">
        <f>"30125015307"</f>
        <v>30125015307</v>
      </c>
      <c r="E530" s="8">
        <v>66.5</v>
      </c>
      <c r="F530" s="17">
        <v>85.94</v>
      </c>
      <c r="G530" s="9">
        <v>74.276</v>
      </c>
      <c r="H530" s="7" t="s">
        <v>10</v>
      </c>
    </row>
    <row r="531" spans="1:8" s="13" customFormat="1" ht="15" customHeight="1">
      <c r="A531" s="7" t="str">
        <f>"3201"</f>
        <v>3201</v>
      </c>
      <c r="B531" s="7" t="s">
        <v>22</v>
      </c>
      <c r="C531" s="7" t="str">
        <f>"苏雅"</f>
        <v>苏雅</v>
      </c>
      <c r="D531" s="7" t="str">
        <f>"30125015312"</f>
        <v>30125015312</v>
      </c>
      <c r="E531" s="8">
        <v>65.5</v>
      </c>
      <c r="F531" s="17">
        <v>83.35</v>
      </c>
      <c r="G531" s="9">
        <v>72.63999999999999</v>
      </c>
      <c r="H531" s="7" t="s">
        <v>11</v>
      </c>
    </row>
    <row r="532" spans="1:8" s="13" customFormat="1" ht="15" customHeight="1">
      <c r="A532" s="7" t="str">
        <f>"3201"</f>
        <v>3201</v>
      </c>
      <c r="B532" s="7" t="s">
        <v>22</v>
      </c>
      <c r="C532" s="7" t="str">
        <f>"天仓"</f>
        <v>天仓</v>
      </c>
      <c r="D532" s="7" t="str">
        <f>"30125015304"</f>
        <v>30125015304</v>
      </c>
      <c r="E532" s="8">
        <v>63.5</v>
      </c>
      <c r="F532" s="18" t="s">
        <v>381</v>
      </c>
      <c r="G532" s="9">
        <v>71.82</v>
      </c>
      <c r="H532" s="7" t="s">
        <v>11</v>
      </c>
    </row>
    <row r="533" spans="1:8" s="13" customFormat="1" ht="15" customHeight="1">
      <c r="A533" s="7" t="str">
        <f>"3201"</f>
        <v>3201</v>
      </c>
      <c r="B533" s="7" t="s">
        <v>22</v>
      </c>
      <c r="C533" s="7" t="str">
        <f>"马乌日其其格"</f>
        <v>马乌日其其格</v>
      </c>
      <c r="D533" s="7" t="str">
        <f>"30125015303"</f>
        <v>30125015303</v>
      </c>
      <c r="E533" s="8">
        <v>59.5</v>
      </c>
      <c r="F533" s="8" t="s">
        <v>58</v>
      </c>
      <c r="G533" s="9">
        <v>35.7</v>
      </c>
      <c r="H533" s="7" t="s">
        <v>11</v>
      </c>
    </row>
    <row r="534" spans="1:8" s="13" customFormat="1" ht="15" customHeight="1">
      <c r="A534" s="7" t="str">
        <f>"3202"</f>
        <v>3202</v>
      </c>
      <c r="B534" s="7" t="s">
        <v>39</v>
      </c>
      <c r="C534" s="7" t="str">
        <f>"格根塔娜"</f>
        <v>格根塔娜</v>
      </c>
      <c r="D534" s="7" t="str">
        <f>"30125015418"</f>
        <v>30125015418</v>
      </c>
      <c r="E534" s="8">
        <v>73.5</v>
      </c>
      <c r="F534" s="17">
        <v>85.95</v>
      </c>
      <c r="G534" s="9">
        <v>78.48</v>
      </c>
      <c r="H534" s="7" t="s">
        <v>10</v>
      </c>
    </row>
    <row r="535" spans="1:8" s="13" customFormat="1" ht="15" customHeight="1">
      <c r="A535" s="7" t="str">
        <f>"3202"</f>
        <v>3202</v>
      </c>
      <c r="B535" s="7" t="s">
        <v>39</v>
      </c>
      <c r="C535" s="7" t="str">
        <f>"李娜"</f>
        <v>李娜</v>
      </c>
      <c r="D535" s="7" t="str">
        <f>"30125015322"</f>
        <v>30125015322</v>
      </c>
      <c r="E535" s="8">
        <v>72</v>
      </c>
      <c r="F535" s="17">
        <v>86.15</v>
      </c>
      <c r="G535" s="9">
        <v>77.66</v>
      </c>
      <c r="H535" s="7" t="s">
        <v>11</v>
      </c>
    </row>
    <row r="536" spans="1:8" s="13" customFormat="1" ht="15" customHeight="1">
      <c r="A536" s="7" t="str">
        <f>"3202"</f>
        <v>3202</v>
      </c>
      <c r="B536" s="7" t="s">
        <v>39</v>
      </c>
      <c r="C536" s="7" t="str">
        <f>"轩玲玲"</f>
        <v>轩玲玲</v>
      </c>
      <c r="D536" s="7" t="str">
        <f>"30125015410"</f>
        <v>30125015410</v>
      </c>
      <c r="E536" s="8">
        <v>72</v>
      </c>
      <c r="F536" s="17">
        <v>84.06</v>
      </c>
      <c r="G536" s="9">
        <v>76.824</v>
      </c>
      <c r="H536" s="7" t="s">
        <v>11</v>
      </c>
    </row>
    <row r="537" spans="1:8" s="13" customFormat="1" ht="15" customHeight="1">
      <c r="A537" s="7" t="str">
        <f>"3203"</f>
        <v>3203</v>
      </c>
      <c r="B537" s="7" t="s">
        <v>13</v>
      </c>
      <c r="C537" s="7" t="str">
        <f>"伊德尔"</f>
        <v>伊德尔</v>
      </c>
      <c r="D537" s="7" t="str">
        <f>"30125015420"</f>
        <v>30125015420</v>
      </c>
      <c r="E537" s="8">
        <v>75</v>
      </c>
      <c r="F537" s="17">
        <v>84.05</v>
      </c>
      <c r="G537" s="9">
        <v>78.62</v>
      </c>
      <c r="H537" s="7" t="s">
        <v>10</v>
      </c>
    </row>
    <row r="538" spans="1:8" s="13" customFormat="1" ht="15" customHeight="1">
      <c r="A538" s="7" t="str">
        <f>"3203"</f>
        <v>3203</v>
      </c>
      <c r="B538" s="7" t="s">
        <v>13</v>
      </c>
      <c r="C538" s="7" t="str">
        <f>"李春丽"</f>
        <v>李春丽</v>
      </c>
      <c r="D538" s="7" t="str">
        <f>"30125015513"</f>
        <v>30125015513</v>
      </c>
      <c r="E538" s="8">
        <v>74.5</v>
      </c>
      <c r="F538" s="17">
        <v>83.99</v>
      </c>
      <c r="G538" s="9">
        <v>78.29599999999999</v>
      </c>
      <c r="H538" s="7" t="s">
        <v>11</v>
      </c>
    </row>
    <row r="539" spans="1:8" s="13" customFormat="1" ht="15" customHeight="1">
      <c r="A539" s="7" t="str">
        <f>"3203"</f>
        <v>3203</v>
      </c>
      <c r="B539" s="7" t="s">
        <v>13</v>
      </c>
      <c r="C539" s="7" t="str">
        <f>"苏胜男"</f>
        <v>苏胜男</v>
      </c>
      <c r="D539" s="7" t="str">
        <f>"30125015423"</f>
        <v>30125015423</v>
      </c>
      <c r="E539" s="8">
        <v>74</v>
      </c>
      <c r="F539" s="17">
        <v>83.07</v>
      </c>
      <c r="G539" s="9">
        <v>77.628</v>
      </c>
      <c r="H539" s="7" t="s">
        <v>11</v>
      </c>
    </row>
    <row r="540" spans="1:8" s="13" customFormat="1" ht="15" customHeight="1">
      <c r="A540" s="7" t="str">
        <f>"3203"</f>
        <v>3203</v>
      </c>
      <c r="B540" s="7" t="s">
        <v>13</v>
      </c>
      <c r="C540" s="7" t="str">
        <f>"澈力格尔"</f>
        <v>澈力格尔</v>
      </c>
      <c r="D540" s="7" t="str">
        <f>"30125015501"</f>
        <v>30125015501</v>
      </c>
      <c r="E540" s="8">
        <v>74</v>
      </c>
      <c r="F540" s="18" t="s">
        <v>412</v>
      </c>
      <c r="G540" s="9">
        <v>77.12</v>
      </c>
      <c r="H540" s="7" t="s">
        <v>11</v>
      </c>
    </row>
    <row r="541" spans="1:8" s="13" customFormat="1" ht="15" customHeight="1">
      <c r="A541" s="7" t="str">
        <f>"3301"</f>
        <v>3301</v>
      </c>
      <c r="B541" s="7" t="s">
        <v>9</v>
      </c>
      <c r="C541" s="7" t="str">
        <f>"苏日娜"</f>
        <v>苏日娜</v>
      </c>
      <c r="D541" s="7" t="str">
        <f>"30125015824"</f>
        <v>30125015824</v>
      </c>
      <c r="E541" s="8">
        <v>78</v>
      </c>
      <c r="F541" s="8">
        <v>81.2</v>
      </c>
      <c r="G541" s="9">
        <v>79.28</v>
      </c>
      <c r="H541" s="7" t="s">
        <v>10</v>
      </c>
    </row>
    <row r="542" spans="1:8" s="13" customFormat="1" ht="15" customHeight="1">
      <c r="A542" s="7" t="str">
        <f>"3301"</f>
        <v>3301</v>
      </c>
      <c r="B542" s="7" t="s">
        <v>9</v>
      </c>
      <c r="C542" s="7" t="str">
        <f>"于海伦"</f>
        <v>于海伦</v>
      </c>
      <c r="D542" s="7" t="str">
        <f>"40125012406"</f>
        <v>40125012406</v>
      </c>
      <c r="E542" s="8">
        <v>77</v>
      </c>
      <c r="F542" s="8">
        <v>80.36</v>
      </c>
      <c r="G542" s="9">
        <v>78.344</v>
      </c>
      <c r="H542" s="7" t="s">
        <v>11</v>
      </c>
    </row>
    <row r="543" spans="1:8" s="13" customFormat="1" ht="15" customHeight="1">
      <c r="A543" s="7" t="str">
        <f>"3301"</f>
        <v>3301</v>
      </c>
      <c r="B543" s="7" t="s">
        <v>9</v>
      </c>
      <c r="C543" s="7" t="str">
        <f>"王岩"</f>
        <v>王岩</v>
      </c>
      <c r="D543" s="7" t="str">
        <f>"30125015726"</f>
        <v>30125015726</v>
      </c>
      <c r="E543" s="8">
        <v>74</v>
      </c>
      <c r="F543" s="19">
        <v>81.42</v>
      </c>
      <c r="G543" s="9">
        <v>76.968</v>
      </c>
      <c r="H543" s="7" t="s">
        <v>11</v>
      </c>
    </row>
    <row r="544" spans="1:8" s="13" customFormat="1" ht="15" customHeight="1">
      <c r="A544" s="7" t="str">
        <f>"3302"</f>
        <v>3302</v>
      </c>
      <c r="B544" s="7" t="s">
        <v>12</v>
      </c>
      <c r="C544" s="7" t="str">
        <f>"李嘉乐"</f>
        <v>李嘉乐</v>
      </c>
      <c r="D544" s="7" t="str">
        <f>"40125012409"</f>
        <v>40125012409</v>
      </c>
      <c r="E544" s="8">
        <v>66</v>
      </c>
      <c r="F544" s="8">
        <v>80.2</v>
      </c>
      <c r="G544" s="9">
        <v>71.68</v>
      </c>
      <c r="H544" s="7" t="s">
        <v>11</v>
      </c>
    </row>
    <row r="545" spans="1:8" s="13" customFormat="1" ht="15" customHeight="1">
      <c r="A545" s="7" t="str">
        <f>"3401"</f>
        <v>3401</v>
      </c>
      <c r="B545" s="7" t="s">
        <v>9</v>
      </c>
      <c r="C545" s="7" t="str">
        <f>"高文才"</f>
        <v>高文才</v>
      </c>
      <c r="D545" s="7" t="str">
        <f>"40125012412"</f>
        <v>40125012412</v>
      </c>
      <c r="E545" s="8">
        <v>75.5</v>
      </c>
      <c r="F545" s="8">
        <v>81.76</v>
      </c>
      <c r="G545" s="9">
        <v>78.00399999999999</v>
      </c>
      <c r="H545" s="7" t="s">
        <v>10</v>
      </c>
    </row>
    <row r="546" spans="1:8" s="13" customFormat="1" ht="15" customHeight="1">
      <c r="A546" s="7" t="str">
        <f>"3401"</f>
        <v>3401</v>
      </c>
      <c r="B546" s="7" t="s">
        <v>9</v>
      </c>
      <c r="C546" s="7" t="str">
        <f>"刘庆友"</f>
        <v>刘庆友</v>
      </c>
      <c r="D546" s="7" t="str">
        <f>"40125012415"</f>
        <v>40125012415</v>
      </c>
      <c r="E546" s="8">
        <v>73</v>
      </c>
      <c r="F546" s="8">
        <v>83.38</v>
      </c>
      <c r="G546" s="9">
        <v>77.15199999999999</v>
      </c>
      <c r="H546" s="7" t="s">
        <v>11</v>
      </c>
    </row>
    <row r="547" spans="1:8" s="13" customFormat="1" ht="15" customHeight="1">
      <c r="A547" s="7" t="str">
        <f>"3401"</f>
        <v>3401</v>
      </c>
      <c r="B547" s="7" t="s">
        <v>9</v>
      </c>
      <c r="C547" s="7" t="str">
        <f>"徐继权"</f>
        <v>徐继权</v>
      </c>
      <c r="D547" s="7" t="str">
        <f>"40125012420"</f>
        <v>40125012420</v>
      </c>
      <c r="E547" s="8">
        <v>72.5</v>
      </c>
      <c r="F547" s="8">
        <v>80.22</v>
      </c>
      <c r="G547" s="9">
        <v>75.588</v>
      </c>
      <c r="H547" s="7" t="s">
        <v>11</v>
      </c>
    </row>
    <row r="548" spans="1:8" s="13" customFormat="1" ht="15" customHeight="1">
      <c r="A548" s="7" t="str">
        <f>"3402-1"</f>
        <v>3402-1</v>
      </c>
      <c r="B548" s="7" t="s">
        <v>39</v>
      </c>
      <c r="C548" s="7" t="str">
        <f>"李志鹏"</f>
        <v>李志鹏</v>
      </c>
      <c r="D548" s="7" t="str">
        <f>"40125012423"</f>
        <v>40125012423</v>
      </c>
      <c r="E548" s="8">
        <v>75</v>
      </c>
      <c r="F548" s="8">
        <v>83.06</v>
      </c>
      <c r="G548" s="9">
        <v>78.224</v>
      </c>
      <c r="H548" s="7" t="s">
        <v>10</v>
      </c>
    </row>
    <row r="549" spans="1:8" s="13" customFormat="1" ht="15" customHeight="1">
      <c r="A549" s="7" t="str">
        <f>"3402-1"</f>
        <v>3402-1</v>
      </c>
      <c r="B549" s="7" t="s">
        <v>39</v>
      </c>
      <c r="C549" s="7" t="str">
        <f>"贾伟"</f>
        <v>贾伟</v>
      </c>
      <c r="D549" s="7" t="str">
        <f>"40125012426"</f>
        <v>40125012426</v>
      </c>
      <c r="E549" s="8">
        <v>73</v>
      </c>
      <c r="F549" s="8">
        <v>82.72</v>
      </c>
      <c r="G549" s="9">
        <v>76.888</v>
      </c>
      <c r="H549" s="7" t="s">
        <v>11</v>
      </c>
    </row>
    <row r="550" spans="1:8" s="13" customFormat="1" ht="15" customHeight="1">
      <c r="A550" s="7" t="str">
        <f>"3402-1"</f>
        <v>3402-1</v>
      </c>
      <c r="B550" s="7" t="s">
        <v>39</v>
      </c>
      <c r="C550" s="7" t="str">
        <f>"安旭"</f>
        <v>安旭</v>
      </c>
      <c r="D550" s="7" t="str">
        <f>"40125012428"</f>
        <v>40125012428</v>
      </c>
      <c r="E550" s="8">
        <v>68.5</v>
      </c>
      <c r="F550" s="8">
        <v>80.12</v>
      </c>
      <c r="G550" s="9">
        <v>73.148</v>
      </c>
      <c r="H550" s="7" t="s">
        <v>11</v>
      </c>
    </row>
    <row r="551" spans="1:8" s="13" customFormat="1" ht="15" customHeight="1">
      <c r="A551" s="7" t="str">
        <f>"3501"</f>
        <v>3501</v>
      </c>
      <c r="B551" s="7" t="s">
        <v>9</v>
      </c>
      <c r="C551" s="7" t="str">
        <f>"李忠孝"</f>
        <v>李忠孝</v>
      </c>
      <c r="D551" s="7" t="str">
        <f>"40125012525"</f>
        <v>40125012525</v>
      </c>
      <c r="E551" s="8">
        <v>77</v>
      </c>
      <c r="F551" s="8">
        <v>82.42</v>
      </c>
      <c r="G551" s="9">
        <v>79.168</v>
      </c>
      <c r="H551" s="7" t="s">
        <v>10</v>
      </c>
    </row>
    <row r="552" spans="1:8" s="13" customFormat="1" ht="15" customHeight="1">
      <c r="A552" s="7" t="str">
        <f>"3501"</f>
        <v>3501</v>
      </c>
      <c r="B552" s="7" t="s">
        <v>9</v>
      </c>
      <c r="C552" s="7" t="str">
        <f>"王全胜"</f>
        <v>王全胜</v>
      </c>
      <c r="D552" s="7" t="str">
        <f>"40125012605"</f>
        <v>40125012605</v>
      </c>
      <c r="E552" s="8">
        <v>77</v>
      </c>
      <c r="F552" s="8">
        <v>82.38</v>
      </c>
      <c r="G552" s="9">
        <v>79.15199999999999</v>
      </c>
      <c r="H552" s="7" t="s">
        <v>11</v>
      </c>
    </row>
    <row r="553" spans="1:8" s="13" customFormat="1" ht="15" customHeight="1">
      <c r="A553" s="7" t="str">
        <f>"3501"</f>
        <v>3501</v>
      </c>
      <c r="B553" s="7" t="s">
        <v>9</v>
      </c>
      <c r="C553" s="7" t="str">
        <f>"张桂文"</f>
        <v>张桂文</v>
      </c>
      <c r="D553" s="7" t="str">
        <f>"40125012513"</f>
        <v>40125012513</v>
      </c>
      <c r="E553" s="8">
        <v>73</v>
      </c>
      <c r="F553" s="8">
        <v>82.28</v>
      </c>
      <c r="G553" s="9">
        <v>76.71199999999999</v>
      </c>
      <c r="H553" s="7" t="s">
        <v>11</v>
      </c>
    </row>
    <row r="554" spans="1:8" s="13" customFormat="1" ht="15" customHeight="1">
      <c r="A554" s="7" t="str">
        <f>"3502"</f>
        <v>3502</v>
      </c>
      <c r="B554" s="7" t="s">
        <v>12</v>
      </c>
      <c r="C554" s="7" t="str">
        <f>"李春秋"</f>
        <v>李春秋</v>
      </c>
      <c r="D554" s="7" t="str">
        <f>"40125012617"</f>
        <v>40125012617</v>
      </c>
      <c r="E554" s="8">
        <v>68.5</v>
      </c>
      <c r="F554" s="18" t="s">
        <v>413</v>
      </c>
      <c r="G554" s="9">
        <v>76.1</v>
      </c>
      <c r="H554" s="7" t="s">
        <v>10</v>
      </c>
    </row>
    <row r="555" spans="1:8" s="13" customFormat="1" ht="15" customHeight="1">
      <c r="A555" s="7" t="str">
        <f>"3502"</f>
        <v>3502</v>
      </c>
      <c r="B555" s="7" t="s">
        <v>12</v>
      </c>
      <c r="C555" s="7" t="str">
        <f>"苏日古嘎"</f>
        <v>苏日古嘎</v>
      </c>
      <c r="D555" s="7" t="str">
        <f>"40125012624"</f>
        <v>40125012624</v>
      </c>
      <c r="E555" s="8">
        <v>61.5</v>
      </c>
      <c r="F555" s="17">
        <v>82.97</v>
      </c>
      <c r="G555" s="9">
        <v>70.088</v>
      </c>
      <c r="H555" s="7" t="s">
        <v>11</v>
      </c>
    </row>
    <row r="556" spans="1:8" s="13" customFormat="1" ht="15" customHeight="1">
      <c r="A556" s="7" t="str">
        <f>"3502"</f>
        <v>3502</v>
      </c>
      <c r="B556" s="7" t="s">
        <v>12</v>
      </c>
      <c r="C556" s="7" t="str">
        <f>"白金辉"</f>
        <v>白金辉</v>
      </c>
      <c r="D556" s="7" t="str">
        <f>"40125012621"</f>
        <v>40125012621</v>
      </c>
      <c r="E556" s="8">
        <v>62</v>
      </c>
      <c r="F556" s="17">
        <v>81.84</v>
      </c>
      <c r="G556" s="9">
        <v>69.936</v>
      </c>
      <c r="H556" s="7" t="s">
        <v>11</v>
      </c>
    </row>
    <row r="557" spans="1:8" s="13" customFormat="1" ht="15" customHeight="1">
      <c r="A557" s="7" t="str">
        <f>"3503"</f>
        <v>3503</v>
      </c>
      <c r="B557" s="7" t="s">
        <v>13</v>
      </c>
      <c r="C557" s="7" t="str">
        <f>"李爽"</f>
        <v>李爽</v>
      </c>
      <c r="D557" s="7" t="str">
        <f>"40125012629"</f>
        <v>40125012629</v>
      </c>
      <c r="E557" s="8">
        <v>67.5</v>
      </c>
      <c r="F557" s="17">
        <v>86.57</v>
      </c>
      <c r="G557" s="9">
        <v>75.128</v>
      </c>
      <c r="H557" s="7" t="s">
        <v>10</v>
      </c>
    </row>
    <row r="558" spans="1:8" s="13" customFormat="1" ht="15" customHeight="1">
      <c r="A558" s="7" t="str">
        <f>"3503"</f>
        <v>3503</v>
      </c>
      <c r="B558" s="7" t="s">
        <v>13</v>
      </c>
      <c r="C558" s="7" t="str">
        <f>"青花"</f>
        <v>青花</v>
      </c>
      <c r="D558" s="7" t="str">
        <f>"40125012626"</f>
        <v>40125012626</v>
      </c>
      <c r="E558" s="8">
        <v>63</v>
      </c>
      <c r="F558" s="17">
        <v>83.86</v>
      </c>
      <c r="G558" s="9">
        <v>71.344</v>
      </c>
      <c r="H558" s="7" t="s">
        <v>11</v>
      </c>
    </row>
    <row r="559" spans="1:8" s="13" customFormat="1" ht="15" customHeight="1">
      <c r="A559" s="7" t="str">
        <f>"3503"</f>
        <v>3503</v>
      </c>
      <c r="B559" s="7" t="s">
        <v>13</v>
      </c>
      <c r="C559" s="7" t="str">
        <f>"吴文婷"</f>
        <v>吴文婷</v>
      </c>
      <c r="D559" s="7" t="str">
        <f>"40125012627"</f>
        <v>40125012627</v>
      </c>
      <c r="E559" s="8">
        <v>59</v>
      </c>
      <c r="F559" s="17">
        <v>83.16</v>
      </c>
      <c r="G559" s="9">
        <v>68.664</v>
      </c>
      <c r="H559" s="7" t="s">
        <v>11</v>
      </c>
    </row>
    <row r="560" spans="1:8" s="13" customFormat="1" ht="15" customHeight="1">
      <c r="A560" s="7" t="str">
        <f>"3504"</f>
        <v>3504</v>
      </c>
      <c r="B560" s="7" t="s">
        <v>9</v>
      </c>
      <c r="C560" s="7" t="str">
        <f>"宁静"</f>
        <v>宁静</v>
      </c>
      <c r="D560" s="7" t="str">
        <f>"40125012719"</f>
        <v>40125012719</v>
      </c>
      <c r="E560" s="8">
        <v>79.5</v>
      </c>
      <c r="F560" s="8">
        <v>81.42</v>
      </c>
      <c r="G560" s="9">
        <v>80.268</v>
      </c>
      <c r="H560" s="7" t="s">
        <v>10</v>
      </c>
    </row>
    <row r="561" spans="1:8" s="13" customFormat="1" ht="15" customHeight="1">
      <c r="A561" s="7" t="str">
        <f>"3504"</f>
        <v>3504</v>
      </c>
      <c r="B561" s="7" t="s">
        <v>9</v>
      </c>
      <c r="C561" s="7" t="str">
        <f>"岳佳欢"</f>
        <v>岳佳欢</v>
      </c>
      <c r="D561" s="7" t="str">
        <f>"40125012704"</f>
        <v>40125012704</v>
      </c>
      <c r="E561" s="8">
        <v>77</v>
      </c>
      <c r="F561" s="8">
        <v>79.14</v>
      </c>
      <c r="G561" s="9">
        <v>77.856</v>
      </c>
      <c r="H561" s="7" t="s">
        <v>11</v>
      </c>
    </row>
    <row r="562" spans="1:8" s="13" customFormat="1" ht="15" customHeight="1">
      <c r="A562" s="7" t="str">
        <f>"3504"</f>
        <v>3504</v>
      </c>
      <c r="B562" s="7" t="s">
        <v>9</v>
      </c>
      <c r="C562" s="7" t="str">
        <f>"汪文晶"</f>
        <v>汪文晶</v>
      </c>
      <c r="D562" s="7" t="str">
        <f>"40125012705"</f>
        <v>40125012705</v>
      </c>
      <c r="E562" s="8">
        <v>72</v>
      </c>
      <c r="F562" s="8">
        <v>79.96</v>
      </c>
      <c r="G562" s="9">
        <v>75.184</v>
      </c>
      <c r="H562" s="7" t="s">
        <v>11</v>
      </c>
    </row>
    <row r="563" spans="1:8" s="13" customFormat="1" ht="15" customHeight="1">
      <c r="A563" s="7" t="str">
        <f>"3505"</f>
        <v>3505</v>
      </c>
      <c r="B563" s="7" t="s">
        <v>12</v>
      </c>
      <c r="C563" s="7" t="str">
        <f>"陈罕盖"</f>
        <v>陈罕盖</v>
      </c>
      <c r="D563" s="7" t="str">
        <f>"40125012730"</f>
        <v>40125012730</v>
      </c>
      <c r="E563" s="8">
        <v>63.5</v>
      </c>
      <c r="F563" s="17">
        <v>85.82</v>
      </c>
      <c r="G563" s="9">
        <v>72.428</v>
      </c>
      <c r="H563" s="7" t="s">
        <v>10</v>
      </c>
    </row>
    <row r="564" spans="1:8" s="13" customFormat="1" ht="15" customHeight="1">
      <c r="A564" s="7" t="str">
        <f>"3505"</f>
        <v>3505</v>
      </c>
      <c r="B564" s="7" t="s">
        <v>12</v>
      </c>
      <c r="C564" s="7" t="str">
        <f>"呼和"</f>
        <v>呼和</v>
      </c>
      <c r="D564" s="7" t="str">
        <f>"40125012804"</f>
        <v>40125012804</v>
      </c>
      <c r="E564" s="8">
        <v>61.5</v>
      </c>
      <c r="F564" s="18" t="s">
        <v>414</v>
      </c>
      <c r="G564" s="9">
        <v>70.3</v>
      </c>
      <c r="H564" s="7" t="s">
        <v>10</v>
      </c>
    </row>
    <row r="565" spans="1:8" s="13" customFormat="1" ht="15" customHeight="1">
      <c r="A565" s="7" t="str">
        <f>"3505"</f>
        <v>3505</v>
      </c>
      <c r="B565" s="7" t="s">
        <v>12</v>
      </c>
      <c r="C565" s="7" t="str">
        <f>"青兰"</f>
        <v>青兰</v>
      </c>
      <c r="D565" s="7" t="str">
        <f>"40125012803"</f>
        <v>40125012803</v>
      </c>
      <c r="E565" s="8">
        <v>56</v>
      </c>
      <c r="F565" s="17">
        <v>83.62</v>
      </c>
      <c r="G565" s="9">
        <v>67.048</v>
      </c>
      <c r="H565" s="7" t="s">
        <v>11</v>
      </c>
    </row>
    <row r="566" spans="1:8" s="13" customFormat="1" ht="15" customHeight="1">
      <c r="A566" s="11"/>
      <c r="B566" s="11"/>
      <c r="C566" s="11"/>
      <c r="D566" s="11"/>
      <c r="G566" s="10"/>
      <c r="H566" s="11"/>
    </row>
    <row r="567" spans="1:8" s="13" customFormat="1" ht="15" customHeight="1">
      <c r="A567" s="11"/>
      <c r="B567" s="11"/>
      <c r="C567" s="11"/>
      <c r="D567" s="11"/>
      <c r="G567" s="10"/>
      <c r="H567" s="11"/>
    </row>
    <row r="568" spans="1:8" s="13" customFormat="1" ht="15" customHeight="1">
      <c r="A568" s="11"/>
      <c r="B568" s="11"/>
      <c r="C568" s="11"/>
      <c r="D568" s="11"/>
      <c r="G568" s="10"/>
      <c r="H568" s="11"/>
    </row>
    <row r="569" spans="1:8" s="13" customFormat="1" ht="15" customHeight="1">
      <c r="A569" s="11"/>
      <c r="B569" s="11"/>
      <c r="C569" s="11"/>
      <c r="D569" s="11"/>
      <c r="G569" s="10"/>
      <c r="H569" s="11"/>
    </row>
    <row r="570" spans="1:8" s="13" customFormat="1" ht="15" customHeight="1">
      <c r="A570" s="11"/>
      <c r="B570" s="11"/>
      <c r="C570" s="11"/>
      <c r="D570" s="11"/>
      <c r="G570" s="10"/>
      <c r="H570" s="11"/>
    </row>
    <row r="571" spans="1:8" s="13" customFormat="1" ht="15" customHeight="1">
      <c r="A571" s="11"/>
      <c r="B571" s="11"/>
      <c r="C571" s="11"/>
      <c r="D571" s="11"/>
      <c r="G571" s="10"/>
      <c r="H571" s="11"/>
    </row>
    <row r="572" spans="1:8" s="13" customFormat="1" ht="15" customHeight="1">
      <c r="A572" s="11"/>
      <c r="B572" s="11"/>
      <c r="C572" s="11"/>
      <c r="D572" s="11"/>
      <c r="G572" s="10"/>
      <c r="H572" s="11"/>
    </row>
    <row r="573" spans="1:8" s="13" customFormat="1" ht="15" customHeight="1">
      <c r="A573" s="11"/>
      <c r="B573" s="11"/>
      <c r="C573" s="11"/>
      <c r="D573" s="11"/>
      <c r="G573" s="10"/>
      <c r="H573" s="11"/>
    </row>
    <row r="574" spans="1:8" s="13" customFormat="1" ht="15" customHeight="1">
      <c r="A574" s="11"/>
      <c r="B574" s="11"/>
      <c r="C574" s="11"/>
      <c r="D574" s="11"/>
      <c r="G574" s="10"/>
      <c r="H574" s="11"/>
    </row>
    <row r="575" spans="1:8" s="13" customFormat="1" ht="15" customHeight="1">
      <c r="A575" s="11"/>
      <c r="B575" s="11"/>
      <c r="C575" s="11"/>
      <c r="D575" s="11"/>
      <c r="G575" s="10"/>
      <c r="H575" s="11"/>
    </row>
    <row r="576" spans="1:8" s="13" customFormat="1" ht="15" customHeight="1">
      <c r="A576" s="11"/>
      <c r="B576" s="11"/>
      <c r="C576" s="11"/>
      <c r="D576" s="11"/>
      <c r="G576" s="10"/>
      <c r="H576" s="11"/>
    </row>
    <row r="577" spans="1:8" s="13" customFormat="1" ht="15" customHeight="1">
      <c r="A577" s="11"/>
      <c r="B577" s="11"/>
      <c r="C577" s="11"/>
      <c r="D577" s="11"/>
      <c r="G577" s="10"/>
      <c r="H577" s="11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C15" sqref="C14:C15"/>
    </sheetView>
  </sheetViews>
  <sheetFormatPr defaultColWidth="9.00390625" defaultRowHeight="14.25"/>
  <cols>
    <col min="1" max="1" width="9.00390625" style="1" customWidth="1"/>
    <col min="2" max="2" width="14.00390625" style="2" customWidth="1"/>
    <col min="3" max="3" width="20.625" style="1" customWidth="1"/>
    <col min="4" max="4" width="11.375" style="1" customWidth="1"/>
    <col min="5" max="16384" width="9.00390625" style="1" customWidth="1"/>
  </cols>
  <sheetData>
    <row r="1" spans="1:8" ht="45.75" customHeight="1">
      <c r="A1" s="3" t="s">
        <v>415</v>
      </c>
      <c r="B1" s="4"/>
      <c r="C1" s="3"/>
      <c r="D1" s="3"/>
      <c r="E1" s="3"/>
      <c r="F1" s="3"/>
      <c r="G1" s="3"/>
      <c r="H1" s="3"/>
    </row>
    <row r="2" spans="1:8" ht="36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pans="1:10" ht="28.5">
      <c r="A3" s="7" t="str">
        <f>"3506"</f>
        <v>3506</v>
      </c>
      <c r="B3" s="5" t="s">
        <v>9</v>
      </c>
      <c r="C3" s="7" t="s">
        <v>416</v>
      </c>
      <c r="D3" s="7" t="str">
        <f>"蒋燕泽"</f>
        <v>蒋燕泽</v>
      </c>
      <c r="E3" s="8">
        <v>72</v>
      </c>
      <c r="F3" s="8">
        <v>85.58</v>
      </c>
      <c r="G3" s="9">
        <f aca="true" t="shared" si="0" ref="G3:G14">E3*0.4+F3*0.6</f>
        <v>80.148</v>
      </c>
      <c r="H3" s="7" t="s">
        <v>10</v>
      </c>
      <c r="I3" s="10"/>
      <c r="J3" s="11"/>
    </row>
    <row r="4" spans="1:10" ht="28.5">
      <c r="A4" s="7" t="str">
        <f>"3506"</f>
        <v>3506</v>
      </c>
      <c r="B4" s="5" t="s">
        <v>9</v>
      </c>
      <c r="C4" s="7" t="s">
        <v>416</v>
      </c>
      <c r="D4" s="7" t="str">
        <f>"红英"</f>
        <v>红英</v>
      </c>
      <c r="E4" s="8">
        <v>57.5</v>
      </c>
      <c r="F4" s="8">
        <v>83.06</v>
      </c>
      <c r="G4" s="9">
        <f t="shared" si="0"/>
        <v>72.836</v>
      </c>
      <c r="H4" s="7" t="s">
        <v>11</v>
      </c>
      <c r="I4" s="10"/>
      <c r="J4" s="11"/>
    </row>
    <row r="5" spans="1:10" ht="28.5">
      <c r="A5" s="7" t="str">
        <f aca="true" t="shared" si="1" ref="A5:A7">"3507-1"</f>
        <v>3507-1</v>
      </c>
      <c r="B5" s="5" t="s">
        <v>39</v>
      </c>
      <c r="C5" s="7" t="s">
        <v>416</v>
      </c>
      <c r="D5" s="7" t="str">
        <f>"珊珊"</f>
        <v>珊珊</v>
      </c>
      <c r="E5" s="8">
        <v>57.5</v>
      </c>
      <c r="F5" s="8">
        <v>82.96</v>
      </c>
      <c r="G5" s="9">
        <f t="shared" si="0"/>
        <v>72.776</v>
      </c>
      <c r="H5" s="7" t="s">
        <v>10</v>
      </c>
      <c r="I5" s="10"/>
      <c r="J5" s="11"/>
    </row>
    <row r="6" spans="1:10" ht="28.5">
      <c r="A6" s="7" t="str">
        <f t="shared" si="1"/>
        <v>3507-1</v>
      </c>
      <c r="B6" s="5" t="s">
        <v>39</v>
      </c>
      <c r="C6" s="7" t="s">
        <v>416</v>
      </c>
      <c r="D6" s="7" t="str">
        <f>"丁茜"</f>
        <v>丁茜</v>
      </c>
      <c r="E6" s="8">
        <v>51.5</v>
      </c>
      <c r="F6" s="8">
        <v>80.56</v>
      </c>
      <c r="G6" s="9">
        <f t="shared" si="0"/>
        <v>68.936</v>
      </c>
      <c r="H6" s="7" t="s">
        <v>11</v>
      </c>
      <c r="I6" s="10"/>
      <c r="J6" s="11"/>
    </row>
    <row r="7" spans="1:10" ht="28.5">
      <c r="A7" s="7" t="str">
        <f t="shared" si="1"/>
        <v>3507-1</v>
      </c>
      <c r="B7" s="5" t="s">
        <v>39</v>
      </c>
      <c r="C7" s="7" t="s">
        <v>416</v>
      </c>
      <c r="D7" s="7" t="str">
        <f>"斯琴"</f>
        <v>斯琴</v>
      </c>
      <c r="E7" s="8">
        <v>50.5</v>
      </c>
      <c r="F7" s="8">
        <v>77.88</v>
      </c>
      <c r="G7" s="9">
        <f t="shared" si="0"/>
        <v>66.928</v>
      </c>
      <c r="H7" s="7" t="s">
        <v>11</v>
      </c>
      <c r="I7" s="10"/>
      <c r="J7" s="11"/>
    </row>
    <row r="8" spans="1:10" ht="28.5">
      <c r="A8" s="7" t="str">
        <f aca="true" t="shared" si="2" ref="A8:A10">"3508"</f>
        <v>3508</v>
      </c>
      <c r="B8" s="5" t="s">
        <v>13</v>
      </c>
      <c r="C8" s="7" t="s">
        <v>416</v>
      </c>
      <c r="D8" s="7" t="str">
        <f>"王常青"</f>
        <v>王常青</v>
      </c>
      <c r="E8" s="8">
        <v>75</v>
      </c>
      <c r="F8" s="8">
        <v>84.44</v>
      </c>
      <c r="G8" s="9">
        <f t="shared" si="0"/>
        <v>80.66399999999999</v>
      </c>
      <c r="H8" s="7" t="s">
        <v>10</v>
      </c>
      <c r="I8" s="10"/>
      <c r="J8" s="11"/>
    </row>
    <row r="9" spans="1:10" ht="28.5">
      <c r="A9" s="7" t="str">
        <f t="shared" si="2"/>
        <v>3508</v>
      </c>
      <c r="B9" s="5" t="s">
        <v>13</v>
      </c>
      <c r="C9" s="7" t="s">
        <v>416</v>
      </c>
      <c r="D9" s="7" t="str">
        <f>"李哲"</f>
        <v>李哲</v>
      </c>
      <c r="E9" s="8">
        <v>70</v>
      </c>
      <c r="F9" s="8">
        <v>83.56</v>
      </c>
      <c r="G9" s="9">
        <f t="shared" si="0"/>
        <v>78.136</v>
      </c>
      <c r="H9" s="7" t="s">
        <v>11</v>
      </c>
      <c r="I9" s="10"/>
      <c r="J9" s="11"/>
    </row>
    <row r="10" spans="1:10" ht="28.5">
      <c r="A10" s="7" t="str">
        <f t="shared" si="2"/>
        <v>3508</v>
      </c>
      <c r="B10" s="5" t="s">
        <v>13</v>
      </c>
      <c r="C10" s="7" t="s">
        <v>416</v>
      </c>
      <c r="D10" s="7" t="str">
        <f>"张瑶"</f>
        <v>张瑶</v>
      </c>
      <c r="E10" s="8">
        <v>72</v>
      </c>
      <c r="F10" s="8">
        <v>80.22</v>
      </c>
      <c r="G10" s="9">
        <f t="shared" si="0"/>
        <v>76.932</v>
      </c>
      <c r="H10" s="7" t="s">
        <v>11</v>
      </c>
      <c r="I10" s="10"/>
      <c r="J10" s="11"/>
    </row>
    <row r="11" spans="1:10" ht="28.5">
      <c r="A11" s="7" t="str">
        <f aca="true" t="shared" si="3" ref="A11:A13">"3509"</f>
        <v>3509</v>
      </c>
      <c r="B11" s="5" t="s">
        <v>387</v>
      </c>
      <c r="C11" s="7" t="s">
        <v>416</v>
      </c>
      <c r="D11" s="7" t="str">
        <f>"莫日格吉勒"</f>
        <v>莫日格吉勒</v>
      </c>
      <c r="E11" s="8">
        <v>72</v>
      </c>
      <c r="F11" s="8">
        <v>82.98</v>
      </c>
      <c r="G11" s="9">
        <f t="shared" si="0"/>
        <v>78.58800000000001</v>
      </c>
      <c r="H11" s="7" t="s">
        <v>10</v>
      </c>
      <c r="I11" s="10"/>
      <c r="J11" s="11"/>
    </row>
    <row r="12" spans="1:10" ht="28.5">
      <c r="A12" s="7" t="str">
        <f t="shared" si="3"/>
        <v>3509</v>
      </c>
      <c r="B12" s="5" t="s">
        <v>387</v>
      </c>
      <c r="C12" s="7" t="s">
        <v>416</v>
      </c>
      <c r="D12" s="7" t="str">
        <f>"南丁"</f>
        <v>南丁</v>
      </c>
      <c r="E12" s="8">
        <v>57</v>
      </c>
      <c r="F12" s="8">
        <v>83.82</v>
      </c>
      <c r="G12" s="9">
        <f t="shared" si="0"/>
        <v>73.092</v>
      </c>
      <c r="H12" s="7" t="s">
        <v>11</v>
      </c>
      <c r="I12" s="10"/>
      <c r="J12" s="11"/>
    </row>
    <row r="13" spans="1:10" ht="28.5">
      <c r="A13" s="7" t="str">
        <f t="shared" si="3"/>
        <v>3509</v>
      </c>
      <c r="B13" s="5" t="s">
        <v>387</v>
      </c>
      <c r="C13" s="7" t="s">
        <v>416</v>
      </c>
      <c r="D13" s="7" t="str">
        <f>"阿拉木苏"</f>
        <v>阿拉木苏</v>
      </c>
      <c r="E13" s="8">
        <v>57.5</v>
      </c>
      <c r="F13" s="8">
        <v>81.76</v>
      </c>
      <c r="G13" s="9">
        <f t="shared" si="0"/>
        <v>72.05600000000001</v>
      </c>
      <c r="H13" s="7" t="s">
        <v>11</v>
      </c>
      <c r="I13" s="10"/>
      <c r="J13" s="11"/>
    </row>
    <row r="14" spans="1:10" ht="28.5">
      <c r="A14" s="7" t="str">
        <f>"3510"</f>
        <v>3510</v>
      </c>
      <c r="B14" s="5" t="s">
        <v>51</v>
      </c>
      <c r="C14" s="7" t="s">
        <v>416</v>
      </c>
      <c r="D14" s="7" t="str">
        <f>"巴达日呼"</f>
        <v>巴达日呼</v>
      </c>
      <c r="E14" s="8">
        <v>61</v>
      </c>
      <c r="F14" s="8">
        <v>87.52</v>
      </c>
      <c r="G14" s="9">
        <f t="shared" si="0"/>
        <v>76.91199999999999</v>
      </c>
      <c r="H14" s="7" t="s">
        <v>10</v>
      </c>
      <c r="I14" s="10"/>
      <c r="J14" s="1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2023-01-12T07:45:35Z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B3502CD699954129B86FE39853648D39</vt:lpwstr>
  </property>
</Properties>
</file>