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activeTab="1"/>
  </bookViews>
  <sheets>
    <sheet name="教育岗位" sheetId="1" r:id="rId1"/>
    <sheet name="卫健岗位" sheetId="2" r:id="rId2"/>
  </sheets>
  <definedNames>
    <definedName name="_xlnm._FilterDatabase" localSheetId="0" hidden="1">教育岗位!$2:$2042</definedName>
    <definedName name="_xlnm._FilterDatabase" localSheetId="1" hidden="1">卫健岗位!$A$2:$K$490</definedName>
  </definedNames>
  <calcPr calcId="144525"/>
</workbook>
</file>

<file path=xl/sharedStrings.xml><?xml version="1.0" encoding="utf-8"?>
<sst xmlns="http://schemas.openxmlformats.org/spreadsheetml/2006/main" count="6187" uniqueCount="115">
  <si>
    <t>2022年城步苗族自治县教育卫健系统公开招聘事业单位工作人员笔试成绩及入围现场资格审查名单（教育系统岗位）</t>
  </si>
  <si>
    <t>岗位代码</t>
  </si>
  <si>
    <t>岗位名称</t>
  </si>
  <si>
    <t>姓名</t>
  </si>
  <si>
    <t>性别</t>
  </si>
  <si>
    <t>准考证号</t>
  </si>
  <si>
    <t>笔试成绩</t>
  </si>
  <si>
    <t>排名</t>
  </si>
  <si>
    <t>备注</t>
  </si>
  <si>
    <t>是否入围现场资格审查</t>
  </si>
  <si>
    <t>初中美术教师（应往届）</t>
  </si>
  <si>
    <t>是</t>
  </si>
  <si>
    <t>否</t>
  </si>
  <si>
    <t>缺考</t>
  </si>
  <si>
    <t>初中美术教师（应届）</t>
  </si>
  <si>
    <t>初中音乐教师（应往届）</t>
  </si>
  <si>
    <t>初中音乐教师（应届）</t>
  </si>
  <si>
    <t>初中信息技术教师（应往届）</t>
  </si>
  <si>
    <t>初中信息技术教师（应届）</t>
  </si>
  <si>
    <t>初中语文教师（应往届）</t>
  </si>
  <si>
    <t>初中语文教师（应届）</t>
  </si>
  <si>
    <t>初中数学教师（应往届）</t>
  </si>
  <si>
    <t>初中数学教师（应届）</t>
  </si>
  <si>
    <t>初中英语教师（应往届）</t>
  </si>
  <si>
    <t>初中英语教师（应届）</t>
  </si>
  <si>
    <t>初中物理教师（应往届）</t>
  </si>
  <si>
    <t>初中物理教师（应届）</t>
  </si>
  <si>
    <t>初中化学教师（应往届）</t>
  </si>
  <si>
    <t>初中化学教师（应届）</t>
  </si>
  <si>
    <t>初中生物教师（应往届）</t>
  </si>
  <si>
    <t>初中生物教师（应届）</t>
  </si>
  <si>
    <t>初中地理教师（应往届）</t>
  </si>
  <si>
    <t>初中地理教师（应届）</t>
  </si>
  <si>
    <t>初中历史教师（应往届）</t>
  </si>
  <si>
    <t>初中体育教师（应往届）</t>
  </si>
  <si>
    <t>初中体育教师（应届）</t>
  </si>
  <si>
    <t>小学音乐教师（应往届）</t>
  </si>
  <si>
    <t>小学音乐教师（应届）</t>
  </si>
  <si>
    <t>小学美术教师（应往届）</t>
  </si>
  <si>
    <t>小学美术教师（应届）</t>
  </si>
  <si>
    <t>小学体育教师(男)（应往届）</t>
  </si>
  <si>
    <t>小学体育教师(男)（应届）</t>
  </si>
  <si>
    <t>小学体育教师(女)（应往届）</t>
  </si>
  <si>
    <t>小学体育教师(女)（应届）</t>
  </si>
  <si>
    <t>小学心理健康教师（应往届）</t>
  </si>
  <si>
    <t>小学心理健康教师（应届）</t>
  </si>
  <si>
    <t>小学语文教师（男）（应往届）</t>
  </si>
  <si>
    <t>小学语文教师（男）（应届）</t>
  </si>
  <si>
    <t>小学语文教师（女）（应往届）</t>
  </si>
  <si>
    <t>小学语文教师（女）（应届）</t>
  </si>
  <si>
    <t>小学数学教师（男）（应往届）</t>
  </si>
  <si>
    <t>小学数学教师（男）（应届）</t>
  </si>
  <si>
    <t>小学数学教师 (女）（应往届）</t>
  </si>
  <si>
    <t>小学数学教师 (女）（应届）</t>
  </si>
  <si>
    <t>小学道德与法治教师(男)（应往届）</t>
  </si>
  <si>
    <t>小学道德与法治教师(男)（应届）</t>
  </si>
  <si>
    <t>小学道德与法治教师(女)（应往届）</t>
  </si>
  <si>
    <t>小学道德与法治教师(女)（应届）</t>
  </si>
  <si>
    <t>小学英语教师（男）（应往届）</t>
  </si>
  <si>
    <t>小学英语教师（男）（应届）</t>
  </si>
  <si>
    <t>小学英语教师（女）（应往届）</t>
  </si>
  <si>
    <t>小学英语教师（女）（应届）</t>
  </si>
  <si>
    <t>小学信息技术教师（应往届）</t>
  </si>
  <si>
    <t>小学信息技术教师（应届）</t>
  </si>
  <si>
    <t>特教语文教师（应届）</t>
  </si>
  <si>
    <t>特教美术教师（应往届）</t>
  </si>
  <si>
    <t>幼儿园教师（应往届）</t>
  </si>
  <si>
    <t>幼儿园教师（应届）</t>
  </si>
  <si>
    <t>2022年城步苗族自治县教育卫健系统公开招聘事业单位工作人员笔试成绩及入围现场资格审查名单（卫健系统岗位）</t>
  </si>
  <si>
    <t>专业基础知识</t>
  </si>
  <si>
    <t>实践能力测试</t>
  </si>
  <si>
    <t>总成绩</t>
  </si>
  <si>
    <t>中医医师（应届）</t>
  </si>
  <si>
    <t xml:space="preserve"> </t>
  </si>
  <si>
    <t>检验师（应往届）</t>
  </si>
  <si>
    <t>口腔科医师（应届）</t>
  </si>
  <si>
    <t>康复医师（应届）</t>
  </si>
  <si>
    <t>肾内科医师（应往届）</t>
  </si>
  <si>
    <t>外科医师（应往届）</t>
  </si>
  <si>
    <t>精神科医师（应往届）</t>
  </si>
  <si>
    <t>护士1（应届）</t>
  </si>
  <si>
    <t>护士2（限女性）（应往届）</t>
  </si>
  <si>
    <t>护士3（限男性）（应往届）</t>
  </si>
  <si>
    <t>住院医师（应往届）</t>
  </si>
  <si>
    <t>中药士（应届）</t>
  </si>
  <si>
    <t>西药士（应往届）</t>
  </si>
  <si>
    <t>F12G</t>
  </si>
  <si>
    <t>助产士（应届）</t>
  </si>
  <si>
    <t>雷远江</t>
  </si>
  <si>
    <t>女</t>
  </si>
  <si>
    <t>2022026504</t>
  </si>
  <si>
    <t>罗连香</t>
  </si>
  <si>
    <t>2022027231</t>
  </si>
  <si>
    <t>戴诗诗</t>
  </si>
  <si>
    <t>2022026501</t>
  </si>
  <si>
    <t>江梦君</t>
  </si>
  <si>
    <t>2022026502</t>
  </si>
  <si>
    <t>刘丹</t>
  </si>
  <si>
    <t>2022027233</t>
  </si>
  <si>
    <t>刘琳</t>
  </si>
  <si>
    <t>2022027232</t>
  </si>
  <si>
    <t>杨思思</t>
  </si>
  <si>
    <t>2022026503</t>
  </si>
  <si>
    <t>肖浈林</t>
  </si>
  <si>
    <t>2022026505</t>
  </si>
  <si>
    <t>护士4（应往届）</t>
  </si>
  <si>
    <t>急诊科医生1（应往届）</t>
  </si>
  <si>
    <t>内科医生（应往届）</t>
  </si>
  <si>
    <t>影像医师2（应届）</t>
  </si>
  <si>
    <t>针灸推拿师（应往届）</t>
  </si>
  <si>
    <t>针灸推拿师（应届）</t>
  </si>
  <si>
    <t>检验士（应届）</t>
  </si>
  <si>
    <t>文员（应往届）</t>
  </si>
  <si>
    <t>财会人员（应往届）</t>
  </si>
  <si>
    <t>财会人员（应届）</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</si>
</sst>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0"/>
      <color theme="1"/>
      <name val="宋体"/>
      <charset val="134"/>
      <scheme val="minor"/>
    </font>
    <font>
      <b/>
      <sz val="18"/>
      <color theme="1"/>
      <name val="宋体"/>
      <charset val="134"/>
      <scheme val="minor"/>
    </font>
    <font>
      <b/>
      <sz val="11"/>
      <name val="宋体"/>
      <charset val="134"/>
      <scheme val="minor"/>
    </font>
    <font>
      <sz val="11"/>
      <name val="宋体"/>
      <charset val="134"/>
      <scheme val="minor"/>
    </font>
    <font>
      <b/>
      <sz val="11"/>
      <color theme="1"/>
      <name val="宋体"/>
      <charset val="134"/>
      <scheme val="minor"/>
    </font>
    <font>
      <b/>
      <sz val="10"/>
      <color theme="1"/>
      <name val="宋体"/>
      <charset val="134"/>
      <scheme val="minor"/>
    </font>
    <font>
      <b/>
      <sz val="9"/>
      <name val="宋体"/>
      <charset val="134"/>
      <scheme val="minor"/>
    </font>
    <font>
      <sz val="11"/>
      <color rgb="FFFF000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10"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11" applyNumberFormat="0" applyFill="0" applyAlignment="0" applyProtection="0">
      <alignment vertical="center"/>
    </xf>
    <xf numFmtId="0" fontId="20" fillId="0" borderId="11" applyNumberFormat="0" applyFill="0" applyAlignment="0" applyProtection="0">
      <alignment vertical="center"/>
    </xf>
    <xf numFmtId="0" fontId="12" fillId="9" borderId="0" applyNumberFormat="0" applyBorder="0" applyAlignment="0" applyProtection="0">
      <alignment vertical="center"/>
    </xf>
    <xf numFmtId="0" fontId="15" fillId="0" borderId="12" applyNumberFormat="0" applyFill="0" applyAlignment="0" applyProtection="0">
      <alignment vertical="center"/>
    </xf>
    <xf numFmtId="0" fontId="12" fillId="10" borderId="0" applyNumberFormat="0" applyBorder="0" applyAlignment="0" applyProtection="0">
      <alignment vertical="center"/>
    </xf>
    <xf numFmtId="0" fontId="21" fillId="11" borderId="13" applyNumberFormat="0" applyAlignment="0" applyProtection="0">
      <alignment vertical="center"/>
    </xf>
    <xf numFmtId="0" fontId="22" fillId="11" borderId="9" applyNumberFormat="0" applyAlignment="0" applyProtection="0">
      <alignment vertical="center"/>
    </xf>
    <xf numFmtId="0" fontId="23" fillId="12" borderId="14"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15" applyNumberFormat="0" applyFill="0" applyAlignment="0" applyProtection="0">
      <alignment vertical="center"/>
    </xf>
    <xf numFmtId="0" fontId="25" fillId="0" borderId="16"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29">
    <xf numFmtId="0" fontId="0" fillId="0" borderId="0" xfId="0">
      <alignment vertical="center"/>
    </xf>
    <xf numFmtId="0" fontId="0" fillId="0" borderId="0" xfId="0" applyFont="1" applyFill="1" applyBorder="1" applyAlignment="1">
      <alignment vertical="center"/>
    </xf>
    <xf numFmtId="0" fontId="1" fillId="0" borderId="0" xfId="0" applyFont="1" applyFill="1" applyBorder="1" applyAlignment="1">
      <alignment vertical="center"/>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042"/>
  <sheetViews>
    <sheetView workbookViewId="0">
      <selection activeCell="B25" sqref="B25"/>
    </sheetView>
  </sheetViews>
  <sheetFormatPr defaultColWidth="9" defaultRowHeight="16.5" customHeight="1"/>
  <cols>
    <col min="1" max="1" width="9.125" style="1" customWidth="1"/>
    <col min="2" max="2" width="23.875" style="2" customWidth="1"/>
    <col min="3" max="3" width="9" style="1"/>
    <col min="4" max="4" width="6.625" style="1" customWidth="1"/>
    <col min="5" max="5" width="13.875" style="1" customWidth="1"/>
    <col min="6" max="6" width="9" style="1"/>
    <col min="7" max="7" width="7.625" style="1" customWidth="1"/>
    <col min="8" max="8" width="5.75" style="1" customWidth="1"/>
    <col min="9" max="9" width="11.5" style="14" customWidth="1"/>
    <col min="10" max="16384" width="9" style="1"/>
  </cols>
  <sheetData>
    <row r="1" s="1" customFormat="1" ht="57" customHeight="1" spans="1:9">
      <c r="A1" s="15" t="s">
        <v>0</v>
      </c>
      <c r="B1" s="15"/>
      <c r="C1" s="15"/>
      <c r="D1" s="15"/>
      <c r="E1" s="15"/>
      <c r="F1" s="15"/>
      <c r="G1" s="15"/>
      <c r="H1" s="15"/>
      <c r="I1" s="15"/>
    </row>
    <row r="2" s="1" customFormat="1" ht="28" customHeight="1" spans="1:9">
      <c r="A2" s="16" t="s">
        <v>1</v>
      </c>
      <c r="B2" s="17" t="s">
        <v>2</v>
      </c>
      <c r="C2" s="16" t="s">
        <v>3</v>
      </c>
      <c r="D2" s="16" t="s">
        <v>4</v>
      </c>
      <c r="E2" s="16" t="s">
        <v>5</v>
      </c>
      <c r="F2" s="16" t="s">
        <v>6</v>
      </c>
      <c r="G2" s="16" t="s">
        <v>7</v>
      </c>
      <c r="H2" s="16" t="s">
        <v>8</v>
      </c>
      <c r="I2" s="27" t="s">
        <v>9</v>
      </c>
    </row>
    <row r="3" s="1" customFormat="1" customHeight="1" spans="1:9">
      <c r="A3" s="18" t="str">
        <f t="shared" ref="A3:A40" si="0">"A10F"</f>
        <v>A10F</v>
      </c>
      <c r="B3" s="19" t="s">
        <v>10</v>
      </c>
      <c r="C3" s="18" t="str">
        <f>"姚壮"</f>
        <v>姚壮</v>
      </c>
      <c r="D3" s="18" t="str">
        <f>"男"</f>
        <v>男</v>
      </c>
      <c r="E3" s="18" t="str">
        <f>"2022015718"</f>
        <v>2022015718</v>
      </c>
      <c r="F3" s="20">
        <v>87.3</v>
      </c>
      <c r="G3" s="20">
        <v>1</v>
      </c>
      <c r="H3" s="21"/>
      <c r="I3" s="28" t="s">
        <v>11</v>
      </c>
    </row>
    <row r="4" s="1" customFormat="1" customHeight="1" spans="1:9">
      <c r="A4" s="18" t="str">
        <f t="shared" si="0"/>
        <v>A10F</v>
      </c>
      <c r="B4" s="19" t="s">
        <v>10</v>
      </c>
      <c r="C4" s="18" t="str">
        <f>"邓丹"</f>
        <v>邓丹</v>
      </c>
      <c r="D4" s="18" t="str">
        <f t="shared" ref="D4:D10" si="1">"女"</f>
        <v>女</v>
      </c>
      <c r="E4" s="18" t="str">
        <f>"2022015722"</f>
        <v>2022015722</v>
      </c>
      <c r="F4" s="18">
        <v>80.5</v>
      </c>
      <c r="G4" s="18">
        <v>2</v>
      </c>
      <c r="H4" s="18"/>
      <c r="I4" s="28" t="s">
        <v>11</v>
      </c>
    </row>
    <row r="5" s="1" customFormat="1" customHeight="1" spans="1:9">
      <c r="A5" s="18" t="str">
        <f t="shared" si="0"/>
        <v>A10F</v>
      </c>
      <c r="B5" s="19" t="s">
        <v>10</v>
      </c>
      <c r="C5" s="18" t="str">
        <f>"孟恒"</f>
        <v>孟恒</v>
      </c>
      <c r="D5" s="18" t="str">
        <f t="shared" si="1"/>
        <v>女</v>
      </c>
      <c r="E5" s="18" t="str">
        <f>"2022015716"</f>
        <v>2022015716</v>
      </c>
      <c r="F5" s="22">
        <v>79.9</v>
      </c>
      <c r="G5" s="20">
        <v>3</v>
      </c>
      <c r="H5" s="23"/>
      <c r="I5" s="18" t="s">
        <v>12</v>
      </c>
    </row>
    <row r="6" s="1" customFormat="1" customHeight="1" spans="1:9">
      <c r="A6" s="18" t="str">
        <f t="shared" si="0"/>
        <v>A10F</v>
      </c>
      <c r="B6" s="19" t="s">
        <v>10</v>
      </c>
      <c r="C6" s="18" t="str">
        <f>"邓雪梅"</f>
        <v>邓雪梅</v>
      </c>
      <c r="D6" s="18" t="str">
        <f t="shared" si="1"/>
        <v>女</v>
      </c>
      <c r="E6" s="18" t="str">
        <f>"2022015710"</f>
        <v>2022015710</v>
      </c>
      <c r="F6" s="24">
        <v>77.9</v>
      </c>
      <c r="G6" s="18">
        <v>4</v>
      </c>
      <c r="H6" s="18"/>
      <c r="I6" s="18" t="s">
        <v>12</v>
      </c>
    </row>
    <row r="7" s="1" customFormat="1" customHeight="1" spans="1:9">
      <c r="A7" s="18" t="str">
        <f t="shared" si="0"/>
        <v>A10F</v>
      </c>
      <c r="B7" s="19" t="s">
        <v>10</v>
      </c>
      <c r="C7" s="18" t="str">
        <f>"彭蕾"</f>
        <v>彭蕾</v>
      </c>
      <c r="D7" s="18" t="str">
        <f t="shared" si="1"/>
        <v>女</v>
      </c>
      <c r="E7" s="18" t="str">
        <f>"2022015706"</f>
        <v>2022015706</v>
      </c>
      <c r="F7" s="25">
        <v>76.8</v>
      </c>
      <c r="G7" s="20">
        <v>5</v>
      </c>
      <c r="H7" s="26"/>
      <c r="I7" s="18" t="s">
        <v>12</v>
      </c>
    </row>
    <row r="8" s="1" customFormat="1" customHeight="1" spans="1:9">
      <c r="A8" s="18" t="str">
        <f t="shared" si="0"/>
        <v>A10F</v>
      </c>
      <c r="B8" s="19" t="s">
        <v>10</v>
      </c>
      <c r="C8" s="18" t="str">
        <f>"彭流芳"</f>
        <v>彭流芳</v>
      </c>
      <c r="D8" s="18" t="str">
        <f t="shared" si="1"/>
        <v>女</v>
      </c>
      <c r="E8" s="18" t="str">
        <f>"2022015723"</f>
        <v>2022015723</v>
      </c>
      <c r="F8" s="18">
        <v>75.3</v>
      </c>
      <c r="G8" s="18">
        <v>6</v>
      </c>
      <c r="H8" s="18"/>
      <c r="I8" s="18" t="s">
        <v>12</v>
      </c>
    </row>
    <row r="9" s="1" customFormat="1" customHeight="1" spans="1:9">
      <c r="A9" s="18" t="str">
        <f t="shared" si="0"/>
        <v>A10F</v>
      </c>
      <c r="B9" s="19" t="s">
        <v>10</v>
      </c>
      <c r="C9" s="18" t="str">
        <f>"廖璇"</f>
        <v>廖璇</v>
      </c>
      <c r="D9" s="18" t="str">
        <f t="shared" si="1"/>
        <v>女</v>
      </c>
      <c r="E9" s="18" t="str">
        <f>"2022015730"</f>
        <v>2022015730</v>
      </c>
      <c r="F9" s="20">
        <v>74.8</v>
      </c>
      <c r="G9" s="20">
        <v>7</v>
      </c>
      <c r="H9" s="21"/>
      <c r="I9" s="18" t="s">
        <v>12</v>
      </c>
    </row>
    <row r="10" s="1" customFormat="1" customHeight="1" spans="1:9">
      <c r="A10" s="18" t="str">
        <f t="shared" si="0"/>
        <v>A10F</v>
      </c>
      <c r="B10" s="19" t="s">
        <v>10</v>
      </c>
      <c r="C10" s="18" t="str">
        <f>"王寻雨"</f>
        <v>王寻雨</v>
      </c>
      <c r="D10" s="18" t="str">
        <f t="shared" si="1"/>
        <v>女</v>
      </c>
      <c r="E10" s="18" t="str">
        <f>"2022015709"</f>
        <v>2022015709</v>
      </c>
      <c r="F10" s="18">
        <v>72.5</v>
      </c>
      <c r="G10" s="18">
        <v>8</v>
      </c>
      <c r="H10" s="18"/>
      <c r="I10" s="18" t="s">
        <v>12</v>
      </c>
    </row>
    <row r="11" s="1" customFormat="1" customHeight="1" spans="1:9">
      <c r="A11" s="18" t="str">
        <f t="shared" si="0"/>
        <v>A10F</v>
      </c>
      <c r="B11" s="19" t="s">
        <v>10</v>
      </c>
      <c r="C11" s="18" t="str">
        <f>"龙瑞刚"</f>
        <v>龙瑞刚</v>
      </c>
      <c r="D11" s="18" t="str">
        <f t="shared" ref="D11:D17" si="2">"男"</f>
        <v>男</v>
      </c>
      <c r="E11" s="18" t="str">
        <f>"2022015726"</f>
        <v>2022015726</v>
      </c>
      <c r="F11" s="20">
        <v>72</v>
      </c>
      <c r="G11" s="20">
        <v>9</v>
      </c>
      <c r="H11" s="21"/>
      <c r="I11" s="18" t="s">
        <v>12</v>
      </c>
    </row>
    <row r="12" s="1" customFormat="1" customHeight="1" spans="1:9">
      <c r="A12" s="18" t="str">
        <f t="shared" si="0"/>
        <v>A10F</v>
      </c>
      <c r="B12" s="19" t="s">
        <v>10</v>
      </c>
      <c r="C12" s="18" t="str">
        <f>"张意"</f>
        <v>张意</v>
      </c>
      <c r="D12" s="18" t="str">
        <f t="shared" si="2"/>
        <v>男</v>
      </c>
      <c r="E12" s="18" t="str">
        <f>"2022015712"</f>
        <v>2022015712</v>
      </c>
      <c r="F12" s="18">
        <v>71.1</v>
      </c>
      <c r="G12" s="18">
        <v>10</v>
      </c>
      <c r="H12" s="18"/>
      <c r="I12" s="18" t="s">
        <v>12</v>
      </c>
    </row>
    <row r="13" s="1" customFormat="1" customHeight="1" spans="1:9">
      <c r="A13" s="18" t="str">
        <f t="shared" si="0"/>
        <v>A10F</v>
      </c>
      <c r="B13" s="19" t="s">
        <v>10</v>
      </c>
      <c r="C13" s="18" t="str">
        <f>"蒋可"</f>
        <v>蒋可</v>
      </c>
      <c r="D13" s="18" t="str">
        <f>"女"</f>
        <v>女</v>
      </c>
      <c r="E13" s="18" t="str">
        <f>"2022015731"</f>
        <v>2022015731</v>
      </c>
      <c r="F13" s="20">
        <v>71.1</v>
      </c>
      <c r="G13" s="20">
        <v>10</v>
      </c>
      <c r="H13" s="21"/>
      <c r="I13" s="18" t="s">
        <v>12</v>
      </c>
    </row>
    <row r="14" s="1" customFormat="1" customHeight="1" spans="1:9">
      <c r="A14" s="18" t="str">
        <f t="shared" si="0"/>
        <v>A10F</v>
      </c>
      <c r="B14" s="19" t="s">
        <v>10</v>
      </c>
      <c r="C14" s="18" t="str">
        <f>"黄力波"</f>
        <v>黄力波</v>
      </c>
      <c r="D14" s="18" t="str">
        <f t="shared" si="2"/>
        <v>男</v>
      </c>
      <c r="E14" s="18" t="str">
        <f>"2022015801"</f>
        <v>2022015801</v>
      </c>
      <c r="F14" s="18">
        <v>69.5</v>
      </c>
      <c r="G14" s="18">
        <v>12</v>
      </c>
      <c r="H14" s="18"/>
      <c r="I14" s="18" t="s">
        <v>12</v>
      </c>
    </row>
    <row r="15" s="1" customFormat="1" customHeight="1" spans="1:9">
      <c r="A15" s="18" t="str">
        <f t="shared" si="0"/>
        <v>A10F</v>
      </c>
      <c r="B15" s="19" t="s">
        <v>10</v>
      </c>
      <c r="C15" s="18" t="str">
        <f>"周孝球"</f>
        <v>周孝球</v>
      </c>
      <c r="D15" s="18" t="str">
        <f t="shared" si="2"/>
        <v>男</v>
      </c>
      <c r="E15" s="18" t="str">
        <f>"2022015708"</f>
        <v>2022015708</v>
      </c>
      <c r="F15" s="22">
        <v>69.2</v>
      </c>
      <c r="G15" s="20">
        <v>13</v>
      </c>
      <c r="H15" s="23"/>
      <c r="I15" s="18" t="s">
        <v>12</v>
      </c>
    </row>
    <row r="16" s="1" customFormat="1" customHeight="1" spans="1:9">
      <c r="A16" s="18" t="str">
        <f t="shared" si="0"/>
        <v>A10F</v>
      </c>
      <c r="B16" s="19" t="s">
        <v>10</v>
      </c>
      <c r="C16" s="18" t="str">
        <f>"张经东"</f>
        <v>张经东</v>
      </c>
      <c r="D16" s="18" t="str">
        <f t="shared" si="2"/>
        <v>男</v>
      </c>
      <c r="E16" s="18" t="str">
        <f>"2022015802"</f>
        <v>2022015802</v>
      </c>
      <c r="F16" s="25">
        <v>69.2</v>
      </c>
      <c r="G16" s="18">
        <v>13</v>
      </c>
      <c r="H16" s="26"/>
      <c r="I16" s="18" t="s">
        <v>12</v>
      </c>
    </row>
    <row r="17" s="1" customFormat="1" customHeight="1" spans="1:9">
      <c r="A17" s="18" t="str">
        <f t="shared" si="0"/>
        <v>A10F</v>
      </c>
      <c r="B17" s="19" t="s">
        <v>10</v>
      </c>
      <c r="C17" s="18" t="str">
        <f>"刘治淦"</f>
        <v>刘治淦</v>
      </c>
      <c r="D17" s="18" t="str">
        <f t="shared" si="2"/>
        <v>男</v>
      </c>
      <c r="E17" s="18" t="str">
        <f>"2022015812"</f>
        <v>2022015812</v>
      </c>
      <c r="F17" s="18">
        <v>68.9</v>
      </c>
      <c r="G17" s="20">
        <v>15</v>
      </c>
      <c r="H17" s="18"/>
      <c r="I17" s="18" t="s">
        <v>12</v>
      </c>
    </row>
    <row r="18" s="1" customFormat="1" customHeight="1" spans="1:9">
      <c r="A18" s="18" t="str">
        <f t="shared" si="0"/>
        <v>A10F</v>
      </c>
      <c r="B18" s="19" t="s">
        <v>10</v>
      </c>
      <c r="C18" s="18" t="str">
        <f>"李晴"</f>
        <v>李晴</v>
      </c>
      <c r="D18" s="18" t="str">
        <f t="shared" ref="D18:D27" si="3">"女"</f>
        <v>女</v>
      </c>
      <c r="E18" s="18" t="str">
        <f>"2022015724"</f>
        <v>2022015724</v>
      </c>
      <c r="F18" s="22">
        <v>68.7</v>
      </c>
      <c r="G18" s="18">
        <v>16</v>
      </c>
      <c r="H18" s="23"/>
      <c r="I18" s="18" t="s">
        <v>12</v>
      </c>
    </row>
    <row r="19" s="1" customFormat="1" customHeight="1" spans="1:9">
      <c r="A19" s="18" t="str">
        <f t="shared" si="0"/>
        <v>A10F</v>
      </c>
      <c r="B19" s="19" t="s">
        <v>10</v>
      </c>
      <c r="C19" s="18" t="str">
        <f>"贾城城"</f>
        <v>贾城城</v>
      </c>
      <c r="D19" s="18" t="str">
        <f t="shared" si="3"/>
        <v>女</v>
      </c>
      <c r="E19" s="18" t="str">
        <f>"2022015721"</f>
        <v>2022015721</v>
      </c>
      <c r="F19" s="24">
        <v>68.4</v>
      </c>
      <c r="G19" s="20">
        <v>17</v>
      </c>
      <c r="H19" s="18"/>
      <c r="I19" s="18" t="s">
        <v>12</v>
      </c>
    </row>
    <row r="20" s="1" customFormat="1" customHeight="1" spans="1:9">
      <c r="A20" s="18" t="str">
        <f t="shared" si="0"/>
        <v>A10F</v>
      </c>
      <c r="B20" s="19" t="s">
        <v>10</v>
      </c>
      <c r="C20" s="18" t="str">
        <f>"陈奥"</f>
        <v>陈奥</v>
      </c>
      <c r="D20" s="18" t="str">
        <f t="shared" si="3"/>
        <v>女</v>
      </c>
      <c r="E20" s="18" t="str">
        <f>"2022015714"</f>
        <v>2022015714</v>
      </c>
      <c r="F20" s="24">
        <v>67.8</v>
      </c>
      <c r="G20" s="18">
        <v>18</v>
      </c>
      <c r="H20" s="18"/>
      <c r="I20" s="18" t="s">
        <v>12</v>
      </c>
    </row>
    <row r="21" s="1" customFormat="1" customHeight="1" spans="1:9">
      <c r="A21" s="18" t="str">
        <f t="shared" si="0"/>
        <v>A10F</v>
      </c>
      <c r="B21" s="19" t="s">
        <v>10</v>
      </c>
      <c r="C21" s="18" t="str">
        <f>"朱丽洁"</f>
        <v>朱丽洁</v>
      </c>
      <c r="D21" s="18" t="str">
        <f t="shared" si="3"/>
        <v>女</v>
      </c>
      <c r="E21" s="18" t="str">
        <f>"2022015804"</f>
        <v>2022015804</v>
      </c>
      <c r="F21" s="25">
        <v>67.6</v>
      </c>
      <c r="G21" s="20">
        <v>19</v>
      </c>
      <c r="H21" s="26"/>
      <c r="I21" s="18" t="s">
        <v>12</v>
      </c>
    </row>
    <row r="22" s="1" customFormat="1" customHeight="1" spans="1:9">
      <c r="A22" s="18" t="str">
        <f t="shared" si="0"/>
        <v>A10F</v>
      </c>
      <c r="B22" s="19" t="s">
        <v>10</v>
      </c>
      <c r="C22" s="18" t="str">
        <f>"陈思余"</f>
        <v>陈思余</v>
      </c>
      <c r="D22" s="18" t="str">
        <f t="shared" si="3"/>
        <v>女</v>
      </c>
      <c r="E22" s="18" t="str">
        <f>"2022015719"</f>
        <v>2022015719</v>
      </c>
      <c r="F22" s="18">
        <v>67.3</v>
      </c>
      <c r="G22" s="18">
        <v>20</v>
      </c>
      <c r="H22" s="18"/>
      <c r="I22" s="18" t="s">
        <v>12</v>
      </c>
    </row>
    <row r="23" s="1" customFormat="1" customHeight="1" spans="1:9">
      <c r="A23" s="18" t="str">
        <f t="shared" si="0"/>
        <v>A10F</v>
      </c>
      <c r="B23" s="19" t="s">
        <v>10</v>
      </c>
      <c r="C23" s="18" t="str">
        <f>"钟艺"</f>
        <v>钟艺</v>
      </c>
      <c r="D23" s="18" t="str">
        <f t="shared" si="3"/>
        <v>女</v>
      </c>
      <c r="E23" s="18" t="str">
        <f>"2022015806"</f>
        <v>2022015806</v>
      </c>
      <c r="F23" s="20">
        <v>58.8</v>
      </c>
      <c r="G23" s="20">
        <v>21</v>
      </c>
      <c r="H23" s="21"/>
      <c r="I23" s="18" t="s">
        <v>12</v>
      </c>
    </row>
    <row r="24" s="1" customFormat="1" customHeight="1" spans="1:9">
      <c r="A24" s="18" t="str">
        <f t="shared" si="0"/>
        <v>A10F</v>
      </c>
      <c r="B24" s="19" t="s">
        <v>10</v>
      </c>
      <c r="C24" s="18" t="str">
        <f>"王雨思"</f>
        <v>王雨思</v>
      </c>
      <c r="D24" s="18" t="str">
        <f t="shared" si="3"/>
        <v>女</v>
      </c>
      <c r="E24" s="18" t="str">
        <f>"2022015707"</f>
        <v>2022015707</v>
      </c>
      <c r="F24" s="18">
        <v>0</v>
      </c>
      <c r="G24" s="18">
        <v>22</v>
      </c>
      <c r="H24" s="18" t="s">
        <v>13</v>
      </c>
      <c r="I24" s="18" t="s">
        <v>12</v>
      </c>
    </row>
    <row r="25" s="1" customFormat="1" customHeight="1" spans="1:9">
      <c r="A25" s="18" t="str">
        <f t="shared" si="0"/>
        <v>A10F</v>
      </c>
      <c r="B25" s="19" t="s">
        <v>10</v>
      </c>
      <c r="C25" s="18" t="str">
        <f>"向薇"</f>
        <v>向薇</v>
      </c>
      <c r="D25" s="18" t="str">
        <f t="shared" si="3"/>
        <v>女</v>
      </c>
      <c r="E25" s="18" t="str">
        <f>"2022015711"</f>
        <v>2022015711</v>
      </c>
      <c r="F25" s="18">
        <v>0</v>
      </c>
      <c r="G25" s="20">
        <v>22</v>
      </c>
      <c r="H25" s="18" t="s">
        <v>13</v>
      </c>
      <c r="I25" s="18" t="s">
        <v>12</v>
      </c>
    </row>
    <row r="26" s="1" customFormat="1" customHeight="1" spans="1:9">
      <c r="A26" s="18" t="str">
        <f t="shared" si="0"/>
        <v>A10F</v>
      </c>
      <c r="B26" s="19" t="s">
        <v>10</v>
      </c>
      <c r="C26" s="18" t="str">
        <f>"王亚俐"</f>
        <v>王亚俐</v>
      </c>
      <c r="D26" s="18" t="str">
        <f t="shared" si="3"/>
        <v>女</v>
      </c>
      <c r="E26" s="18" t="str">
        <f>"2022015713"</f>
        <v>2022015713</v>
      </c>
      <c r="F26" s="18">
        <v>0</v>
      </c>
      <c r="G26" s="18">
        <v>22</v>
      </c>
      <c r="H26" s="18" t="s">
        <v>13</v>
      </c>
      <c r="I26" s="18" t="s">
        <v>12</v>
      </c>
    </row>
    <row r="27" s="1" customFormat="1" customHeight="1" spans="1:9">
      <c r="A27" s="18" t="str">
        <f t="shared" si="0"/>
        <v>A10F</v>
      </c>
      <c r="B27" s="19" t="s">
        <v>10</v>
      </c>
      <c r="C27" s="18" t="str">
        <f>"郑亚婷"</f>
        <v>郑亚婷</v>
      </c>
      <c r="D27" s="18" t="str">
        <f t="shared" si="3"/>
        <v>女</v>
      </c>
      <c r="E27" s="18" t="str">
        <f>"2022015715"</f>
        <v>2022015715</v>
      </c>
      <c r="F27" s="22">
        <v>0</v>
      </c>
      <c r="G27" s="20">
        <v>22</v>
      </c>
      <c r="H27" s="23" t="s">
        <v>13</v>
      </c>
      <c r="I27" s="18" t="s">
        <v>12</v>
      </c>
    </row>
    <row r="28" s="1" customFormat="1" customHeight="1" spans="1:9">
      <c r="A28" s="18" t="str">
        <f t="shared" si="0"/>
        <v>A10F</v>
      </c>
      <c r="B28" s="19" t="s">
        <v>10</v>
      </c>
      <c r="C28" s="18" t="str">
        <f>"刘坤"</f>
        <v>刘坤</v>
      </c>
      <c r="D28" s="18" t="str">
        <f>"男"</f>
        <v>男</v>
      </c>
      <c r="E28" s="18" t="str">
        <f>"2022015717"</f>
        <v>2022015717</v>
      </c>
      <c r="F28" s="24">
        <v>0</v>
      </c>
      <c r="G28" s="18">
        <v>22</v>
      </c>
      <c r="H28" s="18" t="s">
        <v>13</v>
      </c>
      <c r="I28" s="18" t="s">
        <v>12</v>
      </c>
    </row>
    <row r="29" s="1" customFormat="1" customHeight="1" spans="1:9">
      <c r="A29" s="18" t="str">
        <f t="shared" si="0"/>
        <v>A10F</v>
      </c>
      <c r="B29" s="19" t="s">
        <v>10</v>
      </c>
      <c r="C29" s="18" t="str">
        <f>"刘崇洋"</f>
        <v>刘崇洋</v>
      </c>
      <c r="D29" s="18" t="str">
        <f>"男"</f>
        <v>男</v>
      </c>
      <c r="E29" s="18" t="str">
        <f>"2022015720"</f>
        <v>2022015720</v>
      </c>
      <c r="F29" s="24">
        <v>0</v>
      </c>
      <c r="G29" s="20">
        <v>22</v>
      </c>
      <c r="H29" s="18" t="s">
        <v>13</v>
      </c>
      <c r="I29" s="18" t="s">
        <v>12</v>
      </c>
    </row>
    <row r="30" s="1" customFormat="1" customHeight="1" spans="1:9">
      <c r="A30" s="18" t="str">
        <f t="shared" si="0"/>
        <v>A10F</v>
      </c>
      <c r="B30" s="19" t="s">
        <v>10</v>
      </c>
      <c r="C30" s="18" t="str">
        <f>"龚琦涵 "</f>
        <v>龚琦涵 </v>
      </c>
      <c r="D30" s="18" t="str">
        <f t="shared" ref="D30:D34" si="4">"女"</f>
        <v>女</v>
      </c>
      <c r="E30" s="18" t="str">
        <f>"2022015725"</f>
        <v>2022015725</v>
      </c>
      <c r="F30" s="25">
        <v>0</v>
      </c>
      <c r="G30" s="18">
        <v>22</v>
      </c>
      <c r="H30" s="26" t="s">
        <v>13</v>
      </c>
      <c r="I30" s="18" t="s">
        <v>12</v>
      </c>
    </row>
    <row r="31" s="1" customFormat="1" customHeight="1" spans="1:9">
      <c r="A31" s="18" t="str">
        <f t="shared" si="0"/>
        <v>A10F</v>
      </c>
      <c r="B31" s="19" t="s">
        <v>10</v>
      </c>
      <c r="C31" s="18" t="str">
        <f>"段若雪"</f>
        <v>段若雪</v>
      </c>
      <c r="D31" s="18" t="str">
        <f t="shared" si="4"/>
        <v>女</v>
      </c>
      <c r="E31" s="18" t="str">
        <f>"2022015727"</f>
        <v>2022015727</v>
      </c>
      <c r="F31" s="18">
        <v>0</v>
      </c>
      <c r="G31" s="20">
        <v>22</v>
      </c>
      <c r="H31" s="18" t="s">
        <v>13</v>
      </c>
      <c r="I31" s="18" t="s">
        <v>12</v>
      </c>
    </row>
    <row r="32" s="1" customFormat="1" customHeight="1" spans="1:9">
      <c r="A32" s="18" t="str">
        <f t="shared" si="0"/>
        <v>A10F</v>
      </c>
      <c r="B32" s="19" t="s">
        <v>10</v>
      </c>
      <c r="C32" s="18" t="str">
        <f>"欧阳宇婷"</f>
        <v>欧阳宇婷</v>
      </c>
      <c r="D32" s="18" t="str">
        <f t="shared" si="4"/>
        <v>女</v>
      </c>
      <c r="E32" s="18" t="str">
        <f>"2022015728"</f>
        <v>2022015728</v>
      </c>
      <c r="F32" s="20">
        <v>0</v>
      </c>
      <c r="G32" s="18">
        <v>22</v>
      </c>
      <c r="H32" s="21" t="s">
        <v>13</v>
      </c>
      <c r="I32" s="18" t="s">
        <v>12</v>
      </c>
    </row>
    <row r="33" s="1" customFormat="1" customHeight="1" spans="1:9">
      <c r="A33" s="18" t="str">
        <f t="shared" si="0"/>
        <v>A10F</v>
      </c>
      <c r="B33" s="19" t="s">
        <v>10</v>
      </c>
      <c r="C33" s="18" t="str">
        <f>"荆怡丹"</f>
        <v>荆怡丹</v>
      </c>
      <c r="D33" s="18" t="str">
        <f t="shared" si="4"/>
        <v>女</v>
      </c>
      <c r="E33" s="18" t="str">
        <f>"2022015729"</f>
        <v>2022015729</v>
      </c>
      <c r="F33" s="18">
        <v>0</v>
      </c>
      <c r="G33" s="20">
        <v>22</v>
      </c>
      <c r="H33" s="18" t="s">
        <v>13</v>
      </c>
      <c r="I33" s="18" t="s">
        <v>12</v>
      </c>
    </row>
    <row r="34" s="1" customFormat="1" customHeight="1" spans="1:9">
      <c r="A34" s="18" t="str">
        <f t="shared" si="0"/>
        <v>A10F</v>
      </c>
      <c r="B34" s="19" t="s">
        <v>10</v>
      </c>
      <c r="C34" s="18" t="str">
        <f>"吕熙芝"</f>
        <v>吕熙芝</v>
      </c>
      <c r="D34" s="18" t="str">
        <f t="shared" si="4"/>
        <v>女</v>
      </c>
      <c r="E34" s="18" t="str">
        <f>"2022015803"</f>
        <v>2022015803</v>
      </c>
      <c r="F34" s="20">
        <v>0</v>
      </c>
      <c r="G34" s="18">
        <v>22</v>
      </c>
      <c r="H34" s="21" t="s">
        <v>13</v>
      </c>
      <c r="I34" s="18" t="s">
        <v>12</v>
      </c>
    </row>
    <row r="35" s="1" customFormat="1" customHeight="1" spans="1:9">
      <c r="A35" s="18" t="str">
        <f t="shared" si="0"/>
        <v>A10F</v>
      </c>
      <c r="B35" s="19" t="s">
        <v>10</v>
      </c>
      <c r="C35" s="18" t="str">
        <f>"黄能伟"</f>
        <v>黄能伟</v>
      </c>
      <c r="D35" s="18" t="str">
        <f t="shared" ref="D35:D37" si="5">"男"</f>
        <v>男</v>
      </c>
      <c r="E35" s="18" t="str">
        <f>"2022015805"</f>
        <v>2022015805</v>
      </c>
      <c r="F35" s="18">
        <v>0</v>
      </c>
      <c r="G35" s="20">
        <v>22</v>
      </c>
      <c r="H35" s="18" t="s">
        <v>13</v>
      </c>
      <c r="I35" s="18" t="s">
        <v>12</v>
      </c>
    </row>
    <row r="36" s="1" customFormat="1" customHeight="1" spans="1:9">
      <c r="A36" s="18" t="str">
        <f t="shared" si="0"/>
        <v>A10F</v>
      </c>
      <c r="B36" s="19" t="s">
        <v>10</v>
      </c>
      <c r="C36" s="18" t="str">
        <f>"李花坡"</f>
        <v>李花坡</v>
      </c>
      <c r="D36" s="18" t="str">
        <f t="shared" si="5"/>
        <v>男</v>
      </c>
      <c r="E36" s="18" t="str">
        <f>"2022015807"</f>
        <v>2022015807</v>
      </c>
      <c r="F36" s="18">
        <v>0</v>
      </c>
      <c r="G36" s="18">
        <v>22</v>
      </c>
      <c r="H36" s="18" t="s">
        <v>13</v>
      </c>
      <c r="I36" s="18" t="s">
        <v>12</v>
      </c>
    </row>
    <row r="37" s="1" customFormat="1" customHeight="1" spans="1:9">
      <c r="A37" s="18" t="str">
        <f t="shared" si="0"/>
        <v>A10F</v>
      </c>
      <c r="B37" s="19" t="s">
        <v>10</v>
      </c>
      <c r="C37" s="18" t="str">
        <f>"邓锋"</f>
        <v>邓锋</v>
      </c>
      <c r="D37" s="18" t="str">
        <f t="shared" si="5"/>
        <v>男</v>
      </c>
      <c r="E37" s="18" t="str">
        <f>"2022015808"</f>
        <v>2022015808</v>
      </c>
      <c r="F37" s="18">
        <v>0</v>
      </c>
      <c r="G37" s="20">
        <v>22</v>
      </c>
      <c r="H37" s="18" t="s">
        <v>13</v>
      </c>
      <c r="I37" s="18" t="s">
        <v>12</v>
      </c>
    </row>
    <row r="38" s="1" customFormat="1" customHeight="1" spans="1:9">
      <c r="A38" s="18" t="str">
        <f t="shared" si="0"/>
        <v>A10F</v>
      </c>
      <c r="B38" s="19" t="s">
        <v>10</v>
      </c>
      <c r="C38" s="18" t="str">
        <f>"明雪"</f>
        <v>明雪</v>
      </c>
      <c r="D38" s="18" t="str">
        <f t="shared" ref="D38:D58" si="6">"女"</f>
        <v>女</v>
      </c>
      <c r="E38" s="18" t="str">
        <f>"2022015809"</f>
        <v>2022015809</v>
      </c>
      <c r="F38" s="18">
        <v>0</v>
      </c>
      <c r="G38" s="18">
        <v>22</v>
      </c>
      <c r="H38" s="18" t="s">
        <v>13</v>
      </c>
      <c r="I38" s="18" t="s">
        <v>12</v>
      </c>
    </row>
    <row r="39" s="1" customFormat="1" customHeight="1" spans="1:9">
      <c r="A39" s="18" t="str">
        <f t="shared" si="0"/>
        <v>A10F</v>
      </c>
      <c r="B39" s="19" t="s">
        <v>10</v>
      </c>
      <c r="C39" s="18" t="str">
        <f>"毛坤原"</f>
        <v>毛坤原</v>
      </c>
      <c r="D39" s="18" t="str">
        <f>"男"</f>
        <v>男</v>
      </c>
      <c r="E39" s="18" t="str">
        <f>"2022015810"</f>
        <v>2022015810</v>
      </c>
      <c r="F39" s="18">
        <v>0</v>
      </c>
      <c r="G39" s="20">
        <v>22</v>
      </c>
      <c r="H39" s="18" t="s">
        <v>13</v>
      </c>
      <c r="I39" s="18" t="s">
        <v>12</v>
      </c>
    </row>
    <row r="40" s="1" customFormat="1" customHeight="1" spans="1:9">
      <c r="A40" s="18" t="str">
        <f t="shared" si="0"/>
        <v>A10F</v>
      </c>
      <c r="B40" s="19" t="s">
        <v>10</v>
      </c>
      <c r="C40" s="18" t="str">
        <f>"袁丽霞"</f>
        <v>袁丽霞</v>
      </c>
      <c r="D40" s="18" t="str">
        <f t="shared" si="6"/>
        <v>女</v>
      </c>
      <c r="E40" s="18" t="str">
        <f>"2022015811"</f>
        <v>2022015811</v>
      </c>
      <c r="F40" s="22">
        <v>0</v>
      </c>
      <c r="G40" s="18">
        <v>22</v>
      </c>
      <c r="H40" s="23" t="s">
        <v>13</v>
      </c>
      <c r="I40" s="18" t="s">
        <v>12</v>
      </c>
    </row>
    <row r="41" s="1" customFormat="1" customHeight="1" spans="1:9">
      <c r="A41" s="18" t="str">
        <f t="shared" ref="A41:A66" si="7">"A10G"</f>
        <v>A10G</v>
      </c>
      <c r="B41" s="19" t="s">
        <v>14</v>
      </c>
      <c r="C41" s="18" t="str">
        <f>"陈彬"</f>
        <v>陈彬</v>
      </c>
      <c r="D41" s="18" t="str">
        <f t="shared" si="6"/>
        <v>女</v>
      </c>
      <c r="E41" s="18" t="str">
        <f>"2022015903"</f>
        <v>2022015903</v>
      </c>
      <c r="F41" s="25">
        <v>77.8</v>
      </c>
      <c r="G41" s="25">
        <v>1</v>
      </c>
      <c r="H41" s="26"/>
      <c r="I41" s="28" t="s">
        <v>11</v>
      </c>
    </row>
    <row r="42" s="1" customFormat="1" customHeight="1" spans="1:9">
      <c r="A42" s="18" t="str">
        <f t="shared" si="7"/>
        <v>A10G</v>
      </c>
      <c r="B42" s="19" t="s">
        <v>14</v>
      </c>
      <c r="C42" s="18" t="str">
        <f>"杨益翚"</f>
        <v>杨益翚</v>
      </c>
      <c r="D42" s="18" t="str">
        <f t="shared" si="6"/>
        <v>女</v>
      </c>
      <c r="E42" s="18" t="str">
        <f>"2022015822"</f>
        <v>2022015822</v>
      </c>
      <c r="F42" s="18">
        <v>77.6</v>
      </c>
      <c r="G42" s="18">
        <v>2</v>
      </c>
      <c r="H42" s="18"/>
      <c r="I42" s="28" t="s">
        <v>11</v>
      </c>
    </row>
    <row r="43" s="1" customFormat="1" customHeight="1" spans="1:9">
      <c r="A43" s="18" t="str">
        <f t="shared" si="7"/>
        <v>A10G</v>
      </c>
      <c r="B43" s="19" t="s">
        <v>14</v>
      </c>
      <c r="C43" s="18" t="str">
        <f>"吴嘉敏"</f>
        <v>吴嘉敏</v>
      </c>
      <c r="D43" s="18" t="str">
        <f t="shared" si="6"/>
        <v>女</v>
      </c>
      <c r="E43" s="18" t="str">
        <f>"2022015816"</f>
        <v>2022015816</v>
      </c>
      <c r="F43" s="18">
        <v>77.3</v>
      </c>
      <c r="G43" s="25">
        <v>3</v>
      </c>
      <c r="H43" s="18"/>
      <c r="I43" s="18" t="s">
        <v>12</v>
      </c>
    </row>
    <row r="44" s="1" customFormat="1" customHeight="1" spans="1:9">
      <c r="A44" s="18" t="str">
        <f t="shared" si="7"/>
        <v>A10G</v>
      </c>
      <c r="B44" s="19" t="s">
        <v>14</v>
      </c>
      <c r="C44" s="18" t="str">
        <f>"刘发"</f>
        <v>刘发</v>
      </c>
      <c r="D44" s="18" t="str">
        <f t="shared" si="6"/>
        <v>女</v>
      </c>
      <c r="E44" s="18" t="str">
        <f>"2022015817"</f>
        <v>2022015817</v>
      </c>
      <c r="F44" s="22">
        <v>76.2</v>
      </c>
      <c r="G44" s="18">
        <v>4</v>
      </c>
      <c r="H44" s="23"/>
      <c r="I44" s="18" t="s">
        <v>12</v>
      </c>
    </row>
    <row r="45" s="1" customFormat="1" customHeight="1" spans="1:9">
      <c r="A45" s="18" t="str">
        <f t="shared" si="7"/>
        <v>A10G</v>
      </c>
      <c r="B45" s="19" t="s">
        <v>14</v>
      </c>
      <c r="C45" s="18" t="str">
        <f>"李林星"</f>
        <v>李林星</v>
      </c>
      <c r="D45" s="18" t="str">
        <f t="shared" si="6"/>
        <v>女</v>
      </c>
      <c r="E45" s="18" t="str">
        <f>"2022015825"</f>
        <v>2022015825</v>
      </c>
      <c r="F45" s="24">
        <v>75.3</v>
      </c>
      <c r="G45" s="25">
        <v>5</v>
      </c>
      <c r="H45" s="18"/>
      <c r="I45" s="18" t="s">
        <v>12</v>
      </c>
    </row>
    <row r="46" s="1" customFormat="1" customHeight="1" spans="1:9">
      <c r="A46" s="18" t="str">
        <f t="shared" si="7"/>
        <v>A10G</v>
      </c>
      <c r="B46" s="19" t="s">
        <v>14</v>
      </c>
      <c r="C46" s="18" t="str">
        <f>"肖雨晴"</f>
        <v>肖雨晴</v>
      </c>
      <c r="D46" s="18" t="str">
        <f t="shared" si="6"/>
        <v>女</v>
      </c>
      <c r="E46" s="18" t="str">
        <f>"2022015826"</f>
        <v>2022015826</v>
      </c>
      <c r="F46" s="24">
        <v>74.2</v>
      </c>
      <c r="G46" s="18">
        <v>6</v>
      </c>
      <c r="H46" s="18"/>
      <c r="I46" s="18" t="s">
        <v>12</v>
      </c>
    </row>
    <row r="47" s="1" customFormat="1" customHeight="1" spans="1:9">
      <c r="A47" s="18" t="str">
        <f t="shared" si="7"/>
        <v>A10G</v>
      </c>
      <c r="B47" s="19" t="s">
        <v>14</v>
      </c>
      <c r="C47" s="18" t="str">
        <f>"张健敏"</f>
        <v>张健敏</v>
      </c>
      <c r="D47" s="18" t="str">
        <f t="shared" si="6"/>
        <v>女</v>
      </c>
      <c r="E47" s="18" t="str">
        <f>"2022015824"</f>
        <v>2022015824</v>
      </c>
      <c r="F47" s="24">
        <v>74</v>
      </c>
      <c r="G47" s="25">
        <v>7</v>
      </c>
      <c r="H47" s="18"/>
      <c r="I47" s="18" t="s">
        <v>12</v>
      </c>
    </row>
    <row r="48" s="1" customFormat="1" customHeight="1" spans="1:9">
      <c r="A48" s="18" t="str">
        <f t="shared" si="7"/>
        <v>A10G</v>
      </c>
      <c r="B48" s="19" t="s">
        <v>14</v>
      </c>
      <c r="C48" s="18" t="str">
        <f>"邓文静"</f>
        <v>邓文静</v>
      </c>
      <c r="D48" s="18" t="str">
        <f t="shared" si="6"/>
        <v>女</v>
      </c>
      <c r="E48" s="18" t="str">
        <f>"2022015830"</f>
        <v>2022015830</v>
      </c>
      <c r="F48" s="25">
        <v>73.4</v>
      </c>
      <c r="G48" s="18">
        <v>8</v>
      </c>
      <c r="H48" s="26"/>
      <c r="I48" s="18" t="s">
        <v>12</v>
      </c>
    </row>
    <row r="49" s="1" customFormat="1" customHeight="1" spans="1:9">
      <c r="A49" s="18" t="str">
        <f t="shared" si="7"/>
        <v>A10G</v>
      </c>
      <c r="B49" s="19" t="s">
        <v>14</v>
      </c>
      <c r="C49" s="18" t="str">
        <f>"曾敏静"</f>
        <v>曾敏静</v>
      </c>
      <c r="D49" s="18" t="str">
        <f t="shared" si="6"/>
        <v>女</v>
      </c>
      <c r="E49" s="18" t="str">
        <f>"2022015820"</f>
        <v>2022015820</v>
      </c>
      <c r="F49" s="18">
        <v>72.8</v>
      </c>
      <c r="G49" s="25">
        <v>9</v>
      </c>
      <c r="H49" s="18"/>
      <c r="I49" s="18" t="s">
        <v>12</v>
      </c>
    </row>
    <row r="50" s="1" customFormat="1" customHeight="1" spans="1:9">
      <c r="A50" s="18" t="str">
        <f t="shared" si="7"/>
        <v>A10G</v>
      </c>
      <c r="B50" s="19" t="s">
        <v>14</v>
      </c>
      <c r="C50" s="18" t="str">
        <f>"肖鑫雨"</f>
        <v>肖鑫雨</v>
      </c>
      <c r="D50" s="18" t="str">
        <f t="shared" si="6"/>
        <v>女</v>
      </c>
      <c r="E50" s="18" t="str">
        <f>"2022015831"</f>
        <v>2022015831</v>
      </c>
      <c r="F50" s="20">
        <v>71</v>
      </c>
      <c r="G50" s="18">
        <v>10</v>
      </c>
      <c r="H50" s="21"/>
      <c r="I50" s="18" t="s">
        <v>12</v>
      </c>
    </row>
    <row r="51" s="1" customFormat="1" customHeight="1" spans="1:9">
      <c r="A51" s="18" t="str">
        <f t="shared" si="7"/>
        <v>A10G</v>
      </c>
      <c r="B51" s="19" t="s">
        <v>14</v>
      </c>
      <c r="C51" s="18" t="str">
        <f>"孟小璐"</f>
        <v>孟小璐</v>
      </c>
      <c r="D51" s="18" t="str">
        <f t="shared" si="6"/>
        <v>女</v>
      </c>
      <c r="E51" s="18" t="str">
        <f>"2022015829"</f>
        <v>2022015829</v>
      </c>
      <c r="F51" s="18">
        <v>70.6</v>
      </c>
      <c r="G51" s="25">
        <v>11</v>
      </c>
      <c r="H51" s="18"/>
      <c r="I51" s="18" t="s">
        <v>12</v>
      </c>
    </row>
    <row r="52" s="1" customFormat="1" customHeight="1" spans="1:9">
      <c r="A52" s="18" t="str">
        <f t="shared" si="7"/>
        <v>A10G</v>
      </c>
      <c r="B52" s="19" t="s">
        <v>14</v>
      </c>
      <c r="C52" s="18" t="str">
        <f>"苏佳珍"</f>
        <v>苏佳珍</v>
      </c>
      <c r="D52" s="18" t="str">
        <f t="shared" si="6"/>
        <v>女</v>
      </c>
      <c r="E52" s="18" t="str">
        <f>"2022015906"</f>
        <v>2022015906</v>
      </c>
      <c r="F52" s="22">
        <v>70.6</v>
      </c>
      <c r="G52" s="18">
        <v>11</v>
      </c>
      <c r="H52" s="23"/>
      <c r="I52" s="18" t="s">
        <v>12</v>
      </c>
    </row>
    <row r="53" s="1" customFormat="1" customHeight="1" spans="1:9">
      <c r="A53" s="18" t="str">
        <f t="shared" si="7"/>
        <v>A10G</v>
      </c>
      <c r="B53" s="19" t="s">
        <v>14</v>
      </c>
      <c r="C53" s="18" t="str">
        <f>"郑子媛"</f>
        <v>郑子媛</v>
      </c>
      <c r="D53" s="18" t="str">
        <f t="shared" si="6"/>
        <v>女</v>
      </c>
      <c r="E53" s="18" t="str">
        <f>"2022015828"</f>
        <v>2022015828</v>
      </c>
      <c r="F53" s="24">
        <v>69</v>
      </c>
      <c r="G53" s="25">
        <v>13</v>
      </c>
      <c r="H53" s="18"/>
      <c r="I53" s="18" t="s">
        <v>12</v>
      </c>
    </row>
    <row r="54" s="1" customFormat="1" customHeight="1" spans="1:9">
      <c r="A54" s="18" t="str">
        <f t="shared" si="7"/>
        <v>A10G</v>
      </c>
      <c r="B54" s="19" t="s">
        <v>14</v>
      </c>
      <c r="C54" s="18" t="str">
        <f>"郑绍芳"</f>
        <v>郑绍芳</v>
      </c>
      <c r="D54" s="18" t="str">
        <f t="shared" si="6"/>
        <v>女</v>
      </c>
      <c r="E54" s="18" t="str">
        <f>"2022015819"</f>
        <v>2022015819</v>
      </c>
      <c r="F54" s="24">
        <v>68.7</v>
      </c>
      <c r="G54" s="18">
        <v>14</v>
      </c>
      <c r="H54" s="18"/>
      <c r="I54" s="18" t="s">
        <v>12</v>
      </c>
    </row>
    <row r="55" s="1" customFormat="1" customHeight="1" spans="1:9">
      <c r="A55" s="18" t="str">
        <f t="shared" si="7"/>
        <v>A10G</v>
      </c>
      <c r="B55" s="19" t="s">
        <v>14</v>
      </c>
      <c r="C55" s="18" t="str">
        <f>"吴灵燕"</f>
        <v>吴灵燕</v>
      </c>
      <c r="D55" s="18" t="str">
        <f t="shared" si="6"/>
        <v>女</v>
      </c>
      <c r="E55" s="18" t="str">
        <f>"2022015901"</f>
        <v>2022015901</v>
      </c>
      <c r="F55" s="24">
        <v>67.5</v>
      </c>
      <c r="G55" s="25">
        <v>15</v>
      </c>
      <c r="H55" s="18"/>
      <c r="I55" s="18" t="s">
        <v>12</v>
      </c>
    </row>
    <row r="56" s="1" customFormat="1" customHeight="1" spans="1:9">
      <c r="A56" s="18" t="str">
        <f t="shared" si="7"/>
        <v>A10G</v>
      </c>
      <c r="B56" s="19" t="s">
        <v>14</v>
      </c>
      <c r="C56" s="18" t="str">
        <f>"唐晨"</f>
        <v>唐晨</v>
      </c>
      <c r="D56" s="18" t="str">
        <f t="shared" si="6"/>
        <v>女</v>
      </c>
      <c r="E56" s="18" t="str">
        <f>"2022015827"</f>
        <v>2022015827</v>
      </c>
      <c r="F56" s="24">
        <v>66.6</v>
      </c>
      <c r="G56" s="18">
        <v>16</v>
      </c>
      <c r="H56" s="18"/>
      <c r="I56" s="18" t="s">
        <v>12</v>
      </c>
    </row>
    <row r="57" s="1" customFormat="1" customHeight="1" spans="1:9">
      <c r="A57" s="18" t="str">
        <f t="shared" si="7"/>
        <v>A10G</v>
      </c>
      <c r="B57" s="19" t="s">
        <v>14</v>
      </c>
      <c r="C57" s="18" t="str">
        <f>"姚欣怡"</f>
        <v>姚欣怡</v>
      </c>
      <c r="D57" s="18" t="str">
        <f t="shared" si="6"/>
        <v>女</v>
      </c>
      <c r="E57" s="18" t="str">
        <f>"2022015818"</f>
        <v>2022015818</v>
      </c>
      <c r="F57" s="24">
        <v>62.5</v>
      </c>
      <c r="G57" s="25">
        <v>17</v>
      </c>
      <c r="H57" s="18"/>
      <c r="I57" s="18" t="s">
        <v>12</v>
      </c>
    </row>
    <row r="58" s="1" customFormat="1" customHeight="1" spans="1:9">
      <c r="A58" s="18" t="str">
        <f t="shared" si="7"/>
        <v>A10G</v>
      </c>
      <c r="B58" s="19" t="s">
        <v>14</v>
      </c>
      <c r="C58" s="18" t="str">
        <f>"刘菲"</f>
        <v>刘菲</v>
      </c>
      <c r="D58" s="18" t="str">
        <f t="shared" si="6"/>
        <v>女</v>
      </c>
      <c r="E58" s="18" t="str">
        <f>"2022015904"</f>
        <v>2022015904</v>
      </c>
      <c r="F58" s="24">
        <v>62.5</v>
      </c>
      <c r="G58" s="18">
        <v>17</v>
      </c>
      <c r="H58" s="18"/>
      <c r="I58" s="18" t="s">
        <v>12</v>
      </c>
    </row>
    <row r="59" s="1" customFormat="1" customHeight="1" spans="1:9">
      <c r="A59" s="18" t="str">
        <f t="shared" si="7"/>
        <v>A10G</v>
      </c>
      <c r="B59" s="19" t="s">
        <v>14</v>
      </c>
      <c r="C59" s="18" t="str">
        <f>"毛涛"</f>
        <v>毛涛</v>
      </c>
      <c r="D59" s="18" t="str">
        <f t="shared" ref="D59:D62" si="8">"男"</f>
        <v>男</v>
      </c>
      <c r="E59" s="18" t="str">
        <f>"2022015813"</f>
        <v>2022015813</v>
      </c>
      <c r="F59" s="24">
        <v>57.5</v>
      </c>
      <c r="G59" s="25">
        <v>19</v>
      </c>
      <c r="H59" s="18"/>
      <c r="I59" s="18" t="s">
        <v>12</v>
      </c>
    </row>
    <row r="60" s="1" customFormat="1" customHeight="1" spans="1:9">
      <c r="A60" s="18" t="str">
        <f t="shared" si="7"/>
        <v>A10G</v>
      </c>
      <c r="B60" s="19" t="s">
        <v>14</v>
      </c>
      <c r="C60" s="18" t="str">
        <f>"周永康"</f>
        <v>周永康</v>
      </c>
      <c r="D60" s="18" t="str">
        <f t="shared" si="8"/>
        <v>男</v>
      </c>
      <c r="E60" s="18" t="str">
        <f>"2022015814"</f>
        <v>2022015814</v>
      </c>
      <c r="F60" s="25">
        <v>0</v>
      </c>
      <c r="G60" s="18">
        <v>20</v>
      </c>
      <c r="H60" s="26" t="s">
        <v>13</v>
      </c>
      <c r="I60" s="18" t="s">
        <v>12</v>
      </c>
    </row>
    <row r="61" s="1" customFormat="1" customHeight="1" spans="1:9">
      <c r="A61" s="18" t="str">
        <f t="shared" si="7"/>
        <v>A10G</v>
      </c>
      <c r="B61" s="19" t="s">
        <v>14</v>
      </c>
      <c r="C61" s="18" t="str">
        <f>"张慧"</f>
        <v>张慧</v>
      </c>
      <c r="D61" s="18" t="str">
        <f t="shared" ref="D61:D65" si="9">"女"</f>
        <v>女</v>
      </c>
      <c r="E61" s="18" t="str">
        <f>"2022015815"</f>
        <v>2022015815</v>
      </c>
      <c r="F61" s="18">
        <v>0</v>
      </c>
      <c r="G61" s="25">
        <v>20</v>
      </c>
      <c r="H61" s="18" t="s">
        <v>13</v>
      </c>
      <c r="I61" s="18" t="s">
        <v>12</v>
      </c>
    </row>
    <row r="62" s="1" customFormat="1" customHeight="1" spans="1:9">
      <c r="A62" s="18" t="str">
        <f t="shared" si="7"/>
        <v>A10G</v>
      </c>
      <c r="B62" s="19" t="s">
        <v>14</v>
      </c>
      <c r="C62" s="18" t="str">
        <f>"贺锋"</f>
        <v>贺锋</v>
      </c>
      <c r="D62" s="18" t="str">
        <f t="shared" si="8"/>
        <v>男</v>
      </c>
      <c r="E62" s="18" t="str">
        <f>"2022015821"</f>
        <v>2022015821</v>
      </c>
      <c r="F62" s="22">
        <v>0</v>
      </c>
      <c r="G62" s="18">
        <v>20</v>
      </c>
      <c r="H62" s="23" t="s">
        <v>13</v>
      </c>
      <c r="I62" s="18" t="s">
        <v>12</v>
      </c>
    </row>
    <row r="63" s="1" customFormat="1" customHeight="1" spans="1:9">
      <c r="A63" s="18" t="str">
        <f t="shared" si="7"/>
        <v>A10G</v>
      </c>
      <c r="B63" s="19" t="s">
        <v>14</v>
      </c>
      <c r="C63" s="18" t="str">
        <f>"李林桂"</f>
        <v>李林桂</v>
      </c>
      <c r="D63" s="18" t="str">
        <f t="shared" si="9"/>
        <v>女</v>
      </c>
      <c r="E63" s="18" t="str">
        <f>"2022015823"</f>
        <v>2022015823</v>
      </c>
      <c r="F63" s="25">
        <v>0</v>
      </c>
      <c r="G63" s="25">
        <v>20</v>
      </c>
      <c r="H63" s="26" t="s">
        <v>13</v>
      </c>
      <c r="I63" s="18" t="s">
        <v>12</v>
      </c>
    </row>
    <row r="64" s="1" customFormat="1" customHeight="1" spans="1:9">
      <c r="A64" s="18" t="str">
        <f t="shared" si="7"/>
        <v>A10G</v>
      </c>
      <c r="B64" s="19" t="s">
        <v>14</v>
      </c>
      <c r="C64" s="18" t="str">
        <f>"陈静"</f>
        <v>陈静</v>
      </c>
      <c r="D64" s="18" t="str">
        <f t="shared" si="9"/>
        <v>女</v>
      </c>
      <c r="E64" s="18" t="str">
        <f>"2022015902"</f>
        <v>2022015902</v>
      </c>
      <c r="F64" s="18">
        <v>0</v>
      </c>
      <c r="G64" s="18">
        <v>20</v>
      </c>
      <c r="H64" s="18" t="s">
        <v>13</v>
      </c>
      <c r="I64" s="18" t="s">
        <v>12</v>
      </c>
    </row>
    <row r="65" s="1" customFormat="1" customHeight="1" spans="1:9">
      <c r="A65" s="18" t="str">
        <f t="shared" si="7"/>
        <v>A10G</v>
      </c>
      <c r="B65" s="19" t="s">
        <v>14</v>
      </c>
      <c r="C65" s="18" t="str">
        <f>"胡静"</f>
        <v>胡静</v>
      </c>
      <c r="D65" s="18" t="str">
        <f t="shared" si="9"/>
        <v>女</v>
      </c>
      <c r="E65" s="18" t="str">
        <f>"2022015905"</f>
        <v>2022015905</v>
      </c>
      <c r="F65" s="20">
        <v>0</v>
      </c>
      <c r="G65" s="25">
        <v>20</v>
      </c>
      <c r="H65" s="21" t="s">
        <v>13</v>
      </c>
      <c r="I65" s="18" t="s">
        <v>12</v>
      </c>
    </row>
    <row r="66" s="1" customFormat="1" customHeight="1" spans="1:9">
      <c r="A66" s="18" t="str">
        <f t="shared" si="7"/>
        <v>A10G</v>
      </c>
      <c r="B66" s="19" t="s">
        <v>14</v>
      </c>
      <c r="C66" s="18" t="str">
        <f>"莫雅棋"</f>
        <v>莫雅棋</v>
      </c>
      <c r="D66" s="18" t="str">
        <f t="shared" ref="D66:D69" si="10">"男"</f>
        <v>男</v>
      </c>
      <c r="E66" s="18" t="str">
        <f>"2022015907"</f>
        <v>2022015907</v>
      </c>
      <c r="F66" s="18">
        <v>0</v>
      </c>
      <c r="G66" s="18">
        <v>20</v>
      </c>
      <c r="H66" s="18" t="s">
        <v>13</v>
      </c>
      <c r="I66" s="18" t="s">
        <v>12</v>
      </c>
    </row>
    <row r="67" s="1" customFormat="1" customHeight="1" spans="1:9">
      <c r="A67" s="18" t="str">
        <f t="shared" ref="A67:A90" si="11">"A11F"</f>
        <v>A11F</v>
      </c>
      <c r="B67" s="19" t="s">
        <v>15</v>
      </c>
      <c r="C67" s="18" t="str">
        <f>"苏丽城"</f>
        <v>苏丽城</v>
      </c>
      <c r="D67" s="18" t="str">
        <f>"女"</f>
        <v>女</v>
      </c>
      <c r="E67" s="18" t="str">
        <f>"2022015130"</f>
        <v>2022015130</v>
      </c>
      <c r="F67" s="24">
        <v>76</v>
      </c>
      <c r="G67" s="24">
        <v>1</v>
      </c>
      <c r="H67" s="18"/>
      <c r="I67" s="28" t="s">
        <v>11</v>
      </c>
    </row>
    <row r="68" s="1" customFormat="1" customHeight="1" spans="1:9">
      <c r="A68" s="18" t="str">
        <f t="shared" si="11"/>
        <v>A11F</v>
      </c>
      <c r="B68" s="19" t="s">
        <v>15</v>
      </c>
      <c r="C68" s="18" t="str">
        <f>"邓明明"</f>
        <v>邓明明</v>
      </c>
      <c r="D68" s="18" t="str">
        <f t="shared" si="10"/>
        <v>男</v>
      </c>
      <c r="E68" s="18" t="str">
        <f>"2022015110"</f>
        <v>2022015110</v>
      </c>
      <c r="F68" s="24">
        <v>75</v>
      </c>
      <c r="G68" s="24">
        <v>2</v>
      </c>
      <c r="H68" s="18"/>
      <c r="I68" s="28" t="s">
        <v>11</v>
      </c>
    </row>
    <row r="69" s="1" customFormat="1" customHeight="1" spans="1:9">
      <c r="A69" s="18" t="str">
        <f t="shared" si="11"/>
        <v>A11F</v>
      </c>
      <c r="B69" s="19" t="s">
        <v>15</v>
      </c>
      <c r="C69" s="18" t="str">
        <f>"刘谋伟"</f>
        <v>刘谋伟</v>
      </c>
      <c r="D69" s="18" t="str">
        <f t="shared" si="10"/>
        <v>男</v>
      </c>
      <c r="E69" s="18" t="str">
        <f>"2022015113"</f>
        <v>2022015113</v>
      </c>
      <c r="F69" s="25">
        <v>75</v>
      </c>
      <c r="G69" s="24">
        <v>2</v>
      </c>
      <c r="H69" s="26"/>
      <c r="I69" s="28" t="s">
        <v>11</v>
      </c>
    </row>
    <row r="70" s="1" customFormat="1" customHeight="1" spans="1:9">
      <c r="A70" s="18" t="str">
        <f t="shared" si="11"/>
        <v>A11F</v>
      </c>
      <c r="B70" s="19" t="s">
        <v>15</v>
      </c>
      <c r="C70" s="18" t="str">
        <f>"罗连红"</f>
        <v>罗连红</v>
      </c>
      <c r="D70" s="18" t="str">
        <f>"女"</f>
        <v>女</v>
      </c>
      <c r="E70" s="18" t="str">
        <f>"2022015128"</f>
        <v>2022015128</v>
      </c>
      <c r="F70" s="18">
        <v>73</v>
      </c>
      <c r="G70" s="24">
        <v>4</v>
      </c>
      <c r="H70" s="18"/>
      <c r="I70" s="18" t="s">
        <v>12</v>
      </c>
    </row>
    <row r="71" s="1" customFormat="1" customHeight="1" spans="1:9">
      <c r="A71" s="18" t="str">
        <f t="shared" si="11"/>
        <v>A11F</v>
      </c>
      <c r="B71" s="19" t="s">
        <v>15</v>
      </c>
      <c r="C71" s="18" t="str">
        <f>"马舰云"</f>
        <v>马舰云</v>
      </c>
      <c r="D71" s="18" t="str">
        <f t="shared" ref="D71:D73" si="12">"男"</f>
        <v>男</v>
      </c>
      <c r="E71" s="18" t="str">
        <f>"2022015121"</f>
        <v>2022015121</v>
      </c>
      <c r="F71" s="22">
        <v>72.5</v>
      </c>
      <c r="G71" s="24">
        <v>5</v>
      </c>
      <c r="H71" s="23"/>
      <c r="I71" s="18" t="s">
        <v>12</v>
      </c>
    </row>
    <row r="72" s="1" customFormat="1" customHeight="1" spans="1:9">
      <c r="A72" s="18" t="str">
        <f t="shared" si="11"/>
        <v>A11F</v>
      </c>
      <c r="B72" s="19" t="s">
        <v>15</v>
      </c>
      <c r="C72" s="18" t="str">
        <f>"姚仕权"</f>
        <v>姚仕权</v>
      </c>
      <c r="D72" s="18" t="str">
        <f t="shared" si="12"/>
        <v>男</v>
      </c>
      <c r="E72" s="18" t="str">
        <f>"2022015115"</f>
        <v>2022015115</v>
      </c>
      <c r="F72" s="25">
        <v>69.5</v>
      </c>
      <c r="G72" s="24">
        <v>6</v>
      </c>
      <c r="H72" s="26"/>
      <c r="I72" s="18" t="s">
        <v>12</v>
      </c>
    </row>
    <row r="73" s="1" customFormat="1" customHeight="1" spans="1:9">
      <c r="A73" s="18" t="str">
        <f t="shared" si="11"/>
        <v>A11F</v>
      </c>
      <c r="B73" s="19" t="s">
        <v>15</v>
      </c>
      <c r="C73" s="18" t="str">
        <f>"杨玺"</f>
        <v>杨玺</v>
      </c>
      <c r="D73" s="18" t="str">
        <f t="shared" si="12"/>
        <v>男</v>
      </c>
      <c r="E73" s="18" t="str">
        <f>"2022015119"</f>
        <v>2022015119</v>
      </c>
      <c r="F73" s="18">
        <v>68</v>
      </c>
      <c r="G73" s="24">
        <v>7</v>
      </c>
      <c r="H73" s="18"/>
      <c r="I73" s="18" t="s">
        <v>12</v>
      </c>
    </row>
    <row r="74" s="1" customFormat="1" customHeight="1" spans="1:9">
      <c r="A74" s="18" t="str">
        <f t="shared" si="11"/>
        <v>A11F</v>
      </c>
      <c r="B74" s="19" t="s">
        <v>15</v>
      </c>
      <c r="C74" s="18" t="str">
        <f>"杨张阳"</f>
        <v>杨张阳</v>
      </c>
      <c r="D74" s="18" t="str">
        <f t="shared" ref="D74:D79" si="13">"女"</f>
        <v>女</v>
      </c>
      <c r="E74" s="18" t="str">
        <f>"2022015122"</f>
        <v>2022015122</v>
      </c>
      <c r="F74" s="20">
        <v>68</v>
      </c>
      <c r="G74" s="24">
        <v>7</v>
      </c>
      <c r="H74" s="21"/>
      <c r="I74" s="18" t="s">
        <v>12</v>
      </c>
    </row>
    <row r="75" s="1" customFormat="1" customHeight="1" spans="1:9">
      <c r="A75" s="18" t="str">
        <f t="shared" si="11"/>
        <v>A11F</v>
      </c>
      <c r="B75" s="19" t="s">
        <v>15</v>
      </c>
      <c r="C75" s="18" t="str">
        <f>"刘东成"</f>
        <v>刘东成</v>
      </c>
      <c r="D75" s="18" t="str">
        <f>"男"</f>
        <v>男</v>
      </c>
      <c r="E75" s="18" t="str">
        <f>"2022015127"</f>
        <v>2022015127</v>
      </c>
      <c r="F75" s="18">
        <v>68</v>
      </c>
      <c r="G75" s="24">
        <v>7</v>
      </c>
      <c r="H75" s="18"/>
      <c r="I75" s="18" t="s">
        <v>12</v>
      </c>
    </row>
    <row r="76" s="1" customFormat="1" customHeight="1" spans="1:9">
      <c r="A76" s="18" t="str">
        <f t="shared" si="11"/>
        <v>A11F</v>
      </c>
      <c r="B76" s="19" t="s">
        <v>15</v>
      </c>
      <c r="C76" s="18" t="str">
        <f>"朱慧婷"</f>
        <v>朱慧婷</v>
      </c>
      <c r="D76" s="18" t="str">
        <f t="shared" si="13"/>
        <v>女</v>
      </c>
      <c r="E76" s="18" t="str">
        <f>"2022015112"</f>
        <v>2022015112</v>
      </c>
      <c r="F76" s="22">
        <v>67.5</v>
      </c>
      <c r="G76" s="24">
        <v>10</v>
      </c>
      <c r="H76" s="23"/>
      <c r="I76" s="18" t="s">
        <v>12</v>
      </c>
    </row>
    <row r="77" s="1" customFormat="1" customHeight="1" spans="1:9">
      <c r="A77" s="18" t="str">
        <f t="shared" si="11"/>
        <v>A11F</v>
      </c>
      <c r="B77" s="19" t="s">
        <v>15</v>
      </c>
      <c r="C77" s="18" t="str">
        <f>"杨莎"</f>
        <v>杨莎</v>
      </c>
      <c r="D77" s="18" t="str">
        <f t="shared" si="13"/>
        <v>女</v>
      </c>
      <c r="E77" s="18" t="str">
        <f>"2022015108"</f>
        <v>2022015108</v>
      </c>
      <c r="F77" s="24">
        <v>67</v>
      </c>
      <c r="G77" s="24">
        <v>11</v>
      </c>
      <c r="H77" s="18"/>
      <c r="I77" s="18" t="s">
        <v>12</v>
      </c>
    </row>
    <row r="78" s="1" customFormat="1" customHeight="1" spans="1:9">
      <c r="A78" s="18" t="str">
        <f t="shared" si="11"/>
        <v>A11F</v>
      </c>
      <c r="B78" s="19" t="s">
        <v>15</v>
      </c>
      <c r="C78" s="18" t="str">
        <f>"刘丽"</f>
        <v>刘丽</v>
      </c>
      <c r="D78" s="18" t="str">
        <f t="shared" si="13"/>
        <v>女</v>
      </c>
      <c r="E78" s="18" t="str">
        <f>"2022015117"</f>
        <v>2022015117</v>
      </c>
      <c r="F78" s="24">
        <v>67</v>
      </c>
      <c r="G78" s="24">
        <v>11</v>
      </c>
      <c r="H78" s="18"/>
      <c r="I78" s="18" t="s">
        <v>12</v>
      </c>
    </row>
    <row r="79" s="1" customFormat="1" customHeight="1" spans="1:9">
      <c r="A79" s="18" t="str">
        <f t="shared" si="11"/>
        <v>A11F</v>
      </c>
      <c r="B79" s="19" t="s">
        <v>15</v>
      </c>
      <c r="C79" s="18" t="str">
        <f>"段荣华"</f>
        <v>段荣华</v>
      </c>
      <c r="D79" s="18" t="str">
        <f t="shared" si="13"/>
        <v>女</v>
      </c>
      <c r="E79" s="18" t="str">
        <f>"2022015125"</f>
        <v>2022015125</v>
      </c>
      <c r="F79" s="24">
        <v>65.5</v>
      </c>
      <c r="G79" s="24">
        <v>13</v>
      </c>
      <c r="H79" s="18"/>
      <c r="I79" s="18" t="s">
        <v>12</v>
      </c>
    </row>
    <row r="80" s="1" customFormat="1" customHeight="1" spans="1:9">
      <c r="A80" s="18" t="str">
        <f t="shared" si="11"/>
        <v>A11F</v>
      </c>
      <c r="B80" s="19" t="s">
        <v>15</v>
      </c>
      <c r="C80" s="18" t="str">
        <f>"肖海塘"</f>
        <v>肖海塘</v>
      </c>
      <c r="D80" s="18" t="str">
        <f t="shared" ref="D80:D84" si="14">"男"</f>
        <v>男</v>
      </c>
      <c r="E80" s="18" t="str">
        <f>"2022015109"</f>
        <v>2022015109</v>
      </c>
      <c r="F80" s="24">
        <v>64.5</v>
      </c>
      <c r="G80" s="24">
        <v>14</v>
      </c>
      <c r="H80" s="18"/>
      <c r="I80" s="18" t="s">
        <v>12</v>
      </c>
    </row>
    <row r="81" s="1" customFormat="1" customHeight="1" spans="1:9">
      <c r="A81" s="18" t="str">
        <f t="shared" si="11"/>
        <v>A11F</v>
      </c>
      <c r="B81" s="19" t="s">
        <v>15</v>
      </c>
      <c r="C81" s="18" t="str">
        <f>"肖迪"</f>
        <v>肖迪</v>
      </c>
      <c r="D81" s="18" t="str">
        <f t="shared" si="14"/>
        <v>男</v>
      </c>
      <c r="E81" s="18" t="str">
        <f>"2022015131"</f>
        <v>2022015131</v>
      </c>
      <c r="F81" s="25">
        <v>62.5</v>
      </c>
      <c r="G81" s="24">
        <v>15</v>
      </c>
      <c r="H81" s="26"/>
      <c r="I81" s="18" t="s">
        <v>12</v>
      </c>
    </row>
    <row r="82" s="1" customFormat="1" customHeight="1" spans="1:9">
      <c r="A82" s="18" t="str">
        <f t="shared" si="11"/>
        <v>A11F</v>
      </c>
      <c r="B82" s="19" t="s">
        <v>15</v>
      </c>
      <c r="C82" s="18" t="str">
        <f>"肖菲叶"</f>
        <v>肖菲叶</v>
      </c>
      <c r="D82" s="18" t="str">
        <f t="shared" ref="D82:D85" si="15">"女"</f>
        <v>女</v>
      </c>
      <c r="E82" s="18" t="str">
        <f>"2022015126"</f>
        <v>2022015126</v>
      </c>
      <c r="F82" s="18">
        <v>62</v>
      </c>
      <c r="G82" s="24">
        <v>16</v>
      </c>
      <c r="H82" s="18"/>
      <c r="I82" s="18" t="s">
        <v>12</v>
      </c>
    </row>
    <row r="83" s="1" customFormat="1" customHeight="1" spans="1:9">
      <c r="A83" s="18" t="str">
        <f t="shared" si="11"/>
        <v>A11F</v>
      </c>
      <c r="B83" s="19" t="s">
        <v>15</v>
      </c>
      <c r="C83" s="18" t="str">
        <f>"周华"</f>
        <v>周华</v>
      </c>
      <c r="D83" s="18" t="str">
        <f t="shared" si="15"/>
        <v>女</v>
      </c>
      <c r="E83" s="18" t="str">
        <f>"2022015120"</f>
        <v>2022015120</v>
      </c>
      <c r="F83" s="18">
        <v>44.5</v>
      </c>
      <c r="G83" s="24">
        <v>17</v>
      </c>
      <c r="H83" s="18"/>
      <c r="I83" s="18" t="s">
        <v>12</v>
      </c>
    </row>
    <row r="84" s="1" customFormat="1" customHeight="1" spans="1:9">
      <c r="A84" s="18" t="str">
        <f t="shared" si="11"/>
        <v>A11F</v>
      </c>
      <c r="B84" s="19" t="s">
        <v>15</v>
      </c>
      <c r="C84" s="18" t="str">
        <f>"冯亮"</f>
        <v>冯亮</v>
      </c>
      <c r="D84" s="18" t="str">
        <f t="shared" si="14"/>
        <v>男</v>
      </c>
      <c r="E84" s="18" t="str">
        <f>"2022015118"</f>
        <v>2022015118</v>
      </c>
      <c r="F84" s="22">
        <v>43</v>
      </c>
      <c r="G84" s="24">
        <v>18</v>
      </c>
      <c r="H84" s="23"/>
      <c r="I84" s="18" t="s">
        <v>12</v>
      </c>
    </row>
    <row r="85" s="1" customFormat="1" customHeight="1" spans="1:9">
      <c r="A85" s="18" t="str">
        <f t="shared" si="11"/>
        <v>A11F</v>
      </c>
      <c r="B85" s="19" t="s">
        <v>15</v>
      </c>
      <c r="C85" s="18" t="str">
        <f>"张欢"</f>
        <v>张欢</v>
      </c>
      <c r="D85" s="18" t="str">
        <f t="shared" si="15"/>
        <v>女</v>
      </c>
      <c r="E85" s="18" t="str">
        <f>"2022015111"</f>
        <v>2022015111</v>
      </c>
      <c r="F85" s="24">
        <v>0</v>
      </c>
      <c r="G85" s="24">
        <v>19</v>
      </c>
      <c r="H85" s="18" t="s">
        <v>13</v>
      </c>
      <c r="I85" s="18" t="s">
        <v>12</v>
      </c>
    </row>
    <row r="86" s="1" customFormat="1" customHeight="1" spans="1:9">
      <c r="A86" s="18" t="str">
        <f t="shared" si="11"/>
        <v>A11F</v>
      </c>
      <c r="B86" s="19" t="s">
        <v>15</v>
      </c>
      <c r="C86" s="18" t="str">
        <f>"刘荣"</f>
        <v>刘荣</v>
      </c>
      <c r="D86" s="18" t="str">
        <f t="shared" ref="D86:D91" si="16">"男"</f>
        <v>男</v>
      </c>
      <c r="E86" s="18" t="str">
        <f>"2022015114"</f>
        <v>2022015114</v>
      </c>
      <c r="F86" s="24">
        <v>0</v>
      </c>
      <c r="G86" s="24">
        <v>19</v>
      </c>
      <c r="H86" s="18" t="s">
        <v>13</v>
      </c>
      <c r="I86" s="18" t="s">
        <v>12</v>
      </c>
    </row>
    <row r="87" s="1" customFormat="1" customHeight="1" spans="1:9">
      <c r="A87" s="18" t="str">
        <f t="shared" si="11"/>
        <v>A11F</v>
      </c>
      <c r="B87" s="19" t="s">
        <v>15</v>
      </c>
      <c r="C87" s="18" t="str">
        <f>"黎林鑫"</f>
        <v>黎林鑫</v>
      </c>
      <c r="D87" s="18" t="str">
        <f t="shared" ref="D87:D90" si="17">"女"</f>
        <v>女</v>
      </c>
      <c r="E87" s="18" t="str">
        <f>"2022015116"</f>
        <v>2022015116</v>
      </c>
      <c r="F87" s="25">
        <v>0</v>
      </c>
      <c r="G87" s="24">
        <v>19</v>
      </c>
      <c r="H87" s="26" t="s">
        <v>13</v>
      </c>
      <c r="I87" s="18" t="s">
        <v>12</v>
      </c>
    </row>
    <row r="88" s="1" customFormat="1" customHeight="1" spans="1:9">
      <c r="A88" s="18" t="str">
        <f t="shared" si="11"/>
        <v>A11F</v>
      </c>
      <c r="B88" s="19" t="s">
        <v>15</v>
      </c>
      <c r="C88" s="18" t="str">
        <f>"张苗"</f>
        <v>张苗</v>
      </c>
      <c r="D88" s="18" t="str">
        <f t="shared" si="17"/>
        <v>女</v>
      </c>
      <c r="E88" s="18" t="str">
        <f>"2022015123"</f>
        <v>2022015123</v>
      </c>
      <c r="F88" s="18">
        <v>0</v>
      </c>
      <c r="G88" s="24">
        <v>19</v>
      </c>
      <c r="H88" s="18" t="s">
        <v>13</v>
      </c>
      <c r="I88" s="18" t="s">
        <v>12</v>
      </c>
    </row>
    <row r="89" s="1" customFormat="1" customHeight="1" spans="1:9">
      <c r="A89" s="18" t="str">
        <f t="shared" si="11"/>
        <v>A11F</v>
      </c>
      <c r="B89" s="19" t="s">
        <v>15</v>
      </c>
      <c r="C89" s="18" t="str">
        <f>"段世龙"</f>
        <v>段世龙</v>
      </c>
      <c r="D89" s="18" t="str">
        <f t="shared" si="16"/>
        <v>男</v>
      </c>
      <c r="E89" s="18" t="str">
        <f>"2022015124"</f>
        <v>2022015124</v>
      </c>
      <c r="F89" s="22">
        <v>0</v>
      </c>
      <c r="G89" s="24">
        <v>19</v>
      </c>
      <c r="H89" s="23" t="s">
        <v>13</v>
      </c>
      <c r="I89" s="18" t="s">
        <v>12</v>
      </c>
    </row>
    <row r="90" s="1" customFormat="1" customHeight="1" spans="1:9">
      <c r="A90" s="18" t="str">
        <f t="shared" si="11"/>
        <v>A11F</v>
      </c>
      <c r="B90" s="19" t="s">
        <v>15</v>
      </c>
      <c r="C90" s="18" t="str">
        <f>"何蓉"</f>
        <v>何蓉</v>
      </c>
      <c r="D90" s="18" t="str">
        <f t="shared" si="17"/>
        <v>女</v>
      </c>
      <c r="E90" s="18" t="str">
        <f>"2022015129"</f>
        <v>2022015129</v>
      </c>
      <c r="F90" s="24">
        <v>0</v>
      </c>
      <c r="G90" s="24">
        <v>19</v>
      </c>
      <c r="H90" s="18" t="s">
        <v>13</v>
      </c>
      <c r="I90" s="18" t="s">
        <v>12</v>
      </c>
    </row>
    <row r="91" s="1" customFormat="1" customHeight="1" spans="1:9">
      <c r="A91" s="18" t="str">
        <f t="shared" ref="A91:A116" si="18">"A11G"</f>
        <v>A11G</v>
      </c>
      <c r="B91" s="19" t="s">
        <v>16</v>
      </c>
      <c r="C91" s="18" t="str">
        <f>"严荦泰"</f>
        <v>严荦泰</v>
      </c>
      <c r="D91" s="18" t="str">
        <f t="shared" si="16"/>
        <v>男</v>
      </c>
      <c r="E91" s="18" t="str">
        <f>"2022015208"</f>
        <v>2022015208</v>
      </c>
      <c r="F91" s="24">
        <v>75</v>
      </c>
      <c r="G91" s="24">
        <v>1</v>
      </c>
      <c r="H91" s="18"/>
      <c r="I91" s="28" t="s">
        <v>11</v>
      </c>
    </row>
    <row r="92" s="1" customFormat="1" customHeight="1" spans="1:9">
      <c r="A92" s="18" t="str">
        <f t="shared" si="18"/>
        <v>A11G</v>
      </c>
      <c r="B92" s="19" t="s">
        <v>16</v>
      </c>
      <c r="C92" s="18" t="str">
        <f>"何希"</f>
        <v>何希</v>
      </c>
      <c r="D92" s="18" t="str">
        <f t="shared" ref="D92:D100" si="19">"女"</f>
        <v>女</v>
      </c>
      <c r="E92" s="18" t="str">
        <f>"2022015223"</f>
        <v>2022015223</v>
      </c>
      <c r="F92" s="24">
        <v>68</v>
      </c>
      <c r="G92" s="24">
        <v>2</v>
      </c>
      <c r="H92" s="18"/>
      <c r="I92" s="28" t="s">
        <v>11</v>
      </c>
    </row>
    <row r="93" s="1" customFormat="1" customHeight="1" spans="1:9">
      <c r="A93" s="18" t="str">
        <f t="shared" si="18"/>
        <v>A11G</v>
      </c>
      <c r="B93" s="19" t="s">
        <v>16</v>
      </c>
      <c r="C93" s="18" t="str">
        <f>"周晓欣"</f>
        <v>周晓欣</v>
      </c>
      <c r="D93" s="18" t="str">
        <f t="shared" si="19"/>
        <v>女</v>
      </c>
      <c r="E93" s="18" t="str">
        <f>"2022015202"</f>
        <v>2022015202</v>
      </c>
      <c r="F93" s="24">
        <v>67.5</v>
      </c>
      <c r="G93" s="24">
        <v>3</v>
      </c>
      <c r="H93" s="18"/>
      <c r="I93" s="18" t="s">
        <v>12</v>
      </c>
    </row>
    <row r="94" s="1" customFormat="1" customHeight="1" spans="1:9">
      <c r="A94" s="18" t="str">
        <f t="shared" si="18"/>
        <v>A11G</v>
      </c>
      <c r="B94" s="19" t="s">
        <v>16</v>
      </c>
      <c r="C94" s="18" t="str">
        <f>"葛雅珺"</f>
        <v>葛雅珺</v>
      </c>
      <c r="D94" s="18" t="str">
        <f t="shared" si="19"/>
        <v>女</v>
      </c>
      <c r="E94" s="18" t="str">
        <f>"2022015203"</f>
        <v>2022015203</v>
      </c>
      <c r="F94" s="24">
        <v>67</v>
      </c>
      <c r="G94" s="24">
        <v>4</v>
      </c>
      <c r="H94" s="18"/>
      <c r="I94" s="18" t="s">
        <v>12</v>
      </c>
    </row>
    <row r="95" s="1" customFormat="1" customHeight="1" spans="1:9">
      <c r="A95" s="18" t="str">
        <f t="shared" si="18"/>
        <v>A11G</v>
      </c>
      <c r="B95" s="19" t="s">
        <v>16</v>
      </c>
      <c r="C95" s="18" t="str">
        <f>"马霈霖"</f>
        <v>马霈霖</v>
      </c>
      <c r="D95" s="18" t="str">
        <f t="shared" si="19"/>
        <v>女</v>
      </c>
      <c r="E95" s="18" t="str">
        <f>"2022015215"</f>
        <v>2022015215</v>
      </c>
      <c r="F95" s="25">
        <v>66.5</v>
      </c>
      <c r="G95" s="24">
        <v>5</v>
      </c>
      <c r="H95" s="26"/>
      <c r="I95" s="18" t="s">
        <v>12</v>
      </c>
    </row>
    <row r="96" s="1" customFormat="1" customHeight="1" spans="1:9">
      <c r="A96" s="18" t="str">
        <f t="shared" si="18"/>
        <v>A11G</v>
      </c>
      <c r="B96" s="19" t="s">
        <v>16</v>
      </c>
      <c r="C96" s="18" t="str">
        <f>"刘敏"</f>
        <v>刘敏</v>
      </c>
      <c r="D96" s="18" t="str">
        <f t="shared" si="19"/>
        <v>女</v>
      </c>
      <c r="E96" s="18" t="str">
        <f>"2022015224"</f>
        <v>2022015224</v>
      </c>
      <c r="F96" s="18">
        <v>66</v>
      </c>
      <c r="G96" s="24">
        <v>6</v>
      </c>
      <c r="H96" s="18"/>
      <c r="I96" s="18" t="s">
        <v>12</v>
      </c>
    </row>
    <row r="97" s="1" customFormat="1" customHeight="1" spans="1:9">
      <c r="A97" s="18" t="str">
        <f t="shared" si="18"/>
        <v>A11G</v>
      </c>
      <c r="B97" s="19" t="s">
        <v>16</v>
      </c>
      <c r="C97" s="18" t="str">
        <f>"赵丽萍"</f>
        <v>赵丽萍</v>
      </c>
      <c r="D97" s="18" t="str">
        <f t="shared" si="19"/>
        <v>女</v>
      </c>
      <c r="E97" s="18" t="str">
        <f>"2022015212"</f>
        <v>2022015212</v>
      </c>
      <c r="F97" s="18">
        <v>63.5</v>
      </c>
      <c r="G97" s="24">
        <v>7</v>
      </c>
      <c r="H97" s="18"/>
      <c r="I97" s="18" t="s">
        <v>12</v>
      </c>
    </row>
    <row r="98" s="1" customFormat="1" customHeight="1" spans="1:9">
      <c r="A98" s="18" t="str">
        <f t="shared" si="18"/>
        <v>A11G</v>
      </c>
      <c r="B98" s="19" t="s">
        <v>16</v>
      </c>
      <c r="C98" s="18" t="str">
        <f>"吴虹芝"</f>
        <v>吴虹芝</v>
      </c>
      <c r="D98" s="18" t="str">
        <f t="shared" si="19"/>
        <v>女</v>
      </c>
      <c r="E98" s="18" t="str">
        <f>"2022015216"</f>
        <v>2022015216</v>
      </c>
      <c r="F98" s="20">
        <v>63</v>
      </c>
      <c r="G98" s="24">
        <v>8</v>
      </c>
      <c r="H98" s="21"/>
      <c r="I98" s="18" t="s">
        <v>12</v>
      </c>
    </row>
    <row r="99" s="1" customFormat="1" customHeight="1" spans="1:9">
      <c r="A99" s="18" t="str">
        <f t="shared" si="18"/>
        <v>A11G</v>
      </c>
      <c r="B99" s="19" t="s">
        <v>16</v>
      </c>
      <c r="C99" s="18" t="str">
        <f>"金芳蓉"</f>
        <v>金芳蓉</v>
      </c>
      <c r="D99" s="18" t="str">
        <f t="shared" si="19"/>
        <v>女</v>
      </c>
      <c r="E99" s="18" t="str">
        <f>"2022015205"</f>
        <v>2022015205</v>
      </c>
      <c r="F99" s="18">
        <v>62.5</v>
      </c>
      <c r="G99" s="24">
        <v>9</v>
      </c>
      <c r="H99" s="18"/>
      <c r="I99" s="18" t="s">
        <v>12</v>
      </c>
    </row>
    <row r="100" s="1" customFormat="1" customHeight="1" spans="1:9">
      <c r="A100" s="18" t="str">
        <f t="shared" si="18"/>
        <v>A11G</v>
      </c>
      <c r="B100" s="19" t="s">
        <v>16</v>
      </c>
      <c r="C100" s="18" t="str">
        <f>"陈嘉璇"</f>
        <v>陈嘉璇</v>
      </c>
      <c r="D100" s="18" t="str">
        <f t="shared" si="19"/>
        <v>女</v>
      </c>
      <c r="E100" s="18" t="str">
        <f>"2022015204"</f>
        <v>2022015204</v>
      </c>
      <c r="F100" s="18">
        <v>60</v>
      </c>
      <c r="G100" s="24">
        <v>10</v>
      </c>
      <c r="H100" s="18"/>
      <c r="I100" s="18" t="s">
        <v>12</v>
      </c>
    </row>
    <row r="101" s="1" customFormat="1" customHeight="1" spans="1:9">
      <c r="A101" s="18" t="str">
        <f t="shared" si="18"/>
        <v>A11G</v>
      </c>
      <c r="B101" s="19" t="s">
        <v>16</v>
      </c>
      <c r="C101" s="18" t="str">
        <f>"朱颖豪"</f>
        <v>朱颖豪</v>
      </c>
      <c r="D101" s="18" t="str">
        <f>"男"</f>
        <v>男</v>
      </c>
      <c r="E101" s="18" t="str">
        <f>"2022015221"</f>
        <v>2022015221</v>
      </c>
      <c r="F101" s="22">
        <v>59.5</v>
      </c>
      <c r="G101" s="24">
        <v>11</v>
      </c>
      <c r="H101" s="23"/>
      <c r="I101" s="18" t="s">
        <v>12</v>
      </c>
    </row>
    <row r="102" s="1" customFormat="1" customHeight="1" spans="1:9">
      <c r="A102" s="18" t="str">
        <f t="shared" si="18"/>
        <v>A11G</v>
      </c>
      <c r="B102" s="19" t="s">
        <v>16</v>
      </c>
      <c r="C102" s="18" t="str">
        <f>"姚洇铟"</f>
        <v>姚洇铟</v>
      </c>
      <c r="D102" s="18" t="str">
        <f t="shared" ref="D102:D116" si="20">"女"</f>
        <v>女</v>
      </c>
      <c r="E102" s="18" t="str">
        <f>"2022015211"</f>
        <v>2022015211</v>
      </c>
      <c r="F102" s="24">
        <v>59</v>
      </c>
      <c r="G102" s="24">
        <v>12</v>
      </c>
      <c r="H102" s="18"/>
      <c r="I102" s="18" t="s">
        <v>12</v>
      </c>
    </row>
    <row r="103" s="1" customFormat="1" customHeight="1" spans="1:9">
      <c r="A103" s="18" t="str">
        <f t="shared" si="18"/>
        <v>A11G</v>
      </c>
      <c r="B103" s="19" t="s">
        <v>16</v>
      </c>
      <c r="C103" s="18" t="str">
        <f>"陈艺璇"</f>
        <v>陈艺璇</v>
      </c>
      <c r="D103" s="18" t="str">
        <f t="shared" si="20"/>
        <v>女</v>
      </c>
      <c r="E103" s="18" t="str">
        <f>"2022015220"</f>
        <v>2022015220</v>
      </c>
      <c r="F103" s="24">
        <v>55.5</v>
      </c>
      <c r="G103" s="24">
        <v>13</v>
      </c>
      <c r="H103" s="18"/>
      <c r="I103" s="18" t="s">
        <v>12</v>
      </c>
    </row>
    <row r="104" s="1" customFormat="1" customHeight="1" spans="1:9">
      <c r="A104" s="18" t="str">
        <f t="shared" si="18"/>
        <v>A11G</v>
      </c>
      <c r="B104" s="19" t="s">
        <v>16</v>
      </c>
      <c r="C104" s="18" t="str">
        <f>"唐琼"</f>
        <v>唐琼</v>
      </c>
      <c r="D104" s="18" t="str">
        <f t="shared" si="20"/>
        <v>女</v>
      </c>
      <c r="E104" s="18" t="str">
        <f>"2022015213"</f>
        <v>2022015213</v>
      </c>
      <c r="F104" s="24">
        <v>54</v>
      </c>
      <c r="G104" s="24">
        <v>14</v>
      </c>
      <c r="H104" s="18"/>
      <c r="I104" s="18" t="s">
        <v>12</v>
      </c>
    </row>
    <row r="105" s="1" customFormat="1" customHeight="1" spans="1:9">
      <c r="A105" s="18" t="str">
        <f t="shared" si="18"/>
        <v>A11G</v>
      </c>
      <c r="B105" s="19" t="s">
        <v>16</v>
      </c>
      <c r="C105" s="18" t="str">
        <f>"唐秋兰"</f>
        <v>唐秋兰</v>
      </c>
      <c r="D105" s="18" t="str">
        <f t="shared" si="20"/>
        <v>女</v>
      </c>
      <c r="E105" s="18" t="str">
        <f>"2022015214"</f>
        <v>2022015214</v>
      </c>
      <c r="F105" s="24">
        <v>51</v>
      </c>
      <c r="G105" s="24">
        <v>15</v>
      </c>
      <c r="H105" s="18"/>
      <c r="I105" s="18" t="s">
        <v>12</v>
      </c>
    </row>
    <row r="106" s="1" customFormat="1" customHeight="1" spans="1:9">
      <c r="A106" s="18" t="str">
        <f t="shared" si="18"/>
        <v>A11G</v>
      </c>
      <c r="B106" s="19" t="s">
        <v>16</v>
      </c>
      <c r="C106" s="18" t="str">
        <f>"王歆菲"</f>
        <v>王歆菲</v>
      </c>
      <c r="D106" s="18" t="str">
        <f t="shared" si="20"/>
        <v>女</v>
      </c>
      <c r="E106" s="18" t="str">
        <f>"2022015226"</f>
        <v>2022015226</v>
      </c>
      <c r="F106" s="25">
        <v>49.5</v>
      </c>
      <c r="G106" s="24">
        <v>16</v>
      </c>
      <c r="H106" s="26"/>
      <c r="I106" s="18" t="s">
        <v>12</v>
      </c>
    </row>
    <row r="107" s="1" customFormat="1" customHeight="1" spans="1:9">
      <c r="A107" s="18" t="str">
        <f t="shared" si="18"/>
        <v>A11G</v>
      </c>
      <c r="B107" s="19" t="s">
        <v>16</v>
      </c>
      <c r="C107" s="18" t="str">
        <f>"周影"</f>
        <v>周影</v>
      </c>
      <c r="D107" s="18" t="str">
        <f t="shared" si="20"/>
        <v>女</v>
      </c>
      <c r="E107" s="18" t="str">
        <f>"2022015219"</f>
        <v>2022015219</v>
      </c>
      <c r="F107" s="18">
        <v>46</v>
      </c>
      <c r="G107" s="24">
        <v>17</v>
      </c>
      <c r="H107" s="18"/>
      <c r="I107" s="18" t="s">
        <v>12</v>
      </c>
    </row>
    <row r="108" s="1" customFormat="1" customHeight="1" spans="1:9">
      <c r="A108" s="18" t="str">
        <f t="shared" si="18"/>
        <v>A11G</v>
      </c>
      <c r="B108" s="19" t="s">
        <v>16</v>
      </c>
      <c r="C108" s="18" t="str">
        <f>"郑凤君"</f>
        <v>郑凤君</v>
      </c>
      <c r="D108" s="18" t="str">
        <f t="shared" si="20"/>
        <v>女</v>
      </c>
      <c r="E108" s="18" t="str">
        <f>"2022015218"</f>
        <v>2022015218</v>
      </c>
      <c r="F108" s="22">
        <v>43.5</v>
      </c>
      <c r="G108" s="24">
        <v>18</v>
      </c>
      <c r="H108" s="23"/>
      <c r="I108" s="18" t="s">
        <v>12</v>
      </c>
    </row>
    <row r="109" s="1" customFormat="1" customHeight="1" spans="1:9">
      <c r="A109" s="18" t="str">
        <f t="shared" si="18"/>
        <v>A11G</v>
      </c>
      <c r="B109" s="19" t="s">
        <v>16</v>
      </c>
      <c r="C109" s="18" t="str">
        <f>"谢路瑶"</f>
        <v>谢路瑶</v>
      </c>
      <c r="D109" s="18" t="str">
        <f t="shared" si="20"/>
        <v>女</v>
      </c>
      <c r="E109" s="18" t="str">
        <f>"2022015201"</f>
        <v>2022015201</v>
      </c>
      <c r="F109" s="24">
        <v>43</v>
      </c>
      <c r="G109" s="24">
        <v>19</v>
      </c>
      <c r="H109" s="18"/>
      <c r="I109" s="18" t="s">
        <v>12</v>
      </c>
    </row>
    <row r="110" s="1" customFormat="1" customHeight="1" spans="1:9">
      <c r="A110" s="18" t="str">
        <f t="shared" si="18"/>
        <v>A11G</v>
      </c>
      <c r="B110" s="19" t="s">
        <v>16</v>
      </c>
      <c r="C110" s="18" t="str">
        <f>"胡莉梅"</f>
        <v>胡莉梅</v>
      </c>
      <c r="D110" s="18" t="str">
        <f t="shared" si="20"/>
        <v>女</v>
      </c>
      <c r="E110" s="18" t="str">
        <f>"2022015206"</f>
        <v>2022015206</v>
      </c>
      <c r="F110" s="24">
        <v>0</v>
      </c>
      <c r="G110" s="24">
        <v>20</v>
      </c>
      <c r="H110" s="18" t="s">
        <v>13</v>
      </c>
      <c r="I110" s="18" t="s">
        <v>12</v>
      </c>
    </row>
    <row r="111" s="1" customFormat="1" customHeight="1" spans="1:9">
      <c r="A111" s="18" t="str">
        <f t="shared" si="18"/>
        <v>A11G</v>
      </c>
      <c r="B111" s="19" t="s">
        <v>16</v>
      </c>
      <c r="C111" s="18" t="str">
        <f>"苏婧"</f>
        <v>苏婧</v>
      </c>
      <c r="D111" s="18" t="str">
        <f t="shared" si="20"/>
        <v>女</v>
      </c>
      <c r="E111" s="18" t="str">
        <f>"2022015207"</f>
        <v>2022015207</v>
      </c>
      <c r="F111" s="25">
        <v>0</v>
      </c>
      <c r="G111" s="24">
        <v>20</v>
      </c>
      <c r="H111" s="26" t="s">
        <v>13</v>
      </c>
      <c r="I111" s="18" t="s">
        <v>12</v>
      </c>
    </row>
    <row r="112" s="1" customFormat="1" customHeight="1" spans="1:9">
      <c r="A112" s="18" t="str">
        <f t="shared" si="18"/>
        <v>A11G</v>
      </c>
      <c r="B112" s="19" t="s">
        <v>16</v>
      </c>
      <c r="C112" s="18" t="str">
        <f>"李翌"</f>
        <v>李翌</v>
      </c>
      <c r="D112" s="18" t="str">
        <f t="shared" si="20"/>
        <v>女</v>
      </c>
      <c r="E112" s="18" t="str">
        <f>"2022015209"</f>
        <v>2022015209</v>
      </c>
      <c r="F112" s="18">
        <v>0</v>
      </c>
      <c r="G112" s="24">
        <v>20</v>
      </c>
      <c r="H112" s="18" t="s">
        <v>13</v>
      </c>
      <c r="I112" s="18" t="s">
        <v>12</v>
      </c>
    </row>
    <row r="113" s="1" customFormat="1" customHeight="1" spans="1:9">
      <c r="A113" s="18" t="str">
        <f t="shared" si="18"/>
        <v>A11G</v>
      </c>
      <c r="B113" s="19" t="s">
        <v>16</v>
      </c>
      <c r="C113" s="18" t="str">
        <f>"石燕"</f>
        <v>石燕</v>
      </c>
      <c r="D113" s="18" t="str">
        <f t="shared" si="20"/>
        <v>女</v>
      </c>
      <c r="E113" s="18" t="str">
        <f>"2022015210"</f>
        <v>2022015210</v>
      </c>
      <c r="F113" s="22">
        <v>0</v>
      </c>
      <c r="G113" s="24">
        <v>20</v>
      </c>
      <c r="H113" s="23" t="s">
        <v>13</v>
      </c>
      <c r="I113" s="18" t="s">
        <v>12</v>
      </c>
    </row>
    <row r="114" s="1" customFormat="1" customHeight="1" spans="1:9">
      <c r="A114" s="18" t="str">
        <f t="shared" si="18"/>
        <v>A11G</v>
      </c>
      <c r="B114" s="19" t="s">
        <v>16</v>
      </c>
      <c r="C114" s="18" t="str">
        <f>"周媛"</f>
        <v>周媛</v>
      </c>
      <c r="D114" s="18" t="str">
        <f t="shared" si="20"/>
        <v>女</v>
      </c>
      <c r="E114" s="18" t="str">
        <f>"2022015217"</f>
        <v>2022015217</v>
      </c>
      <c r="F114" s="25">
        <v>0</v>
      </c>
      <c r="G114" s="24">
        <v>20</v>
      </c>
      <c r="H114" s="26" t="s">
        <v>13</v>
      </c>
      <c r="I114" s="18" t="s">
        <v>12</v>
      </c>
    </row>
    <row r="115" s="1" customFormat="1" customHeight="1" spans="1:9">
      <c r="A115" s="18" t="str">
        <f t="shared" si="18"/>
        <v>A11G</v>
      </c>
      <c r="B115" s="19" t="s">
        <v>16</v>
      </c>
      <c r="C115" s="18" t="str">
        <f>"王津"</f>
        <v>王津</v>
      </c>
      <c r="D115" s="18" t="str">
        <f t="shared" si="20"/>
        <v>女</v>
      </c>
      <c r="E115" s="18" t="str">
        <f>"2022015222"</f>
        <v>2022015222</v>
      </c>
      <c r="F115" s="18">
        <v>0</v>
      </c>
      <c r="G115" s="24">
        <v>20</v>
      </c>
      <c r="H115" s="18" t="s">
        <v>13</v>
      </c>
      <c r="I115" s="18" t="s">
        <v>12</v>
      </c>
    </row>
    <row r="116" s="1" customFormat="1" customHeight="1" spans="1:9">
      <c r="A116" s="18" t="str">
        <f t="shared" si="18"/>
        <v>A11G</v>
      </c>
      <c r="B116" s="19" t="s">
        <v>16</v>
      </c>
      <c r="C116" s="18" t="str">
        <f>"吕姣艳"</f>
        <v>吕姣艳</v>
      </c>
      <c r="D116" s="18" t="str">
        <f t="shared" si="20"/>
        <v>女</v>
      </c>
      <c r="E116" s="18" t="str">
        <f>"2022015225"</f>
        <v>2022015225</v>
      </c>
      <c r="F116" s="20">
        <v>0</v>
      </c>
      <c r="G116" s="24">
        <v>20</v>
      </c>
      <c r="H116" s="21" t="s">
        <v>13</v>
      </c>
      <c r="I116" s="18" t="s">
        <v>12</v>
      </c>
    </row>
    <row r="117" s="1" customFormat="1" customHeight="1" spans="1:9">
      <c r="A117" s="18" t="str">
        <f t="shared" ref="A117:A121" si="21">"A12F"</f>
        <v>A12F</v>
      </c>
      <c r="B117" s="19" t="s">
        <v>17</v>
      </c>
      <c r="C117" s="18" t="str">
        <f>"邓宇杰"</f>
        <v>邓宇杰</v>
      </c>
      <c r="D117" s="18" t="str">
        <f t="shared" ref="D117:D121" si="22">"男"</f>
        <v>男</v>
      </c>
      <c r="E117" s="18" t="str">
        <f>"2022014911"</f>
        <v>2022014911</v>
      </c>
      <c r="F117" s="24">
        <v>83.2</v>
      </c>
      <c r="G117" s="24">
        <v>1</v>
      </c>
      <c r="H117" s="18"/>
      <c r="I117" s="28" t="s">
        <v>11</v>
      </c>
    </row>
    <row r="118" s="1" customFormat="1" customHeight="1" spans="1:9">
      <c r="A118" s="18" t="str">
        <f t="shared" si="21"/>
        <v>A12F</v>
      </c>
      <c r="B118" s="19" t="s">
        <v>17</v>
      </c>
      <c r="C118" s="18" t="str">
        <f>"冯瑶"</f>
        <v>冯瑶</v>
      </c>
      <c r="D118" s="18" t="str">
        <f t="shared" ref="D118:D155" si="23">"女"</f>
        <v>女</v>
      </c>
      <c r="E118" s="18" t="str">
        <f>"2022014912"</f>
        <v>2022014912</v>
      </c>
      <c r="F118" s="24">
        <v>71.3</v>
      </c>
      <c r="G118" s="24">
        <v>2</v>
      </c>
      <c r="H118" s="18"/>
      <c r="I118" s="28" t="s">
        <v>11</v>
      </c>
    </row>
    <row r="119" s="1" customFormat="1" customHeight="1" spans="1:9">
      <c r="A119" s="18" t="str">
        <f t="shared" si="21"/>
        <v>A12F</v>
      </c>
      <c r="B119" s="19" t="s">
        <v>17</v>
      </c>
      <c r="C119" s="18" t="str">
        <f>"潘娟"</f>
        <v>潘娟</v>
      </c>
      <c r="D119" s="18" t="str">
        <f t="shared" si="23"/>
        <v>女</v>
      </c>
      <c r="E119" s="18" t="str">
        <f>"2022014910"</f>
        <v>2022014910</v>
      </c>
      <c r="F119" s="25">
        <v>63.5</v>
      </c>
      <c r="G119" s="24">
        <v>3</v>
      </c>
      <c r="H119" s="26"/>
      <c r="I119" s="18" t="s">
        <v>12</v>
      </c>
    </row>
    <row r="120" s="1" customFormat="1" customHeight="1" spans="1:9">
      <c r="A120" s="18" t="str">
        <f t="shared" si="21"/>
        <v>A12F</v>
      </c>
      <c r="B120" s="19" t="s">
        <v>17</v>
      </c>
      <c r="C120" s="18" t="str">
        <f>"夏乐"</f>
        <v>夏乐</v>
      </c>
      <c r="D120" s="18" t="str">
        <f t="shared" si="22"/>
        <v>男</v>
      </c>
      <c r="E120" s="18" t="str">
        <f>"2022014913"</f>
        <v>2022014913</v>
      </c>
      <c r="F120" s="18">
        <v>0</v>
      </c>
      <c r="G120" s="24">
        <v>3</v>
      </c>
      <c r="H120" s="18" t="s">
        <v>13</v>
      </c>
      <c r="I120" s="18" t="s">
        <v>12</v>
      </c>
    </row>
    <row r="121" s="1" customFormat="1" customHeight="1" spans="1:9">
      <c r="A121" s="18" t="str">
        <f t="shared" si="21"/>
        <v>A12F</v>
      </c>
      <c r="B121" s="19" t="s">
        <v>17</v>
      </c>
      <c r="C121" s="18" t="str">
        <f>"刘琪"</f>
        <v>刘琪</v>
      </c>
      <c r="D121" s="18" t="str">
        <f t="shared" si="22"/>
        <v>男</v>
      </c>
      <c r="E121" s="18" t="str">
        <f>"2022014914"</f>
        <v>2022014914</v>
      </c>
      <c r="F121" s="18">
        <v>0</v>
      </c>
      <c r="G121" s="24">
        <v>3</v>
      </c>
      <c r="H121" s="18" t="s">
        <v>13</v>
      </c>
      <c r="I121" s="18" t="s">
        <v>12</v>
      </c>
    </row>
    <row r="122" s="1" customFormat="1" customHeight="1" spans="1:9">
      <c r="A122" s="18" t="str">
        <f t="shared" ref="A122:A126" si="24">"A12G"</f>
        <v>A12G</v>
      </c>
      <c r="B122" s="19" t="s">
        <v>18</v>
      </c>
      <c r="C122" s="18" t="str">
        <f>"郑洁"</f>
        <v>郑洁</v>
      </c>
      <c r="D122" s="18" t="str">
        <f t="shared" si="23"/>
        <v>女</v>
      </c>
      <c r="E122" s="18" t="str">
        <f>"2022014917"</f>
        <v>2022014917</v>
      </c>
      <c r="F122" s="18">
        <v>81</v>
      </c>
      <c r="G122" s="18">
        <v>1</v>
      </c>
      <c r="H122" s="18"/>
      <c r="I122" s="28" t="s">
        <v>11</v>
      </c>
    </row>
    <row r="123" s="1" customFormat="1" customHeight="1" spans="1:9">
      <c r="A123" s="18" t="str">
        <f t="shared" si="24"/>
        <v>A12G</v>
      </c>
      <c r="B123" s="19" t="s">
        <v>18</v>
      </c>
      <c r="C123" s="18" t="str">
        <f>"肖开洋"</f>
        <v>肖开洋</v>
      </c>
      <c r="D123" s="18" t="str">
        <f t="shared" si="23"/>
        <v>女</v>
      </c>
      <c r="E123" s="18" t="str">
        <f>"2022014916"</f>
        <v>2022014916</v>
      </c>
      <c r="F123" s="22">
        <v>77.4</v>
      </c>
      <c r="G123" s="22">
        <v>2</v>
      </c>
      <c r="H123" s="23"/>
      <c r="I123" s="28" t="s">
        <v>11</v>
      </c>
    </row>
    <row r="124" s="1" customFormat="1" customHeight="1" spans="1:9">
      <c r="A124" s="18" t="str">
        <f t="shared" si="24"/>
        <v>A12G</v>
      </c>
      <c r="B124" s="19" t="s">
        <v>18</v>
      </c>
      <c r="C124" s="18" t="str">
        <f>"欧阳蝶"</f>
        <v>欧阳蝶</v>
      </c>
      <c r="D124" s="18" t="str">
        <f t="shared" si="23"/>
        <v>女</v>
      </c>
      <c r="E124" s="18" t="str">
        <f>"2022014918"</f>
        <v>2022014918</v>
      </c>
      <c r="F124" s="24">
        <v>76.9</v>
      </c>
      <c r="G124" s="18">
        <v>3</v>
      </c>
      <c r="H124" s="18"/>
      <c r="I124" s="18" t="s">
        <v>12</v>
      </c>
    </row>
    <row r="125" s="1" customFormat="1" customHeight="1" spans="1:9">
      <c r="A125" s="18" t="str">
        <f t="shared" si="24"/>
        <v>A12G</v>
      </c>
      <c r="B125" s="19" t="s">
        <v>18</v>
      </c>
      <c r="C125" s="18" t="str">
        <f>"张璇"</f>
        <v>张璇</v>
      </c>
      <c r="D125" s="18" t="str">
        <f t="shared" si="23"/>
        <v>女</v>
      </c>
      <c r="E125" s="18" t="str">
        <f>"2022014915"</f>
        <v>2022014915</v>
      </c>
      <c r="F125" s="25">
        <v>0</v>
      </c>
      <c r="G125" s="22">
        <v>4</v>
      </c>
      <c r="H125" s="26" t="s">
        <v>13</v>
      </c>
      <c r="I125" s="18" t="s">
        <v>12</v>
      </c>
    </row>
    <row r="126" s="1" customFormat="1" customHeight="1" spans="1:9">
      <c r="A126" s="18" t="str">
        <f t="shared" si="24"/>
        <v>A12G</v>
      </c>
      <c r="B126" s="19" t="s">
        <v>18</v>
      </c>
      <c r="C126" s="18" t="str">
        <f>"赵微"</f>
        <v>赵微</v>
      </c>
      <c r="D126" s="18" t="str">
        <f t="shared" si="23"/>
        <v>女</v>
      </c>
      <c r="E126" s="18" t="str">
        <f>"2022014919"</f>
        <v>2022014919</v>
      </c>
      <c r="F126" s="18">
        <v>0</v>
      </c>
      <c r="G126" s="18">
        <v>4</v>
      </c>
      <c r="H126" s="18" t="s">
        <v>13</v>
      </c>
      <c r="I126" s="18" t="s">
        <v>12</v>
      </c>
    </row>
    <row r="127" s="1" customFormat="1" customHeight="1" spans="1:9">
      <c r="A127" s="18" t="str">
        <f t="shared" ref="A127:A168" si="25">"A1F"</f>
        <v>A1F</v>
      </c>
      <c r="B127" s="19" t="s">
        <v>19</v>
      </c>
      <c r="C127" s="18" t="str">
        <f>"杨芊芊"</f>
        <v>杨芊芊</v>
      </c>
      <c r="D127" s="18" t="str">
        <f t="shared" si="23"/>
        <v>女</v>
      </c>
      <c r="E127" s="18" t="str">
        <f>"2022010126"</f>
        <v>2022010126</v>
      </c>
      <c r="F127" s="18">
        <v>91.5</v>
      </c>
      <c r="G127" s="18">
        <v>1</v>
      </c>
      <c r="H127" s="18"/>
      <c r="I127" s="28" t="s">
        <v>11</v>
      </c>
    </row>
    <row r="128" s="1" customFormat="1" customHeight="1" spans="1:9">
      <c r="A128" s="18" t="str">
        <f t="shared" si="25"/>
        <v>A1F</v>
      </c>
      <c r="B128" s="19" t="s">
        <v>19</v>
      </c>
      <c r="C128" s="18" t="str">
        <f>"吴琦"</f>
        <v>吴琦</v>
      </c>
      <c r="D128" s="18" t="str">
        <f t="shared" si="23"/>
        <v>女</v>
      </c>
      <c r="E128" s="18" t="str">
        <f>"2022010115"</f>
        <v>2022010115</v>
      </c>
      <c r="F128" s="18">
        <v>90.4</v>
      </c>
      <c r="G128" s="18">
        <v>2</v>
      </c>
      <c r="H128" s="18"/>
      <c r="I128" s="28" t="s">
        <v>11</v>
      </c>
    </row>
    <row r="129" s="1" customFormat="1" customHeight="1" spans="1:9">
      <c r="A129" s="18" t="str">
        <f t="shared" si="25"/>
        <v>A1F</v>
      </c>
      <c r="B129" s="19" t="s">
        <v>19</v>
      </c>
      <c r="C129" s="18" t="str">
        <f>"陈和芬"</f>
        <v>陈和芬</v>
      </c>
      <c r="D129" s="18" t="str">
        <f t="shared" si="23"/>
        <v>女</v>
      </c>
      <c r="E129" s="18" t="str">
        <f>"2022010210"</f>
        <v>2022010210</v>
      </c>
      <c r="F129" s="18">
        <v>89</v>
      </c>
      <c r="G129" s="18">
        <v>3</v>
      </c>
      <c r="H129" s="18"/>
      <c r="I129" s="18" t="s">
        <v>12</v>
      </c>
    </row>
    <row r="130" s="1" customFormat="1" customHeight="1" spans="1:9">
      <c r="A130" s="18" t="str">
        <f t="shared" si="25"/>
        <v>A1F</v>
      </c>
      <c r="B130" s="19" t="s">
        <v>19</v>
      </c>
      <c r="C130" s="18" t="str">
        <f>"肖化兰"</f>
        <v>肖化兰</v>
      </c>
      <c r="D130" s="18" t="str">
        <f t="shared" si="23"/>
        <v>女</v>
      </c>
      <c r="E130" s="18" t="str">
        <f>"2022010202"</f>
        <v>2022010202</v>
      </c>
      <c r="F130" s="18">
        <v>87.4</v>
      </c>
      <c r="G130" s="18">
        <v>4</v>
      </c>
      <c r="H130" s="18"/>
      <c r="I130" s="18" t="s">
        <v>12</v>
      </c>
    </row>
    <row r="131" s="1" customFormat="1" customHeight="1" spans="1:9">
      <c r="A131" s="18" t="str">
        <f t="shared" si="25"/>
        <v>A1F</v>
      </c>
      <c r="B131" s="19" t="s">
        <v>19</v>
      </c>
      <c r="C131" s="18" t="str">
        <f>"夏洁"</f>
        <v>夏洁</v>
      </c>
      <c r="D131" s="18" t="str">
        <f t="shared" si="23"/>
        <v>女</v>
      </c>
      <c r="E131" s="18" t="str">
        <f>"2022010208"</f>
        <v>2022010208</v>
      </c>
      <c r="F131" s="18">
        <v>87.2</v>
      </c>
      <c r="G131" s="18">
        <v>5</v>
      </c>
      <c r="H131" s="18"/>
      <c r="I131" s="18" t="s">
        <v>12</v>
      </c>
    </row>
    <row r="132" s="1" customFormat="1" customHeight="1" spans="1:9">
      <c r="A132" s="18" t="str">
        <f t="shared" si="25"/>
        <v>A1F</v>
      </c>
      <c r="B132" s="19" t="s">
        <v>19</v>
      </c>
      <c r="C132" s="18" t="str">
        <f>"杨雨"</f>
        <v>杨雨</v>
      </c>
      <c r="D132" s="18" t="str">
        <f t="shared" si="23"/>
        <v>女</v>
      </c>
      <c r="E132" s="18" t="str">
        <f>"2022010201"</f>
        <v>2022010201</v>
      </c>
      <c r="F132" s="18">
        <v>86.7</v>
      </c>
      <c r="G132" s="18">
        <v>6</v>
      </c>
      <c r="H132" s="18"/>
      <c r="I132" s="18" t="s">
        <v>12</v>
      </c>
    </row>
    <row r="133" s="1" customFormat="1" customHeight="1" spans="1:9">
      <c r="A133" s="18" t="str">
        <f t="shared" si="25"/>
        <v>A1F</v>
      </c>
      <c r="B133" s="19" t="s">
        <v>19</v>
      </c>
      <c r="C133" s="18" t="str">
        <f>"梁佳"</f>
        <v>梁佳</v>
      </c>
      <c r="D133" s="18" t="str">
        <f t="shared" si="23"/>
        <v>女</v>
      </c>
      <c r="E133" s="18" t="str">
        <f>"2022010103"</f>
        <v>2022010103</v>
      </c>
      <c r="F133" s="18">
        <v>86.4</v>
      </c>
      <c r="G133" s="18">
        <v>7</v>
      </c>
      <c r="H133" s="18"/>
      <c r="I133" s="18" t="s">
        <v>12</v>
      </c>
    </row>
    <row r="134" s="1" customFormat="1" customHeight="1" spans="1:9">
      <c r="A134" s="18" t="str">
        <f t="shared" si="25"/>
        <v>A1F</v>
      </c>
      <c r="B134" s="19" t="s">
        <v>19</v>
      </c>
      <c r="C134" s="18" t="str">
        <f>"尹芳"</f>
        <v>尹芳</v>
      </c>
      <c r="D134" s="18" t="str">
        <f t="shared" si="23"/>
        <v>女</v>
      </c>
      <c r="E134" s="18" t="str">
        <f>"2022010203"</f>
        <v>2022010203</v>
      </c>
      <c r="F134" s="18">
        <v>86.4</v>
      </c>
      <c r="G134" s="18">
        <v>7</v>
      </c>
      <c r="H134" s="18"/>
      <c r="I134" s="18" t="s">
        <v>12</v>
      </c>
    </row>
    <row r="135" s="1" customFormat="1" customHeight="1" spans="1:9">
      <c r="A135" s="18" t="str">
        <f t="shared" si="25"/>
        <v>A1F</v>
      </c>
      <c r="B135" s="19" t="s">
        <v>19</v>
      </c>
      <c r="C135" s="18" t="str">
        <f>"邓晴晴"</f>
        <v>邓晴晴</v>
      </c>
      <c r="D135" s="18" t="str">
        <f t="shared" si="23"/>
        <v>女</v>
      </c>
      <c r="E135" s="18" t="str">
        <f>"2022010127"</f>
        <v>2022010127</v>
      </c>
      <c r="F135" s="18">
        <v>85.9</v>
      </c>
      <c r="G135" s="18">
        <v>9</v>
      </c>
      <c r="H135" s="18"/>
      <c r="I135" s="18" t="s">
        <v>12</v>
      </c>
    </row>
    <row r="136" s="1" customFormat="1" customHeight="1" spans="1:9">
      <c r="A136" s="18" t="str">
        <f t="shared" si="25"/>
        <v>A1F</v>
      </c>
      <c r="B136" s="19" t="s">
        <v>19</v>
      </c>
      <c r="C136" s="18" t="str">
        <f>"戴雪芳"</f>
        <v>戴雪芳</v>
      </c>
      <c r="D136" s="18" t="str">
        <f t="shared" si="23"/>
        <v>女</v>
      </c>
      <c r="E136" s="18" t="str">
        <f>"2022010205"</f>
        <v>2022010205</v>
      </c>
      <c r="F136" s="18">
        <v>85.3</v>
      </c>
      <c r="G136" s="18">
        <v>10</v>
      </c>
      <c r="H136" s="18"/>
      <c r="I136" s="18" t="s">
        <v>12</v>
      </c>
    </row>
    <row r="137" s="1" customFormat="1" customHeight="1" spans="1:9">
      <c r="A137" s="18" t="str">
        <f t="shared" si="25"/>
        <v>A1F</v>
      </c>
      <c r="B137" s="19" t="s">
        <v>19</v>
      </c>
      <c r="C137" s="18" t="str">
        <f>"杨华"</f>
        <v>杨华</v>
      </c>
      <c r="D137" s="18" t="str">
        <f t="shared" si="23"/>
        <v>女</v>
      </c>
      <c r="E137" s="18" t="str">
        <f>"2022010123"</f>
        <v>2022010123</v>
      </c>
      <c r="F137" s="18">
        <v>84.7</v>
      </c>
      <c r="G137" s="18">
        <v>11</v>
      </c>
      <c r="H137" s="18"/>
      <c r="I137" s="18" t="s">
        <v>12</v>
      </c>
    </row>
    <row r="138" s="1" customFormat="1" customHeight="1" spans="1:9">
      <c r="A138" s="18" t="str">
        <f t="shared" si="25"/>
        <v>A1F</v>
      </c>
      <c r="B138" s="19" t="s">
        <v>19</v>
      </c>
      <c r="C138" s="18" t="str">
        <f>"杨旭东"</f>
        <v>杨旭东</v>
      </c>
      <c r="D138" s="18" t="str">
        <f t="shared" si="23"/>
        <v>女</v>
      </c>
      <c r="E138" s="18" t="str">
        <f>"2022010114"</f>
        <v>2022010114</v>
      </c>
      <c r="F138" s="18">
        <v>83.9</v>
      </c>
      <c r="G138" s="18">
        <v>12</v>
      </c>
      <c r="H138" s="18"/>
      <c r="I138" s="18" t="s">
        <v>12</v>
      </c>
    </row>
    <row r="139" s="1" customFormat="1" customHeight="1" spans="1:9">
      <c r="A139" s="18" t="str">
        <f t="shared" si="25"/>
        <v>A1F</v>
      </c>
      <c r="B139" s="19" t="s">
        <v>19</v>
      </c>
      <c r="C139" s="18" t="str">
        <f>"杨建华"</f>
        <v>杨建华</v>
      </c>
      <c r="D139" s="18" t="str">
        <f t="shared" si="23"/>
        <v>女</v>
      </c>
      <c r="E139" s="18" t="str">
        <f>"2022010101"</f>
        <v>2022010101</v>
      </c>
      <c r="F139" s="18">
        <v>83.7</v>
      </c>
      <c r="G139" s="18">
        <v>13</v>
      </c>
      <c r="H139" s="18"/>
      <c r="I139" s="18" t="s">
        <v>12</v>
      </c>
    </row>
    <row r="140" s="1" customFormat="1" customHeight="1" spans="1:9">
      <c r="A140" s="18" t="str">
        <f t="shared" si="25"/>
        <v>A1F</v>
      </c>
      <c r="B140" s="19" t="s">
        <v>19</v>
      </c>
      <c r="C140" s="18" t="str">
        <f>"杨美容"</f>
        <v>杨美容</v>
      </c>
      <c r="D140" s="18" t="str">
        <f t="shared" si="23"/>
        <v>女</v>
      </c>
      <c r="E140" s="18" t="str">
        <f>"2022010102"</f>
        <v>2022010102</v>
      </c>
      <c r="F140" s="18">
        <v>83.6</v>
      </c>
      <c r="G140" s="18">
        <v>14</v>
      </c>
      <c r="H140" s="18"/>
      <c r="I140" s="18" t="s">
        <v>12</v>
      </c>
    </row>
    <row r="141" s="1" customFormat="1" customHeight="1" spans="1:9">
      <c r="A141" s="18" t="str">
        <f t="shared" si="25"/>
        <v>A1F</v>
      </c>
      <c r="B141" s="19" t="s">
        <v>19</v>
      </c>
      <c r="C141" s="18" t="str">
        <f>"唐静"</f>
        <v>唐静</v>
      </c>
      <c r="D141" s="18" t="str">
        <f t="shared" si="23"/>
        <v>女</v>
      </c>
      <c r="E141" s="18" t="str">
        <f>"2022010209"</f>
        <v>2022010209</v>
      </c>
      <c r="F141" s="18">
        <v>83</v>
      </c>
      <c r="G141" s="18">
        <v>15</v>
      </c>
      <c r="H141" s="18"/>
      <c r="I141" s="18" t="s">
        <v>12</v>
      </c>
    </row>
    <row r="142" s="1" customFormat="1" customHeight="1" spans="1:9">
      <c r="A142" s="18" t="str">
        <f t="shared" si="25"/>
        <v>A1F</v>
      </c>
      <c r="B142" s="19" t="s">
        <v>19</v>
      </c>
      <c r="C142" s="18" t="str">
        <f>"杨喜英"</f>
        <v>杨喜英</v>
      </c>
      <c r="D142" s="18" t="str">
        <f t="shared" si="23"/>
        <v>女</v>
      </c>
      <c r="E142" s="18" t="str">
        <f>"2022010204"</f>
        <v>2022010204</v>
      </c>
      <c r="F142" s="18">
        <v>82.5</v>
      </c>
      <c r="G142" s="18">
        <v>16</v>
      </c>
      <c r="H142" s="18"/>
      <c r="I142" s="18" t="s">
        <v>12</v>
      </c>
    </row>
    <row r="143" s="1" customFormat="1" customHeight="1" spans="1:9">
      <c r="A143" s="18" t="str">
        <f t="shared" si="25"/>
        <v>A1F</v>
      </c>
      <c r="B143" s="19" t="s">
        <v>19</v>
      </c>
      <c r="C143" s="18" t="str">
        <f>"陈红飞"</f>
        <v>陈红飞</v>
      </c>
      <c r="D143" s="18" t="str">
        <f t="shared" si="23"/>
        <v>女</v>
      </c>
      <c r="E143" s="18" t="str">
        <f>"2022010129"</f>
        <v>2022010129</v>
      </c>
      <c r="F143" s="18">
        <v>82.2</v>
      </c>
      <c r="G143" s="18">
        <v>17</v>
      </c>
      <c r="H143" s="18"/>
      <c r="I143" s="18" t="s">
        <v>12</v>
      </c>
    </row>
    <row r="144" s="1" customFormat="1" customHeight="1" spans="1:9">
      <c r="A144" s="18" t="str">
        <f t="shared" si="25"/>
        <v>A1F</v>
      </c>
      <c r="B144" s="19" t="s">
        <v>19</v>
      </c>
      <c r="C144" s="18" t="str">
        <f>"杨小丹"</f>
        <v>杨小丹</v>
      </c>
      <c r="D144" s="18" t="str">
        <f t="shared" si="23"/>
        <v>女</v>
      </c>
      <c r="E144" s="18" t="str">
        <f>"2022010207"</f>
        <v>2022010207</v>
      </c>
      <c r="F144" s="18">
        <v>81.9</v>
      </c>
      <c r="G144" s="18">
        <v>18</v>
      </c>
      <c r="H144" s="18"/>
      <c r="I144" s="18" t="s">
        <v>12</v>
      </c>
    </row>
    <row r="145" s="1" customFormat="1" customHeight="1" spans="1:9">
      <c r="A145" s="18" t="str">
        <f t="shared" si="25"/>
        <v>A1F</v>
      </c>
      <c r="B145" s="19" t="s">
        <v>19</v>
      </c>
      <c r="C145" s="18" t="str">
        <f>"鄢慧慧"</f>
        <v>鄢慧慧</v>
      </c>
      <c r="D145" s="18" t="str">
        <f t="shared" si="23"/>
        <v>女</v>
      </c>
      <c r="E145" s="18" t="str">
        <f>"2022010105"</f>
        <v>2022010105</v>
      </c>
      <c r="F145" s="18">
        <v>81.8</v>
      </c>
      <c r="G145" s="18">
        <v>19</v>
      </c>
      <c r="H145" s="18"/>
      <c r="I145" s="18" t="s">
        <v>12</v>
      </c>
    </row>
    <row r="146" s="1" customFormat="1" customHeight="1" spans="1:9">
      <c r="A146" s="18" t="str">
        <f t="shared" si="25"/>
        <v>A1F</v>
      </c>
      <c r="B146" s="19" t="s">
        <v>19</v>
      </c>
      <c r="C146" s="18" t="str">
        <f>"邹璇"</f>
        <v>邹璇</v>
      </c>
      <c r="D146" s="18" t="str">
        <f t="shared" si="23"/>
        <v>女</v>
      </c>
      <c r="E146" s="18" t="str">
        <f>"2022010110"</f>
        <v>2022010110</v>
      </c>
      <c r="F146" s="18">
        <v>81.8</v>
      </c>
      <c r="G146" s="18">
        <v>19</v>
      </c>
      <c r="H146" s="18"/>
      <c r="I146" s="18" t="s">
        <v>12</v>
      </c>
    </row>
    <row r="147" s="1" customFormat="1" customHeight="1" spans="1:9">
      <c r="A147" s="18" t="str">
        <f t="shared" si="25"/>
        <v>A1F</v>
      </c>
      <c r="B147" s="19" t="s">
        <v>19</v>
      </c>
      <c r="C147" s="18" t="str">
        <f>"杨婷"</f>
        <v>杨婷</v>
      </c>
      <c r="D147" s="18" t="str">
        <f t="shared" si="23"/>
        <v>女</v>
      </c>
      <c r="E147" s="18" t="str">
        <f>"2022010118"</f>
        <v>2022010118</v>
      </c>
      <c r="F147" s="18">
        <v>81.6</v>
      </c>
      <c r="G147" s="18">
        <v>21</v>
      </c>
      <c r="H147" s="18"/>
      <c r="I147" s="18" t="s">
        <v>12</v>
      </c>
    </row>
    <row r="148" s="1" customFormat="1" customHeight="1" spans="1:9">
      <c r="A148" s="18" t="str">
        <f t="shared" si="25"/>
        <v>A1F</v>
      </c>
      <c r="B148" s="19" t="s">
        <v>19</v>
      </c>
      <c r="C148" s="18" t="str">
        <f>"唐艳平"</f>
        <v>唐艳平</v>
      </c>
      <c r="D148" s="18" t="str">
        <f t="shared" si="23"/>
        <v>女</v>
      </c>
      <c r="E148" s="18" t="str">
        <f>"2022010132"</f>
        <v>2022010132</v>
      </c>
      <c r="F148" s="18">
        <v>81</v>
      </c>
      <c r="G148" s="18">
        <v>22</v>
      </c>
      <c r="H148" s="18"/>
      <c r="I148" s="18" t="s">
        <v>12</v>
      </c>
    </row>
    <row r="149" s="1" customFormat="1" customHeight="1" spans="1:9">
      <c r="A149" s="18" t="str">
        <f t="shared" si="25"/>
        <v>A1F</v>
      </c>
      <c r="B149" s="19" t="s">
        <v>19</v>
      </c>
      <c r="C149" s="18" t="str">
        <f>"曾涛"</f>
        <v>曾涛</v>
      </c>
      <c r="D149" s="18" t="str">
        <f t="shared" si="23"/>
        <v>女</v>
      </c>
      <c r="E149" s="18" t="str">
        <f>"2022010106"</f>
        <v>2022010106</v>
      </c>
      <c r="F149" s="18">
        <v>79.6</v>
      </c>
      <c r="G149" s="18">
        <v>23</v>
      </c>
      <c r="H149" s="18"/>
      <c r="I149" s="18" t="s">
        <v>12</v>
      </c>
    </row>
    <row r="150" s="1" customFormat="1" customHeight="1" spans="1:9">
      <c r="A150" s="18" t="str">
        <f t="shared" si="25"/>
        <v>A1F</v>
      </c>
      <c r="B150" s="19" t="s">
        <v>19</v>
      </c>
      <c r="C150" s="18" t="str">
        <f>"易兰兰"</f>
        <v>易兰兰</v>
      </c>
      <c r="D150" s="18" t="str">
        <f t="shared" si="23"/>
        <v>女</v>
      </c>
      <c r="E150" s="18" t="str">
        <f>"2022010121"</f>
        <v>2022010121</v>
      </c>
      <c r="F150" s="18">
        <v>79</v>
      </c>
      <c r="G150" s="18">
        <v>24</v>
      </c>
      <c r="H150" s="18"/>
      <c r="I150" s="18" t="s">
        <v>12</v>
      </c>
    </row>
    <row r="151" s="1" customFormat="1" customHeight="1" spans="1:9">
      <c r="A151" s="18" t="str">
        <f t="shared" si="25"/>
        <v>A1F</v>
      </c>
      <c r="B151" s="19" t="s">
        <v>19</v>
      </c>
      <c r="C151" s="18" t="str">
        <f>"刘滢"</f>
        <v>刘滢</v>
      </c>
      <c r="D151" s="18" t="str">
        <f t="shared" si="23"/>
        <v>女</v>
      </c>
      <c r="E151" s="18" t="str">
        <f>"2022010119"</f>
        <v>2022010119</v>
      </c>
      <c r="F151" s="18">
        <v>78.8</v>
      </c>
      <c r="G151" s="18">
        <v>25</v>
      </c>
      <c r="H151" s="18"/>
      <c r="I151" s="18" t="s">
        <v>12</v>
      </c>
    </row>
    <row r="152" s="1" customFormat="1" customHeight="1" spans="1:9">
      <c r="A152" s="18" t="str">
        <f t="shared" si="25"/>
        <v>A1F</v>
      </c>
      <c r="B152" s="19" t="s">
        <v>19</v>
      </c>
      <c r="C152" s="18" t="str">
        <f>"刘胜兰"</f>
        <v>刘胜兰</v>
      </c>
      <c r="D152" s="18" t="str">
        <f t="shared" si="23"/>
        <v>女</v>
      </c>
      <c r="E152" s="18" t="str">
        <f>"2022010108"</f>
        <v>2022010108</v>
      </c>
      <c r="F152" s="18">
        <v>78.3</v>
      </c>
      <c r="G152" s="18">
        <v>26</v>
      </c>
      <c r="H152" s="18"/>
      <c r="I152" s="18" t="s">
        <v>12</v>
      </c>
    </row>
    <row r="153" s="1" customFormat="1" customHeight="1" spans="1:9">
      <c r="A153" s="18" t="str">
        <f t="shared" si="25"/>
        <v>A1F</v>
      </c>
      <c r="B153" s="19" t="s">
        <v>19</v>
      </c>
      <c r="C153" s="18" t="str">
        <f>"刘婕"</f>
        <v>刘婕</v>
      </c>
      <c r="D153" s="18" t="str">
        <f t="shared" si="23"/>
        <v>女</v>
      </c>
      <c r="E153" s="18" t="str">
        <f>"2022010125"</f>
        <v>2022010125</v>
      </c>
      <c r="F153" s="18">
        <v>78</v>
      </c>
      <c r="G153" s="18">
        <v>27</v>
      </c>
      <c r="H153" s="18"/>
      <c r="I153" s="18" t="s">
        <v>12</v>
      </c>
    </row>
    <row r="154" s="1" customFormat="1" customHeight="1" spans="1:9">
      <c r="A154" s="18" t="str">
        <f t="shared" si="25"/>
        <v>A1F</v>
      </c>
      <c r="B154" s="19" t="s">
        <v>19</v>
      </c>
      <c r="C154" s="18" t="str">
        <f>"刘杨"</f>
        <v>刘杨</v>
      </c>
      <c r="D154" s="18" t="str">
        <f t="shared" si="23"/>
        <v>女</v>
      </c>
      <c r="E154" s="18" t="str">
        <f>"2022010130"</f>
        <v>2022010130</v>
      </c>
      <c r="F154" s="18">
        <v>76.5</v>
      </c>
      <c r="G154" s="18">
        <v>28</v>
      </c>
      <c r="H154" s="18"/>
      <c r="I154" s="18" t="s">
        <v>12</v>
      </c>
    </row>
    <row r="155" s="1" customFormat="1" customHeight="1" spans="1:9">
      <c r="A155" s="18" t="str">
        <f t="shared" si="25"/>
        <v>A1F</v>
      </c>
      <c r="B155" s="19" t="s">
        <v>19</v>
      </c>
      <c r="C155" s="18" t="str">
        <f>"刘桐汝"</f>
        <v>刘桐汝</v>
      </c>
      <c r="D155" s="18" t="str">
        <f t="shared" si="23"/>
        <v>女</v>
      </c>
      <c r="E155" s="18" t="str">
        <f>"2022010116"</f>
        <v>2022010116</v>
      </c>
      <c r="F155" s="18">
        <v>76.4</v>
      </c>
      <c r="G155" s="18">
        <v>29</v>
      </c>
      <c r="H155" s="18"/>
      <c r="I155" s="18" t="s">
        <v>12</v>
      </c>
    </row>
    <row r="156" s="1" customFormat="1" customHeight="1" spans="1:9">
      <c r="A156" s="18" t="str">
        <f t="shared" si="25"/>
        <v>A1F</v>
      </c>
      <c r="B156" s="19" t="s">
        <v>19</v>
      </c>
      <c r="C156" s="18" t="str">
        <f>"彭彬"</f>
        <v>彭彬</v>
      </c>
      <c r="D156" s="18" t="str">
        <f>"男"</f>
        <v>男</v>
      </c>
      <c r="E156" s="18" t="str">
        <f>"2022010128"</f>
        <v>2022010128</v>
      </c>
      <c r="F156" s="18">
        <v>65</v>
      </c>
      <c r="G156" s="18">
        <v>30</v>
      </c>
      <c r="H156" s="18"/>
      <c r="I156" s="18" t="s">
        <v>12</v>
      </c>
    </row>
    <row r="157" s="1" customFormat="1" customHeight="1" spans="1:9">
      <c r="A157" s="18" t="str">
        <f t="shared" si="25"/>
        <v>A1F</v>
      </c>
      <c r="B157" s="19" t="s">
        <v>19</v>
      </c>
      <c r="C157" s="18" t="str">
        <f>"杨帆"</f>
        <v>杨帆</v>
      </c>
      <c r="D157" s="18" t="str">
        <f t="shared" ref="D157:D212" si="26">"女"</f>
        <v>女</v>
      </c>
      <c r="E157" s="18" t="str">
        <f>"2022010117"</f>
        <v>2022010117</v>
      </c>
      <c r="F157" s="18">
        <v>62</v>
      </c>
      <c r="G157" s="18">
        <v>31</v>
      </c>
      <c r="H157" s="18"/>
      <c r="I157" s="18" t="s">
        <v>12</v>
      </c>
    </row>
    <row r="158" s="1" customFormat="1" customHeight="1" spans="1:9">
      <c r="A158" s="18" t="str">
        <f t="shared" si="25"/>
        <v>A1F</v>
      </c>
      <c r="B158" s="19" t="s">
        <v>19</v>
      </c>
      <c r="C158" s="18" t="str">
        <f>"程文娟"</f>
        <v>程文娟</v>
      </c>
      <c r="D158" s="18" t="str">
        <f t="shared" si="26"/>
        <v>女</v>
      </c>
      <c r="E158" s="18" t="str">
        <f>"2022010122"</f>
        <v>2022010122</v>
      </c>
      <c r="F158" s="18">
        <v>60</v>
      </c>
      <c r="G158" s="18">
        <v>32</v>
      </c>
      <c r="H158" s="18"/>
      <c r="I158" s="18" t="s">
        <v>12</v>
      </c>
    </row>
    <row r="159" s="1" customFormat="1" customHeight="1" spans="1:9">
      <c r="A159" s="18" t="str">
        <f t="shared" si="25"/>
        <v>A1F</v>
      </c>
      <c r="B159" s="19" t="s">
        <v>19</v>
      </c>
      <c r="C159" s="18" t="str">
        <f>"刘梦瑶"</f>
        <v>刘梦瑶</v>
      </c>
      <c r="D159" s="18" t="str">
        <f t="shared" si="26"/>
        <v>女</v>
      </c>
      <c r="E159" s="18" t="str">
        <f>"2022010104"</f>
        <v>2022010104</v>
      </c>
      <c r="F159" s="18">
        <v>0</v>
      </c>
      <c r="G159" s="18">
        <v>33</v>
      </c>
      <c r="H159" s="18" t="s">
        <v>13</v>
      </c>
      <c r="I159" s="18" t="s">
        <v>12</v>
      </c>
    </row>
    <row r="160" s="1" customFormat="1" customHeight="1" spans="1:9">
      <c r="A160" s="18" t="str">
        <f t="shared" si="25"/>
        <v>A1F</v>
      </c>
      <c r="B160" s="19" t="s">
        <v>19</v>
      </c>
      <c r="C160" s="18" t="str">
        <f>"吴超群"</f>
        <v>吴超群</v>
      </c>
      <c r="D160" s="18" t="str">
        <f t="shared" si="26"/>
        <v>女</v>
      </c>
      <c r="E160" s="18" t="str">
        <f>"2022010107"</f>
        <v>2022010107</v>
      </c>
      <c r="F160" s="18">
        <v>0</v>
      </c>
      <c r="G160" s="18">
        <v>33</v>
      </c>
      <c r="H160" s="18" t="s">
        <v>13</v>
      </c>
      <c r="I160" s="18" t="s">
        <v>12</v>
      </c>
    </row>
    <row r="161" s="1" customFormat="1" customHeight="1" spans="1:9">
      <c r="A161" s="18" t="str">
        <f t="shared" si="25"/>
        <v>A1F</v>
      </c>
      <c r="B161" s="19" t="s">
        <v>19</v>
      </c>
      <c r="C161" s="18" t="str">
        <f>"王海燕"</f>
        <v>王海燕</v>
      </c>
      <c r="D161" s="18" t="str">
        <f t="shared" si="26"/>
        <v>女</v>
      </c>
      <c r="E161" s="18" t="str">
        <f>"2022010109"</f>
        <v>2022010109</v>
      </c>
      <c r="F161" s="18">
        <v>0</v>
      </c>
      <c r="G161" s="18">
        <v>33</v>
      </c>
      <c r="H161" s="18" t="s">
        <v>13</v>
      </c>
      <c r="I161" s="18" t="s">
        <v>12</v>
      </c>
    </row>
    <row r="162" s="1" customFormat="1" customHeight="1" spans="1:9">
      <c r="A162" s="18" t="str">
        <f t="shared" si="25"/>
        <v>A1F</v>
      </c>
      <c r="B162" s="19" t="s">
        <v>19</v>
      </c>
      <c r="C162" s="18" t="str">
        <f>"陈梦琪"</f>
        <v>陈梦琪</v>
      </c>
      <c r="D162" s="18" t="str">
        <f t="shared" si="26"/>
        <v>女</v>
      </c>
      <c r="E162" s="18" t="str">
        <f>"2022010111"</f>
        <v>2022010111</v>
      </c>
      <c r="F162" s="18">
        <v>0</v>
      </c>
      <c r="G162" s="18">
        <v>33</v>
      </c>
      <c r="H162" s="18" t="s">
        <v>13</v>
      </c>
      <c r="I162" s="18" t="s">
        <v>12</v>
      </c>
    </row>
    <row r="163" s="1" customFormat="1" customHeight="1" spans="1:9">
      <c r="A163" s="18" t="str">
        <f t="shared" si="25"/>
        <v>A1F</v>
      </c>
      <c r="B163" s="19" t="s">
        <v>19</v>
      </c>
      <c r="C163" s="18" t="str">
        <f>"殷飞凤"</f>
        <v>殷飞凤</v>
      </c>
      <c r="D163" s="18" t="str">
        <f t="shared" si="26"/>
        <v>女</v>
      </c>
      <c r="E163" s="18" t="str">
        <f>"2022010112"</f>
        <v>2022010112</v>
      </c>
      <c r="F163" s="18">
        <v>0</v>
      </c>
      <c r="G163" s="18">
        <v>33</v>
      </c>
      <c r="H163" s="18" t="s">
        <v>13</v>
      </c>
      <c r="I163" s="18" t="s">
        <v>12</v>
      </c>
    </row>
    <row r="164" s="1" customFormat="1" customHeight="1" spans="1:9">
      <c r="A164" s="18" t="str">
        <f t="shared" si="25"/>
        <v>A1F</v>
      </c>
      <c r="B164" s="19" t="s">
        <v>19</v>
      </c>
      <c r="C164" s="18" t="str">
        <f>"段惠丹"</f>
        <v>段惠丹</v>
      </c>
      <c r="D164" s="18" t="str">
        <f t="shared" si="26"/>
        <v>女</v>
      </c>
      <c r="E164" s="18" t="str">
        <f>"2022010113"</f>
        <v>2022010113</v>
      </c>
      <c r="F164" s="18">
        <v>0</v>
      </c>
      <c r="G164" s="18">
        <v>33</v>
      </c>
      <c r="H164" s="18" t="s">
        <v>13</v>
      </c>
      <c r="I164" s="18" t="s">
        <v>12</v>
      </c>
    </row>
    <row r="165" s="1" customFormat="1" customHeight="1" spans="1:9">
      <c r="A165" s="18" t="str">
        <f t="shared" si="25"/>
        <v>A1F</v>
      </c>
      <c r="B165" s="19" t="s">
        <v>19</v>
      </c>
      <c r="C165" s="18" t="str">
        <f>"刘嘉美"</f>
        <v>刘嘉美</v>
      </c>
      <c r="D165" s="18" t="str">
        <f t="shared" si="26"/>
        <v>女</v>
      </c>
      <c r="E165" s="18" t="str">
        <f>"2022010120"</f>
        <v>2022010120</v>
      </c>
      <c r="F165" s="18">
        <v>0</v>
      </c>
      <c r="G165" s="18">
        <v>33</v>
      </c>
      <c r="H165" s="18" t="s">
        <v>13</v>
      </c>
      <c r="I165" s="18" t="s">
        <v>12</v>
      </c>
    </row>
    <row r="166" s="1" customFormat="1" customHeight="1" spans="1:9">
      <c r="A166" s="18" t="str">
        <f t="shared" si="25"/>
        <v>A1F</v>
      </c>
      <c r="B166" s="19" t="s">
        <v>19</v>
      </c>
      <c r="C166" s="18" t="str">
        <f>"高睿"</f>
        <v>高睿</v>
      </c>
      <c r="D166" s="18" t="str">
        <f t="shared" si="26"/>
        <v>女</v>
      </c>
      <c r="E166" s="18" t="str">
        <f>"2022010124"</f>
        <v>2022010124</v>
      </c>
      <c r="F166" s="18">
        <v>0</v>
      </c>
      <c r="G166" s="18">
        <v>33</v>
      </c>
      <c r="H166" s="18" t="s">
        <v>13</v>
      </c>
      <c r="I166" s="18" t="s">
        <v>12</v>
      </c>
    </row>
    <row r="167" s="1" customFormat="1" customHeight="1" spans="1:9">
      <c r="A167" s="18" t="str">
        <f t="shared" si="25"/>
        <v>A1F</v>
      </c>
      <c r="B167" s="19" t="s">
        <v>19</v>
      </c>
      <c r="C167" s="18" t="str">
        <f>"管素宁"</f>
        <v>管素宁</v>
      </c>
      <c r="D167" s="18" t="str">
        <f t="shared" si="26"/>
        <v>女</v>
      </c>
      <c r="E167" s="18" t="str">
        <f>"2022010131"</f>
        <v>2022010131</v>
      </c>
      <c r="F167" s="18">
        <v>0</v>
      </c>
      <c r="G167" s="18">
        <v>33</v>
      </c>
      <c r="H167" s="18" t="s">
        <v>13</v>
      </c>
      <c r="I167" s="18" t="s">
        <v>12</v>
      </c>
    </row>
    <row r="168" s="1" customFormat="1" customHeight="1" spans="1:9">
      <c r="A168" s="18" t="str">
        <f t="shared" si="25"/>
        <v>A1F</v>
      </c>
      <c r="B168" s="19" t="s">
        <v>19</v>
      </c>
      <c r="C168" s="18" t="str">
        <f>"付容"</f>
        <v>付容</v>
      </c>
      <c r="D168" s="18" t="str">
        <f t="shared" si="26"/>
        <v>女</v>
      </c>
      <c r="E168" s="18" t="str">
        <f>"2022010206"</f>
        <v>2022010206</v>
      </c>
      <c r="F168" s="18">
        <v>0</v>
      </c>
      <c r="G168" s="18">
        <v>33</v>
      </c>
      <c r="H168" s="18" t="s">
        <v>13</v>
      </c>
      <c r="I168" s="18" t="s">
        <v>12</v>
      </c>
    </row>
    <row r="169" s="1" customFormat="1" customHeight="1" spans="1:9">
      <c r="A169" s="18" t="str">
        <f t="shared" ref="A169:A223" si="27">"A1G"</f>
        <v>A1G</v>
      </c>
      <c r="B169" s="19" t="s">
        <v>20</v>
      </c>
      <c r="C169" s="18" t="str">
        <f>"易萱"</f>
        <v>易萱</v>
      </c>
      <c r="D169" s="18" t="str">
        <f t="shared" si="26"/>
        <v>女</v>
      </c>
      <c r="E169" s="18" t="str">
        <f>"2022010314"</f>
        <v>2022010314</v>
      </c>
      <c r="F169" s="18">
        <v>89.2</v>
      </c>
      <c r="G169" s="18">
        <v>1</v>
      </c>
      <c r="H169" s="18"/>
      <c r="I169" s="28" t="s">
        <v>11</v>
      </c>
    </row>
    <row r="170" s="1" customFormat="1" customHeight="1" spans="1:9">
      <c r="A170" s="18" t="str">
        <f t="shared" si="27"/>
        <v>A1G</v>
      </c>
      <c r="B170" s="19" t="s">
        <v>20</v>
      </c>
      <c r="C170" s="18" t="str">
        <f>"唐丝"</f>
        <v>唐丝</v>
      </c>
      <c r="D170" s="18" t="str">
        <f t="shared" si="26"/>
        <v>女</v>
      </c>
      <c r="E170" s="18" t="str">
        <f>"2022010318"</f>
        <v>2022010318</v>
      </c>
      <c r="F170" s="22">
        <v>88.2</v>
      </c>
      <c r="G170" s="22">
        <v>2</v>
      </c>
      <c r="H170" s="23"/>
      <c r="I170" s="28" t="s">
        <v>11</v>
      </c>
    </row>
    <row r="171" s="1" customFormat="1" customHeight="1" spans="1:9">
      <c r="A171" s="18" t="str">
        <f t="shared" si="27"/>
        <v>A1G</v>
      </c>
      <c r="B171" s="19" t="s">
        <v>20</v>
      </c>
      <c r="C171" s="18" t="str">
        <f>"周璇"</f>
        <v>周璇</v>
      </c>
      <c r="D171" s="18" t="str">
        <f t="shared" si="26"/>
        <v>女</v>
      </c>
      <c r="E171" s="18" t="str">
        <f>"2022010301"</f>
        <v>2022010301</v>
      </c>
      <c r="F171" s="25">
        <v>88</v>
      </c>
      <c r="G171" s="18">
        <v>3</v>
      </c>
      <c r="H171" s="26"/>
      <c r="I171" s="18" t="s">
        <v>12</v>
      </c>
    </row>
    <row r="172" s="1" customFormat="1" customHeight="1" spans="1:9">
      <c r="A172" s="18" t="str">
        <f t="shared" si="27"/>
        <v>A1G</v>
      </c>
      <c r="B172" s="19" t="s">
        <v>20</v>
      </c>
      <c r="C172" s="18" t="str">
        <f>"杨洁芳"</f>
        <v>杨洁芳</v>
      </c>
      <c r="D172" s="18" t="str">
        <f t="shared" si="26"/>
        <v>女</v>
      </c>
      <c r="E172" s="18" t="str">
        <f>"2022010319"</f>
        <v>2022010319</v>
      </c>
      <c r="F172" s="18">
        <v>87.8</v>
      </c>
      <c r="G172" s="22">
        <v>4</v>
      </c>
      <c r="H172" s="18"/>
      <c r="I172" s="18" t="s">
        <v>12</v>
      </c>
    </row>
    <row r="173" s="1" customFormat="1" customHeight="1" spans="1:9">
      <c r="A173" s="18" t="str">
        <f t="shared" si="27"/>
        <v>A1G</v>
      </c>
      <c r="B173" s="19" t="s">
        <v>20</v>
      </c>
      <c r="C173" s="18" t="str">
        <f>"杨丽娟"</f>
        <v>杨丽娟</v>
      </c>
      <c r="D173" s="18" t="str">
        <f t="shared" si="26"/>
        <v>女</v>
      </c>
      <c r="E173" s="18" t="str">
        <f>"2022010218"</f>
        <v>2022010218</v>
      </c>
      <c r="F173" s="20">
        <v>87.5</v>
      </c>
      <c r="G173" s="18">
        <v>5</v>
      </c>
      <c r="H173" s="21"/>
      <c r="I173" s="18" t="s">
        <v>12</v>
      </c>
    </row>
    <row r="174" s="1" customFormat="1" customHeight="1" spans="1:9">
      <c r="A174" s="18" t="str">
        <f t="shared" si="27"/>
        <v>A1G</v>
      </c>
      <c r="B174" s="19" t="s">
        <v>20</v>
      </c>
      <c r="C174" s="18" t="str">
        <f>"王佩"</f>
        <v>王佩</v>
      </c>
      <c r="D174" s="18" t="str">
        <f t="shared" si="26"/>
        <v>女</v>
      </c>
      <c r="E174" s="18" t="str">
        <f>"2022010212"</f>
        <v>2022010212</v>
      </c>
      <c r="F174" s="18">
        <v>86.8</v>
      </c>
      <c r="G174" s="22">
        <v>6</v>
      </c>
      <c r="H174" s="18"/>
      <c r="I174" s="18" t="s">
        <v>12</v>
      </c>
    </row>
    <row r="175" s="1" customFormat="1" customHeight="1" spans="1:9">
      <c r="A175" s="18" t="str">
        <f t="shared" si="27"/>
        <v>A1G</v>
      </c>
      <c r="B175" s="19" t="s">
        <v>20</v>
      </c>
      <c r="C175" s="18" t="str">
        <f>"王甜"</f>
        <v>王甜</v>
      </c>
      <c r="D175" s="18" t="str">
        <f t="shared" si="26"/>
        <v>女</v>
      </c>
      <c r="E175" s="18" t="str">
        <f>"2022010231"</f>
        <v>2022010231</v>
      </c>
      <c r="F175" s="18">
        <v>86.8</v>
      </c>
      <c r="G175" s="18">
        <v>6</v>
      </c>
      <c r="H175" s="18"/>
      <c r="I175" s="18" t="s">
        <v>12</v>
      </c>
    </row>
    <row r="176" s="1" customFormat="1" customHeight="1" spans="1:9">
      <c r="A176" s="18" t="str">
        <f t="shared" si="27"/>
        <v>A1G</v>
      </c>
      <c r="B176" s="19" t="s">
        <v>20</v>
      </c>
      <c r="C176" s="18" t="str">
        <f>"戴丽"</f>
        <v>戴丽</v>
      </c>
      <c r="D176" s="18" t="str">
        <f t="shared" si="26"/>
        <v>女</v>
      </c>
      <c r="E176" s="18" t="str">
        <f>"2022010316"</f>
        <v>2022010316</v>
      </c>
      <c r="F176" s="20">
        <v>86.5</v>
      </c>
      <c r="G176" s="22">
        <v>8</v>
      </c>
      <c r="H176" s="21"/>
      <c r="I176" s="18" t="s">
        <v>12</v>
      </c>
    </row>
    <row r="177" s="1" customFormat="1" customHeight="1" spans="1:9">
      <c r="A177" s="18" t="str">
        <f t="shared" si="27"/>
        <v>A1G</v>
      </c>
      <c r="B177" s="19" t="s">
        <v>20</v>
      </c>
      <c r="C177" s="18" t="str">
        <f>"刘进"</f>
        <v>刘进</v>
      </c>
      <c r="D177" s="18" t="str">
        <f t="shared" si="26"/>
        <v>女</v>
      </c>
      <c r="E177" s="18" t="str">
        <f>"2022010230"</f>
        <v>2022010230</v>
      </c>
      <c r="F177" s="18">
        <v>86.4</v>
      </c>
      <c r="G177" s="18">
        <v>9</v>
      </c>
      <c r="H177" s="18"/>
      <c r="I177" s="18" t="s">
        <v>12</v>
      </c>
    </row>
    <row r="178" s="1" customFormat="1" customHeight="1" spans="1:9">
      <c r="A178" s="18" t="str">
        <f t="shared" si="27"/>
        <v>A1G</v>
      </c>
      <c r="B178" s="19" t="s">
        <v>20</v>
      </c>
      <c r="C178" s="18" t="str">
        <f>"胡敏"</f>
        <v>胡敏</v>
      </c>
      <c r="D178" s="18" t="str">
        <f t="shared" si="26"/>
        <v>女</v>
      </c>
      <c r="E178" s="18" t="str">
        <f>"2022010224"</f>
        <v>2022010224</v>
      </c>
      <c r="F178" s="20">
        <v>86</v>
      </c>
      <c r="G178" s="22">
        <v>10</v>
      </c>
      <c r="H178" s="21"/>
      <c r="I178" s="18" t="s">
        <v>12</v>
      </c>
    </row>
    <row r="179" s="1" customFormat="1" customHeight="1" spans="1:9">
      <c r="A179" s="18" t="str">
        <f t="shared" si="27"/>
        <v>A1G</v>
      </c>
      <c r="B179" s="19" t="s">
        <v>20</v>
      </c>
      <c r="C179" s="18" t="str">
        <f>"肖钰晗"</f>
        <v>肖钰晗</v>
      </c>
      <c r="D179" s="18" t="str">
        <f t="shared" si="26"/>
        <v>女</v>
      </c>
      <c r="E179" s="18" t="str">
        <f>"2022010228"</f>
        <v>2022010228</v>
      </c>
      <c r="F179" s="18">
        <v>86</v>
      </c>
      <c r="G179" s="18">
        <v>10</v>
      </c>
      <c r="H179" s="18"/>
      <c r="I179" s="18" t="s">
        <v>12</v>
      </c>
    </row>
    <row r="180" s="1" customFormat="1" customHeight="1" spans="1:9">
      <c r="A180" s="18" t="str">
        <f t="shared" si="27"/>
        <v>A1G</v>
      </c>
      <c r="B180" s="19" t="s">
        <v>20</v>
      </c>
      <c r="C180" s="18" t="str">
        <f>"杨思粤"</f>
        <v>杨思粤</v>
      </c>
      <c r="D180" s="18" t="str">
        <f t="shared" si="26"/>
        <v>女</v>
      </c>
      <c r="E180" s="18" t="str">
        <f>"2022010310"</f>
        <v>2022010310</v>
      </c>
      <c r="F180" s="22">
        <v>86</v>
      </c>
      <c r="G180" s="22">
        <v>10</v>
      </c>
      <c r="H180" s="23"/>
      <c r="I180" s="18" t="s">
        <v>12</v>
      </c>
    </row>
    <row r="181" s="1" customFormat="1" customHeight="1" spans="1:9">
      <c r="A181" s="18" t="str">
        <f t="shared" si="27"/>
        <v>A1G</v>
      </c>
      <c r="B181" s="19" t="s">
        <v>20</v>
      </c>
      <c r="C181" s="18" t="str">
        <f>"罗琳"</f>
        <v>罗琳</v>
      </c>
      <c r="D181" s="18" t="str">
        <f t="shared" si="26"/>
        <v>女</v>
      </c>
      <c r="E181" s="18" t="str">
        <f>"2022010325"</f>
        <v>2022010325</v>
      </c>
      <c r="F181" s="24">
        <v>85.5</v>
      </c>
      <c r="G181" s="18">
        <v>13</v>
      </c>
      <c r="H181" s="18"/>
      <c r="I181" s="18" t="s">
        <v>12</v>
      </c>
    </row>
    <row r="182" s="1" customFormat="1" customHeight="1" spans="1:9">
      <c r="A182" s="18" t="str">
        <f t="shared" si="27"/>
        <v>A1G</v>
      </c>
      <c r="B182" s="19" t="s">
        <v>20</v>
      </c>
      <c r="C182" s="18" t="str">
        <f>"刘慧"</f>
        <v>刘慧</v>
      </c>
      <c r="D182" s="18" t="str">
        <f t="shared" si="26"/>
        <v>女</v>
      </c>
      <c r="E182" s="18" t="str">
        <f>"2022010232"</f>
        <v>2022010232</v>
      </c>
      <c r="F182" s="25">
        <v>85</v>
      </c>
      <c r="G182" s="22">
        <v>14</v>
      </c>
      <c r="H182" s="26"/>
      <c r="I182" s="18" t="s">
        <v>12</v>
      </c>
    </row>
    <row r="183" s="1" customFormat="1" customHeight="1" spans="1:9">
      <c r="A183" s="18" t="str">
        <f t="shared" si="27"/>
        <v>A1G</v>
      </c>
      <c r="B183" s="19" t="s">
        <v>20</v>
      </c>
      <c r="C183" s="18" t="str">
        <f>"游海兰"</f>
        <v>游海兰</v>
      </c>
      <c r="D183" s="18" t="str">
        <f t="shared" si="26"/>
        <v>女</v>
      </c>
      <c r="E183" s="18" t="str">
        <f>"2022010331"</f>
        <v>2022010331</v>
      </c>
      <c r="F183" s="18">
        <v>84.7</v>
      </c>
      <c r="G183" s="18">
        <v>15</v>
      </c>
      <c r="H183" s="18"/>
      <c r="I183" s="18" t="s">
        <v>12</v>
      </c>
    </row>
    <row r="184" s="1" customFormat="1" customHeight="1" spans="1:9">
      <c r="A184" s="18" t="str">
        <f t="shared" si="27"/>
        <v>A1G</v>
      </c>
      <c r="B184" s="19" t="s">
        <v>20</v>
      </c>
      <c r="C184" s="18" t="str">
        <f>"付小燕"</f>
        <v>付小燕</v>
      </c>
      <c r="D184" s="18" t="str">
        <f t="shared" si="26"/>
        <v>女</v>
      </c>
      <c r="E184" s="18" t="str">
        <f>"2022010213"</f>
        <v>2022010213</v>
      </c>
      <c r="F184" s="18">
        <v>84.5</v>
      </c>
      <c r="G184" s="22">
        <v>16</v>
      </c>
      <c r="H184" s="18"/>
      <c r="I184" s="18" t="s">
        <v>12</v>
      </c>
    </row>
    <row r="185" s="1" customFormat="1" customHeight="1" spans="1:9">
      <c r="A185" s="18" t="str">
        <f t="shared" si="27"/>
        <v>A1G</v>
      </c>
      <c r="B185" s="19" t="s">
        <v>20</v>
      </c>
      <c r="C185" s="18" t="str">
        <f>"石琴"</f>
        <v>石琴</v>
      </c>
      <c r="D185" s="18" t="str">
        <f t="shared" si="26"/>
        <v>女</v>
      </c>
      <c r="E185" s="18" t="str">
        <f>"2022010308"</f>
        <v>2022010308</v>
      </c>
      <c r="F185" s="22">
        <v>83</v>
      </c>
      <c r="G185" s="18">
        <v>17</v>
      </c>
      <c r="H185" s="23"/>
      <c r="I185" s="18" t="s">
        <v>12</v>
      </c>
    </row>
    <row r="186" s="1" customFormat="1" customHeight="1" spans="1:9">
      <c r="A186" s="18" t="str">
        <f t="shared" si="27"/>
        <v>A1G</v>
      </c>
      <c r="B186" s="19" t="s">
        <v>20</v>
      </c>
      <c r="C186" s="18" t="str">
        <f>"谭晒川"</f>
        <v>谭晒川</v>
      </c>
      <c r="D186" s="18" t="str">
        <f t="shared" si="26"/>
        <v>女</v>
      </c>
      <c r="E186" s="18" t="str">
        <f>"2022010320"</f>
        <v>2022010320</v>
      </c>
      <c r="F186" s="25">
        <v>82.2</v>
      </c>
      <c r="G186" s="22">
        <v>18</v>
      </c>
      <c r="H186" s="26"/>
      <c r="I186" s="18" t="s">
        <v>12</v>
      </c>
    </row>
    <row r="187" s="1" customFormat="1" customHeight="1" spans="1:9">
      <c r="A187" s="18" t="str">
        <f t="shared" si="27"/>
        <v>A1G</v>
      </c>
      <c r="B187" s="19" t="s">
        <v>20</v>
      </c>
      <c r="C187" s="18" t="str">
        <f>"黄婷"</f>
        <v>黄婷</v>
      </c>
      <c r="D187" s="18" t="str">
        <f t="shared" si="26"/>
        <v>女</v>
      </c>
      <c r="E187" s="18" t="str">
        <f>"2022010313"</f>
        <v>2022010313</v>
      </c>
      <c r="F187" s="18">
        <v>82</v>
      </c>
      <c r="G187" s="18">
        <v>19</v>
      </c>
      <c r="H187" s="18"/>
      <c r="I187" s="18" t="s">
        <v>12</v>
      </c>
    </row>
    <row r="188" s="1" customFormat="1" customHeight="1" spans="1:9">
      <c r="A188" s="18" t="str">
        <f t="shared" si="27"/>
        <v>A1G</v>
      </c>
      <c r="B188" s="19" t="s">
        <v>20</v>
      </c>
      <c r="C188" s="18" t="str">
        <f>"赵艳彬"</f>
        <v>赵艳彬</v>
      </c>
      <c r="D188" s="18" t="str">
        <f t="shared" si="26"/>
        <v>女</v>
      </c>
      <c r="E188" s="18" t="str">
        <f>"2022010327"</f>
        <v>2022010327</v>
      </c>
      <c r="F188" s="22">
        <v>81.7</v>
      </c>
      <c r="G188" s="22">
        <v>20</v>
      </c>
      <c r="H188" s="23"/>
      <c r="I188" s="18" t="s">
        <v>12</v>
      </c>
    </row>
    <row r="189" s="1" customFormat="1" customHeight="1" spans="1:9">
      <c r="A189" s="18" t="str">
        <f t="shared" si="27"/>
        <v>A1G</v>
      </c>
      <c r="B189" s="19" t="s">
        <v>20</v>
      </c>
      <c r="C189" s="18" t="str">
        <f>"祝婷"</f>
        <v>祝婷</v>
      </c>
      <c r="D189" s="18" t="str">
        <f t="shared" si="26"/>
        <v>女</v>
      </c>
      <c r="E189" s="18" t="str">
        <f>"2022010215"</f>
        <v>2022010215</v>
      </c>
      <c r="F189" s="24">
        <v>81.2</v>
      </c>
      <c r="G189" s="18">
        <v>21</v>
      </c>
      <c r="H189" s="18"/>
      <c r="I189" s="18" t="s">
        <v>12</v>
      </c>
    </row>
    <row r="190" s="1" customFormat="1" customHeight="1" spans="1:9">
      <c r="A190" s="18" t="str">
        <f t="shared" si="27"/>
        <v>A1G</v>
      </c>
      <c r="B190" s="19" t="s">
        <v>20</v>
      </c>
      <c r="C190" s="18" t="str">
        <f>"彭婷"</f>
        <v>彭婷</v>
      </c>
      <c r="D190" s="18" t="str">
        <f t="shared" si="26"/>
        <v>女</v>
      </c>
      <c r="E190" s="18" t="str">
        <f>"2022010227"</f>
        <v>2022010227</v>
      </c>
      <c r="F190" s="24">
        <v>81</v>
      </c>
      <c r="G190" s="22">
        <v>22</v>
      </c>
      <c r="H190" s="18"/>
      <c r="I190" s="18" t="s">
        <v>12</v>
      </c>
    </row>
    <row r="191" s="1" customFormat="1" customHeight="1" spans="1:9">
      <c r="A191" s="18" t="str">
        <f t="shared" si="27"/>
        <v>A1G</v>
      </c>
      <c r="B191" s="19" t="s">
        <v>20</v>
      </c>
      <c r="C191" s="18" t="str">
        <f>"杨丽燕"</f>
        <v>杨丽燕</v>
      </c>
      <c r="D191" s="18" t="str">
        <f t="shared" si="26"/>
        <v>女</v>
      </c>
      <c r="E191" s="18" t="str">
        <f>"2022010330"</f>
        <v>2022010330</v>
      </c>
      <c r="F191" s="25">
        <v>80.5</v>
      </c>
      <c r="G191" s="18">
        <v>23</v>
      </c>
      <c r="H191" s="26"/>
      <c r="I191" s="18" t="s">
        <v>12</v>
      </c>
    </row>
    <row r="192" s="1" customFormat="1" customHeight="1" spans="1:9">
      <c r="A192" s="18" t="str">
        <f t="shared" si="27"/>
        <v>A1G</v>
      </c>
      <c r="B192" s="19" t="s">
        <v>20</v>
      </c>
      <c r="C192" s="18" t="str">
        <f>"旷雨晴"</f>
        <v>旷雨晴</v>
      </c>
      <c r="D192" s="18" t="str">
        <f t="shared" si="26"/>
        <v>女</v>
      </c>
      <c r="E192" s="18" t="str">
        <f>"2022010222"</f>
        <v>2022010222</v>
      </c>
      <c r="F192" s="18">
        <v>80</v>
      </c>
      <c r="G192" s="22">
        <v>24</v>
      </c>
      <c r="H192" s="18"/>
      <c r="I192" s="18" t="s">
        <v>12</v>
      </c>
    </row>
    <row r="193" s="1" customFormat="1" customHeight="1" spans="1:9">
      <c r="A193" s="18" t="str">
        <f t="shared" si="27"/>
        <v>A1G</v>
      </c>
      <c r="B193" s="19" t="s">
        <v>20</v>
      </c>
      <c r="C193" s="18" t="str">
        <f>"熊蕾"</f>
        <v>熊蕾</v>
      </c>
      <c r="D193" s="18" t="str">
        <f t="shared" si="26"/>
        <v>女</v>
      </c>
      <c r="E193" s="18" t="str">
        <f>"2022010317"</f>
        <v>2022010317</v>
      </c>
      <c r="F193" s="20">
        <v>79.7</v>
      </c>
      <c r="G193" s="18">
        <v>25</v>
      </c>
      <c r="H193" s="21"/>
      <c r="I193" s="18" t="s">
        <v>12</v>
      </c>
    </row>
    <row r="194" s="1" customFormat="1" customHeight="1" spans="1:9">
      <c r="A194" s="18" t="str">
        <f t="shared" si="27"/>
        <v>A1G</v>
      </c>
      <c r="B194" s="19" t="s">
        <v>20</v>
      </c>
      <c r="C194" s="18" t="str">
        <f>"邓露星"</f>
        <v>邓露星</v>
      </c>
      <c r="D194" s="18" t="str">
        <f t="shared" si="26"/>
        <v>女</v>
      </c>
      <c r="E194" s="18" t="str">
        <f>"2022010328"</f>
        <v>2022010328</v>
      </c>
      <c r="F194" s="18">
        <v>78</v>
      </c>
      <c r="G194" s="22">
        <v>26</v>
      </c>
      <c r="H194" s="18"/>
      <c r="I194" s="18" t="s">
        <v>12</v>
      </c>
    </row>
    <row r="195" s="1" customFormat="1" customHeight="1" spans="1:9">
      <c r="A195" s="18" t="str">
        <f t="shared" si="27"/>
        <v>A1G</v>
      </c>
      <c r="B195" s="19" t="s">
        <v>20</v>
      </c>
      <c r="C195" s="18" t="str">
        <f>"王嘉敏"</f>
        <v>王嘉敏</v>
      </c>
      <c r="D195" s="18" t="str">
        <f t="shared" si="26"/>
        <v>女</v>
      </c>
      <c r="E195" s="18" t="str">
        <f>"2022010223"</f>
        <v>2022010223</v>
      </c>
      <c r="F195" s="18">
        <v>77.7</v>
      </c>
      <c r="G195" s="18">
        <v>27</v>
      </c>
      <c r="H195" s="18"/>
      <c r="I195" s="18" t="s">
        <v>12</v>
      </c>
    </row>
    <row r="196" s="1" customFormat="1" customHeight="1" spans="1:9">
      <c r="A196" s="18" t="str">
        <f t="shared" si="27"/>
        <v>A1G</v>
      </c>
      <c r="B196" s="19" t="s">
        <v>20</v>
      </c>
      <c r="C196" s="18" t="str">
        <f>"杨煦"</f>
        <v>杨煦</v>
      </c>
      <c r="D196" s="18" t="str">
        <f t="shared" si="26"/>
        <v>女</v>
      </c>
      <c r="E196" s="18" t="str">
        <f>"2022010220"</f>
        <v>2022010220</v>
      </c>
      <c r="F196" s="18">
        <v>77</v>
      </c>
      <c r="G196" s="22">
        <v>28</v>
      </c>
      <c r="H196" s="18"/>
      <c r="I196" s="18" t="s">
        <v>12</v>
      </c>
    </row>
    <row r="197" s="1" customFormat="1" customHeight="1" spans="1:9">
      <c r="A197" s="18" t="str">
        <f t="shared" si="27"/>
        <v>A1G</v>
      </c>
      <c r="B197" s="19" t="s">
        <v>20</v>
      </c>
      <c r="C197" s="18" t="str">
        <f>"曾丹彤"</f>
        <v>曾丹彤</v>
      </c>
      <c r="D197" s="18" t="str">
        <f t="shared" si="26"/>
        <v>女</v>
      </c>
      <c r="E197" s="18" t="str">
        <f>"2022010303"</f>
        <v>2022010303</v>
      </c>
      <c r="F197" s="18">
        <v>77</v>
      </c>
      <c r="G197" s="18">
        <v>28</v>
      </c>
      <c r="H197" s="18"/>
      <c r="I197" s="18" t="s">
        <v>12</v>
      </c>
    </row>
    <row r="198" s="1" customFormat="1" customHeight="1" spans="1:9">
      <c r="A198" s="18" t="str">
        <f t="shared" si="27"/>
        <v>A1G</v>
      </c>
      <c r="B198" s="19" t="s">
        <v>20</v>
      </c>
      <c r="C198" s="18" t="str">
        <f>"蒋锦芳"</f>
        <v>蒋锦芳</v>
      </c>
      <c r="D198" s="18" t="str">
        <f t="shared" si="26"/>
        <v>女</v>
      </c>
      <c r="E198" s="18" t="str">
        <f>"2022010332"</f>
        <v>2022010332</v>
      </c>
      <c r="F198" s="20">
        <v>72.5</v>
      </c>
      <c r="G198" s="22">
        <v>30</v>
      </c>
      <c r="H198" s="21"/>
      <c r="I198" s="18" t="s">
        <v>12</v>
      </c>
    </row>
    <row r="199" s="1" customFormat="1" customHeight="1" spans="1:9">
      <c r="A199" s="18" t="str">
        <f t="shared" si="27"/>
        <v>A1G</v>
      </c>
      <c r="B199" s="19" t="s">
        <v>20</v>
      </c>
      <c r="C199" s="18" t="str">
        <f>"熊妍彧"</f>
        <v>熊妍彧</v>
      </c>
      <c r="D199" s="18" t="str">
        <f t="shared" si="26"/>
        <v>女</v>
      </c>
      <c r="E199" s="18" t="str">
        <f>"2022010211"</f>
        <v>2022010211</v>
      </c>
      <c r="F199" s="18">
        <v>0</v>
      </c>
      <c r="G199" s="18">
        <v>31</v>
      </c>
      <c r="H199" s="18" t="s">
        <v>13</v>
      </c>
      <c r="I199" s="18" t="s">
        <v>12</v>
      </c>
    </row>
    <row r="200" s="1" customFormat="1" customHeight="1" spans="1:9">
      <c r="A200" s="18" t="str">
        <f t="shared" si="27"/>
        <v>A1G</v>
      </c>
      <c r="B200" s="19" t="s">
        <v>20</v>
      </c>
      <c r="C200" s="18" t="str">
        <f>"周雁冰"</f>
        <v>周雁冰</v>
      </c>
      <c r="D200" s="18" t="str">
        <f t="shared" si="26"/>
        <v>女</v>
      </c>
      <c r="E200" s="18" t="str">
        <f>"2022010214"</f>
        <v>2022010214</v>
      </c>
      <c r="F200" s="20">
        <v>0</v>
      </c>
      <c r="G200" s="22">
        <v>31</v>
      </c>
      <c r="H200" s="21" t="s">
        <v>13</v>
      </c>
      <c r="I200" s="18" t="s">
        <v>12</v>
      </c>
    </row>
    <row r="201" s="1" customFormat="1" customHeight="1" spans="1:9">
      <c r="A201" s="18" t="str">
        <f t="shared" si="27"/>
        <v>A1G</v>
      </c>
      <c r="B201" s="19" t="s">
        <v>20</v>
      </c>
      <c r="C201" s="18" t="str">
        <f>"陈慧兰"</f>
        <v>陈慧兰</v>
      </c>
      <c r="D201" s="18" t="str">
        <f t="shared" si="26"/>
        <v>女</v>
      </c>
      <c r="E201" s="18" t="str">
        <f>"2022010216"</f>
        <v>2022010216</v>
      </c>
      <c r="F201" s="18">
        <v>0</v>
      </c>
      <c r="G201" s="18">
        <v>31</v>
      </c>
      <c r="H201" s="18" t="s">
        <v>13</v>
      </c>
      <c r="I201" s="18" t="s">
        <v>12</v>
      </c>
    </row>
    <row r="202" s="1" customFormat="1" customHeight="1" spans="1:9">
      <c r="A202" s="18" t="str">
        <f t="shared" si="27"/>
        <v>A1G</v>
      </c>
      <c r="B202" s="19" t="s">
        <v>20</v>
      </c>
      <c r="C202" s="18" t="str">
        <f>"谭路霖"</f>
        <v>谭路霖</v>
      </c>
      <c r="D202" s="18" t="str">
        <f t="shared" si="26"/>
        <v>女</v>
      </c>
      <c r="E202" s="18" t="str">
        <f>"2022010217"</f>
        <v>2022010217</v>
      </c>
      <c r="F202" s="18">
        <v>0</v>
      </c>
      <c r="G202" s="22">
        <v>31</v>
      </c>
      <c r="H202" s="18" t="s">
        <v>13</v>
      </c>
      <c r="I202" s="18" t="s">
        <v>12</v>
      </c>
    </row>
    <row r="203" s="1" customFormat="1" customHeight="1" spans="1:9">
      <c r="A203" s="18" t="str">
        <f t="shared" si="27"/>
        <v>A1G</v>
      </c>
      <c r="B203" s="19" t="s">
        <v>20</v>
      </c>
      <c r="C203" s="18" t="str">
        <f>"欧阳伶萱"</f>
        <v>欧阳伶萱</v>
      </c>
      <c r="D203" s="18" t="str">
        <f t="shared" si="26"/>
        <v>女</v>
      </c>
      <c r="E203" s="18" t="str">
        <f>"2022010219"</f>
        <v>2022010219</v>
      </c>
      <c r="F203" s="22">
        <v>0</v>
      </c>
      <c r="G203" s="18">
        <v>31</v>
      </c>
      <c r="H203" s="23" t="s">
        <v>13</v>
      </c>
      <c r="I203" s="18" t="s">
        <v>12</v>
      </c>
    </row>
    <row r="204" s="1" customFormat="1" customHeight="1" spans="1:9">
      <c r="A204" s="18" t="str">
        <f t="shared" si="27"/>
        <v>A1G</v>
      </c>
      <c r="B204" s="19" t="s">
        <v>20</v>
      </c>
      <c r="C204" s="18" t="str">
        <f>"周佳影"</f>
        <v>周佳影</v>
      </c>
      <c r="D204" s="18" t="str">
        <f t="shared" si="26"/>
        <v>女</v>
      </c>
      <c r="E204" s="18" t="str">
        <f>"2022010221"</f>
        <v>2022010221</v>
      </c>
      <c r="F204" s="25">
        <v>0</v>
      </c>
      <c r="G204" s="22">
        <v>31</v>
      </c>
      <c r="H204" s="26" t="s">
        <v>13</v>
      </c>
      <c r="I204" s="18" t="s">
        <v>12</v>
      </c>
    </row>
    <row r="205" s="1" customFormat="1" customHeight="1" spans="1:9">
      <c r="A205" s="18" t="str">
        <f t="shared" si="27"/>
        <v>A1G</v>
      </c>
      <c r="B205" s="19" t="s">
        <v>20</v>
      </c>
      <c r="C205" s="18" t="str">
        <f>"戴娅玲"</f>
        <v>戴娅玲</v>
      </c>
      <c r="D205" s="18" t="str">
        <f t="shared" si="26"/>
        <v>女</v>
      </c>
      <c r="E205" s="18" t="str">
        <f>"2022010225"</f>
        <v>2022010225</v>
      </c>
      <c r="F205" s="18">
        <v>0</v>
      </c>
      <c r="G205" s="18">
        <v>31</v>
      </c>
      <c r="H205" s="18" t="s">
        <v>13</v>
      </c>
      <c r="I205" s="18" t="s">
        <v>12</v>
      </c>
    </row>
    <row r="206" s="1" customFormat="1" customHeight="1" spans="1:9">
      <c r="A206" s="18" t="str">
        <f t="shared" si="27"/>
        <v>A1G</v>
      </c>
      <c r="B206" s="19" t="s">
        <v>20</v>
      </c>
      <c r="C206" s="18" t="str">
        <f>"赵庆梅"</f>
        <v>赵庆梅</v>
      </c>
      <c r="D206" s="18" t="str">
        <f t="shared" si="26"/>
        <v>女</v>
      </c>
      <c r="E206" s="18" t="str">
        <f>"2022010226"</f>
        <v>2022010226</v>
      </c>
      <c r="F206" s="22">
        <v>0</v>
      </c>
      <c r="G206" s="22">
        <v>31</v>
      </c>
      <c r="H206" s="23" t="s">
        <v>13</v>
      </c>
      <c r="I206" s="18" t="s">
        <v>12</v>
      </c>
    </row>
    <row r="207" s="1" customFormat="1" customHeight="1" spans="1:9">
      <c r="A207" s="18" t="str">
        <f t="shared" si="27"/>
        <v>A1G</v>
      </c>
      <c r="B207" s="19" t="s">
        <v>20</v>
      </c>
      <c r="C207" s="18" t="str">
        <f>"刘晓倩"</f>
        <v>刘晓倩</v>
      </c>
      <c r="D207" s="18" t="str">
        <f t="shared" si="26"/>
        <v>女</v>
      </c>
      <c r="E207" s="18" t="str">
        <f>"2022010229"</f>
        <v>2022010229</v>
      </c>
      <c r="F207" s="24">
        <v>0</v>
      </c>
      <c r="G207" s="18">
        <v>31</v>
      </c>
      <c r="H207" s="18" t="s">
        <v>13</v>
      </c>
      <c r="I207" s="18" t="s">
        <v>12</v>
      </c>
    </row>
    <row r="208" s="1" customFormat="1" customHeight="1" spans="1:9">
      <c r="A208" s="18" t="str">
        <f t="shared" si="27"/>
        <v>A1G</v>
      </c>
      <c r="B208" s="19" t="s">
        <v>20</v>
      </c>
      <c r="C208" s="18" t="str">
        <f>"戴莉梅"</f>
        <v>戴莉梅</v>
      </c>
      <c r="D208" s="18" t="str">
        <f t="shared" si="26"/>
        <v>女</v>
      </c>
      <c r="E208" s="18" t="str">
        <f>"2022010302"</f>
        <v>2022010302</v>
      </c>
      <c r="F208" s="24">
        <v>0</v>
      </c>
      <c r="G208" s="22">
        <v>31</v>
      </c>
      <c r="H208" s="18" t="s">
        <v>13</v>
      </c>
      <c r="I208" s="18" t="s">
        <v>12</v>
      </c>
    </row>
    <row r="209" s="1" customFormat="1" customHeight="1" spans="1:9">
      <c r="A209" s="18" t="str">
        <f t="shared" si="27"/>
        <v>A1G</v>
      </c>
      <c r="B209" s="19" t="s">
        <v>20</v>
      </c>
      <c r="C209" s="18" t="str">
        <f>"欧昕瑶"</f>
        <v>欧昕瑶</v>
      </c>
      <c r="D209" s="18" t="str">
        <f t="shared" si="26"/>
        <v>女</v>
      </c>
      <c r="E209" s="18" t="str">
        <f>"2022010304"</f>
        <v>2022010304</v>
      </c>
      <c r="F209" s="24">
        <v>0</v>
      </c>
      <c r="G209" s="18">
        <v>31</v>
      </c>
      <c r="H209" s="18" t="s">
        <v>13</v>
      </c>
      <c r="I209" s="18" t="s">
        <v>12</v>
      </c>
    </row>
    <row r="210" s="1" customFormat="1" customHeight="1" spans="1:9">
      <c r="A210" s="18" t="str">
        <f t="shared" si="27"/>
        <v>A1G</v>
      </c>
      <c r="B210" s="19" t="s">
        <v>20</v>
      </c>
      <c r="C210" s="18" t="str">
        <f>"周洁"</f>
        <v>周洁</v>
      </c>
      <c r="D210" s="18" t="str">
        <f t="shared" si="26"/>
        <v>女</v>
      </c>
      <c r="E210" s="18" t="str">
        <f>"2022010305"</f>
        <v>2022010305</v>
      </c>
      <c r="F210" s="25">
        <v>0</v>
      </c>
      <c r="G210" s="22">
        <v>31</v>
      </c>
      <c r="H210" s="26" t="s">
        <v>13</v>
      </c>
      <c r="I210" s="18" t="s">
        <v>12</v>
      </c>
    </row>
    <row r="211" s="1" customFormat="1" customHeight="1" spans="1:9">
      <c r="A211" s="18" t="str">
        <f t="shared" si="27"/>
        <v>A1G</v>
      </c>
      <c r="B211" s="19" t="s">
        <v>20</v>
      </c>
      <c r="C211" s="18" t="str">
        <f>"李诗琪"</f>
        <v>李诗琪</v>
      </c>
      <c r="D211" s="18" t="str">
        <f t="shared" si="26"/>
        <v>女</v>
      </c>
      <c r="E211" s="18" t="str">
        <f>"2022010306"</f>
        <v>2022010306</v>
      </c>
      <c r="F211" s="18">
        <v>0</v>
      </c>
      <c r="G211" s="18">
        <v>31</v>
      </c>
      <c r="H211" s="18" t="s">
        <v>13</v>
      </c>
      <c r="I211" s="18" t="s">
        <v>12</v>
      </c>
    </row>
    <row r="212" s="1" customFormat="1" customHeight="1" spans="1:9">
      <c r="A212" s="18" t="str">
        <f t="shared" si="27"/>
        <v>A1G</v>
      </c>
      <c r="B212" s="19" t="s">
        <v>20</v>
      </c>
      <c r="C212" s="18" t="str">
        <f>"刘旭"</f>
        <v>刘旭</v>
      </c>
      <c r="D212" s="18" t="str">
        <f t="shared" si="26"/>
        <v>女</v>
      </c>
      <c r="E212" s="18" t="str">
        <f>"2022010307"</f>
        <v>2022010307</v>
      </c>
      <c r="F212" s="18">
        <v>0</v>
      </c>
      <c r="G212" s="22">
        <v>31</v>
      </c>
      <c r="H212" s="18" t="s">
        <v>13</v>
      </c>
      <c r="I212" s="18" t="s">
        <v>12</v>
      </c>
    </row>
    <row r="213" s="1" customFormat="1" customHeight="1" spans="1:9">
      <c r="A213" s="18" t="str">
        <f t="shared" si="27"/>
        <v>A1G</v>
      </c>
      <c r="B213" s="19" t="s">
        <v>20</v>
      </c>
      <c r="C213" s="18" t="str">
        <f>"邓杨宸"</f>
        <v>邓杨宸</v>
      </c>
      <c r="D213" s="18" t="str">
        <f>"男"</f>
        <v>男</v>
      </c>
      <c r="E213" s="18" t="str">
        <f>"2022010309"</f>
        <v>2022010309</v>
      </c>
      <c r="F213" s="18">
        <v>0</v>
      </c>
      <c r="G213" s="18">
        <v>31</v>
      </c>
      <c r="H213" s="18" t="s">
        <v>13</v>
      </c>
      <c r="I213" s="18" t="s">
        <v>12</v>
      </c>
    </row>
    <row r="214" s="1" customFormat="1" customHeight="1" spans="1:9">
      <c r="A214" s="18" t="str">
        <f t="shared" si="27"/>
        <v>A1G</v>
      </c>
      <c r="B214" s="19" t="s">
        <v>20</v>
      </c>
      <c r="C214" s="18" t="str">
        <f>"陈晴"</f>
        <v>陈晴</v>
      </c>
      <c r="D214" s="18" t="str">
        <f t="shared" ref="D214:D220" si="28">"女"</f>
        <v>女</v>
      </c>
      <c r="E214" s="18" t="str">
        <f>"2022010311"</f>
        <v>2022010311</v>
      </c>
      <c r="F214" s="18">
        <v>0</v>
      </c>
      <c r="G214" s="22">
        <v>31</v>
      </c>
      <c r="H214" s="18" t="s">
        <v>13</v>
      </c>
      <c r="I214" s="18" t="s">
        <v>12</v>
      </c>
    </row>
    <row r="215" s="1" customFormat="1" customHeight="1" spans="1:9">
      <c r="A215" s="18" t="str">
        <f t="shared" si="27"/>
        <v>A1G</v>
      </c>
      <c r="B215" s="19" t="s">
        <v>20</v>
      </c>
      <c r="C215" s="18" t="str">
        <f>"郑亚链"</f>
        <v>郑亚链</v>
      </c>
      <c r="D215" s="18" t="str">
        <f t="shared" si="28"/>
        <v>女</v>
      </c>
      <c r="E215" s="18" t="str">
        <f>"2022010312"</f>
        <v>2022010312</v>
      </c>
      <c r="F215" s="20">
        <v>0</v>
      </c>
      <c r="G215" s="18">
        <v>31</v>
      </c>
      <c r="H215" s="21" t="s">
        <v>13</v>
      </c>
      <c r="I215" s="18" t="s">
        <v>12</v>
      </c>
    </row>
    <row r="216" s="1" customFormat="1" customHeight="1" spans="1:9">
      <c r="A216" s="18" t="str">
        <f t="shared" si="27"/>
        <v>A1G</v>
      </c>
      <c r="B216" s="19" t="s">
        <v>20</v>
      </c>
      <c r="C216" s="18" t="str">
        <f>"李敏"</f>
        <v>李敏</v>
      </c>
      <c r="D216" s="18" t="str">
        <f t="shared" si="28"/>
        <v>女</v>
      </c>
      <c r="E216" s="18" t="str">
        <f>"2022010315"</f>
        <v>2022010315</v>
      </c>
      <c r="F216" s="18">
        <v>0</v>
      </c>
      <c r="G216" s="22">
        <v>31</v>
      </c>
      <c r="H216" s="18" t="s">
        <v>13</v>
      </c>
      <c r="I216" s="18" t="s">
        <v>12</v>
      </c>
    </row>
    <row r="217" s="1" customFormat="1" customHeight="1" spans="1:9">
      <c r="A217" s="18" t="str">
        <f t="shared" si="27"/>
        <v>A1G</v>
      </c>
      <c r="B217" s="19" t="s">
        <v>20</v>
      </c>
      <c r="C217" s="18" t="str">
        <f>"李紫怡"</f>
        <v>李紫怡</v>
      </c>
      <c r="D217" s="18" t="str">
        <f t="shared" si="28"/>
        <v>女</v>
      </c>
      <c r="E217" s="18" t="str">
        <f>"2022010321"</f>
        <v>2022010321</v>
      </c>
      <c r="F217" s="22">
        <v>0</v>
      </c>
      <c r="G217" s="18">
        <v>31</v>
      </c>
      <c r="H217" s="23" t="s">
        <v>13</v>
      </c>
      <c r="I217" s="18" t="s">
        <v>12</v>
      </c>
    </row>
    <row r="218" s="1" customFormat="1" customHeight="1" spans="1:9">
      <c r="A218" s="18" t="str">
        <f t="shared" si="27"/>
        <v>A1G</v>
      </c>
      <c r="B218" s="19" t="s">
        <v>20</v>
      </c>
      <c r="C218" s="18" t="str">
        <f>"曾巧艺"</f>
        <v>曾巧艺</v>
      </c>
      <c r="D218" s="18" t="str">
        <f t="shared" si="28"/>
        <v>女</v>
      </c>
      <c r="E218" s="18" t="str">
        <f>"2022010322"</f>
        <v>2022010322</v>
      </c>
      <c r="F218" s="25">
        <v>0</v>
      </c>
      <c r="G218" s="22">
        <v>31</v>
      </c>
      <c r="H218" s="26" t="s">
        <v>13</v>
      </c>
      <c r="I218" s="18" t="s">
        <v>12</v>
      </c>
    </row>
    <row r="219" s="1" customFormat="1" customHeight="1" spans="1:9">
      <c r="A219" s="18" t="str">
        <f t="shared" si="27"/>
        <v>A1G</v>
      </c>
      <c r="B219" s="19" t="s">
        <v>20</v>
      </c>
      <c r="C219" s="18" t="str">
        <f>"赵尹露"</f>
        <v>赵尹露</v>
      </c>
      <c r="D219" s="18" t="str">
        <f t="shared" si="28"/>
        <v>女</v>
      </c>
      <c r="E219" s="18" t="str">
        <f>"2022010323"</f>
        <v>2022010323</v>
      </c>
      <c r="F219" s="18">
        <v>0</v>
      </c>
      <c r="G219" s="18">
        <v>31</v>
      </c>
      <c r="H219" s="18" t="s">
        <v>13</v>
      </c>
      <c r="I219" s="18" t="s">
        <v>12</v>
      </c>
    </row>
    <row r="220" s="1" customFormat="1" customHeight="1" spans="1:9">
      <c r="A220" s="18" t="str">
        <f t="shared" si="27"/>
        <v>A1G</v>
      </c>
      <c r="B220" s="19" t="s">
        <v>20</v>
      </c>
      <c r="C220" s="18" t="str">
        <f>"秦洁"</f>
        <v>秦洁</v>
      </c>
      <c r="D220" s="18" t="str">
        <f t="shared" si="28"/>
        <v>女</v>
      </c>
      <c r="E220" s="18" t="str">
        <f>"2022010324"</f>
        <v>2022010324</v>
      </c>
      <c r="F220" s="22">
        <v>0</v>
      </c>
      <c r="G220" s="22">
        <v>31</v>
      </c>
      <c r="H220" s="23" t="s">
        <v>13</v>
      </c>
      <c r="I220" s="18" t="s">
        <v>12</v>
      </c>
    </row>
    <row r="221" s="1" customFormat="1" customHeight="1" spans="1:9">
      <c r="A221" s="18" t="str">
        <f t="shared" si="27"/>
        <v>A1G</v>
      </c>
      <c r="B221" s="19" t="s">
        <v>20</v>
      </c>
      <c r="C221" s="18" t="str">
        <f>"毛湘林"</f>
        <v>毛湘林</v>
      </c>
      <c r="D221" s="18" t="str">
        <f>"男"</f>
        <v>男</v>
      </c>
      <c r="E221" s="18" t="str">
        <f>"2022010326"</f>
        <v>2022010326</v>
      </c>
      <c r="F221" s="24">
        <v>0</v>
      </c>
      <c r="G221" s="18">
        <v>31</v>
      </c>
      <c r="H221" s="18" t="s">
        <v>13</v>
      </c>
      <c r="I221" s="18" t="s">
        <v>12</v>
      </c>
    </row>
    <row r="222" s="1" customFormat="1" customHeight="1" spans="1:9">
      <c r="A222" s="18" t="str">
        <f t="shared" si="27"/>
        <v>A1G</v>
      </c>
      <c r="B222" s="19" t="s">
        <v>20</v>
      </c>
      <c r="C222" s="18" t="str">
        <f>"沈俐君"</f>
        <v>沈俐君</v>
      </c>
      <c r="D222" s="18" t="str">
        <f t="shared" ref="D222:D225" si="29">"女"</f>
        <v>女</v>
      </c>
      <c r="E222" s="18" t="str">
        <f>"2022010329"</f>
        <v>2022010329</v>
      </c>
      <c r="F222" s="25">
        <v>0</v>
      </c>
      <c r="G222" s="22">
        <v>31</v>
      </c>
      <c r="H222" s="26" t="s">
        <v>13</v>
      </c>
      <c r="I222" s="18" t="s">
        <v>12</v>
      </c>
    </row>
    <row r="223" s="1" customFormat="1" customHeight="1" spans="1:9">
      <c r="A223" s="18" t="str">
        <f t="shared" si="27"/>
        <v>A1G</v>
      </c>
      <c r="B223" s="19" t="s">
        <v>20</v>
      </c>
      <c r="C223" s="18" t="str">
        <f>"付雨晴"</f>
        <v>付雨晴</v>
      </c>
      <c r="D223" s="18" t="str">
        <f t="shared" si="29"/>
        <v>女</v>
      </c>
      <c r="E223" s="18" t="str">
        <f>"2022010333"</f>
        <v>2022010333</v>
      </c>
      <c r="F223" s="18">
        <v>0</v>
      </c>
      <c r="G223" s="18">
        <v>31</v>
      </c>
      <c r="H223" s="18" t="s">
        <v>13</v>
      </c>
      <c r="I223" s="18" t="s">
        <v>12</v>
      </c>
    </row>
    <row r="224" s="1" customFormat="1" customHeight="1" spans="1:9">
      <c r="A224" s="18" t="str">
        <f t="shared" ref="A224:A254" si="30">"A2F"</f>
        <v>A2F</v>
      </c>
      <c r="B224" s="19" t="s">
        <v>21</v>
      </c>
      <c r="C224" s="18" t="str">
        <f>"唐博花"</f>
        <v>唐博花</v>
      </c>
      <c r="D224" s="18" t="str">
        <f t="shared" si="29"/>
        <v>女</v>
      </c>
      <c r="E224" s="18" t="str">
        <f>"2022010423"</f>
        <v>2022010423</v>
      </c>
      <c r="F224" s="18">
        <v>76</v>
      </c>
      <c r="G224" s="18">
        <v>1</v>
      </c>
      <c r="H224" s="18"/>
      <c r="I224" s="28" t="s">
        <v>11</v>
      </c>
    </row>
    <row r="225" s="1" customFormat="1" customHeight="1" spans="1:9">
      <c r="A225" s="18" t="str">
        <f t="shared" si="30"/>
        <v>A2F</v>
      </c>
      <c r="B225" s="19" t="s">
        <v>21</v>
      </c>
      <c r="C225" s="18" t="str">
        <f>"姜姣"</f>
        <v>姜姣</v>
      </c>
      <c r="D225" s="18" t="str">
        <f t="shared" si="29"/>
        <v>女</v>
      </c>
      <c r="E225" s="18" t="str">
        <f>"2022010428"</f>
        <v>2022010428</v>
      </c>
      <c r="F225" s="18">
        <v>69</v>
      </c>
      <c r="G225" s="18">
        <v>2</v>
      </c>
      <c r="H225" s="18"/>
      <c r="I225" s="28" t="s">
        <v>11</v>
      </c>
    </row>
    <row r="226" s="1" customFormat="1" customHeight="1" spans="1:9">
      <c r="A226" s="18" t="str">
        <f t="shared" si="30"/>
        <v>A2F</v>
      </c>
      <c r="B226" s="19" t="s">
        <v>21</v>
      </c>
      <c r="C226" s="18" t="str">
        <f>"唐平"</f>
        <v>唐平</v>
      </c>
      <c r="D226" s="18" t="str">
        <f t="shared" ref="D226:D231" si="31">"男"</f>
        <v>男</v>
      </c>
      <c r="E226" s="18" t="str">
        <f>"2022010409"</f>
        <v>2022010409</v>
      </c>
      <c r="F226" s="18">
        <v>63</v>
      </c>
      <c r="G226" s="18">
        <v>3</v>
      </c>
      <c r="H226" s="18"/>
      <c r="I226" s="18" t="s">
        <v>12</v>
      </c>
    </row>
    <row r="227" s="1" customFormat="1" customHeight="1" spans="1:9">
      <c r="A227" s="18" t="str">
        <f t="shared" si="30"/>
        <v>A2F</v>
      </c>
      <c r="B227" s="19" t="s">
        <v>21</v>
      </c>
      <c r="C227" s="18" t="str">
        <f>"龙园园"</f>
        <v>龙园园</v>
      </c>
      <c r="D227" s="18" t="str">
        <f t="shared" ref="D227:D232" si="32">"女"</f>
        <v>女</v>
      </c>
      <c r="E227" s="18" t="str">
        <f>"2022010411"</f>
        <v>2022010411</v>
      </c>
      <c r="F227" s="18">
        <v>63</v>
      </c>
      <c r="G227" s="18">
        <v>3</v>
      </c>
      <c r="H227" s="18"/>
      <c r="I227" s="18" t="s">
        <v>12</v>
      </c>
    </row>
    <row r="228" s="1" customFormat="1" customHeight="1" spans="1:9">
      <c r="A228" s="18" t="str">
        <f t="shared" si="30"/>
        <v>A2F</v>
      </c>
      <c r="B228" s="19" t="s">
        <v>21</v>
      </c>
      <c r="C228" s="18" t="str">
        <f>"陆剑雄"</f>
        <v>陆剑雄</v>
      </c>
      <c r="D228" s="18" t="str">
        <f t="shared" si="31"/>
        <v>男</v>
      </c>
      <c r="E228" s="18" t="str">
        <f>"2022010407"</f>
        <v>2022010407</v>
      </c>
      <c r="F228" s="18">
        <v>62</v>
      </c>
      <c r="G228" s="18">
        <v>5</v>
      </c>
      <c r="H228" s="18"/>
      <c r="I228" s="18" t="s">
        <v>12</v>
      </c>
    </row>
    <row r="229" s="1" customFormat="1" customHeight="1" spans="1:9">
      <c r="A229" s="18" t="str">
        <f t="shared" si="30"/>
        <v>A2F</v>
      </c>
      <c r="B229" s="19" t="s">
        <v>21</v>
      </c>
      <c r="C229" s="18" t="str">
        <f>"朱江典"</f>
        <v>朱江典</v>
      </c>
      <c r="D229" s="18" t="str">
        <f t="shared" si="32"/>
        <v>女</v>
      </c>
      <c r="E229" s="18" t="str">
        <f>"2022010419"</f>
        <v>2022010419</v>
      </c>
      <c r="F229" s="18">
        <v>62</v>
      </c>
      <c r="G229" s="18">
        <v>5</v>
      </c>
      <c r="H229" s="18"/>
      <c r="I229" s="18" t="s">
        <v>12</v>
      </c>
    </row>
    <row r="230" s="1" customFormat="1" customHeight="1" spans="1:9">
      <c r="A230" s="18" t="str">
        <f t="shared" si="30"/>
        <v>A2F</v>
      </c>
      <c r="B230" s="19" t="s">
        <v>21</v>
      </c>
      <c r="C230" s="18" t="str">
        <f>"罗浩"</f>
        <v>罗浩</v>
      </c>
      <c r="D230" s="18" t="str">
        <f t="shared" si="31"/>
        <v>男</v>
      </c>
      <c r="E230" s="18" t="str">
        <f>"2022010425"</f>
        <v>2022010425</v>
      </c>
      <c r="F230" s="18">
        <v>62</v>
      </c>
      <c r="G230" s="18">
        <v>5</v>
      </c>
      <c r="H230" s="18"/>
      <c r="I230" s="18" t="s">
        <v>12</v>
      </c>
    </row>
    <row r="231" s="1" customFormat="1" customHeight="1" spans="1:9">
      <c r="A231" s="18" t="str">
        <f t="shared" si="30"/>
        <v>A2F</v>
      </c>
      <c r="B231" s="19" t="s">
        <v>21</v>
      </c>
      <c r="C231" s="18" t="str">
        <f>"罗伟"</f>
        <v>罗伟</v>
      </c>
      <c r="D231" s="18" t="str">
        <f t="shared" si="31"/>
        <v>男</v>
      </c>
      <c r="E231" s="18" t="str">
        <f>"2022010401"</f>
        <v>2022010401</v>
      </c>
      <c r="F231" s="18">
        <v>61</v>
      </c>
      <c r="G231" s="18">
        <v>8</v>
      </c>
      <c r="H231" s="18"/>
      <c r="I231" s="18" t="s">
        <v>12</v>
      </c>
    </row>
    <row r="232" s="1" customFormat="1" customHeight="1" spans="1:9">
      <c r="A232" s="18" t="str">
        <f t="shared" si="30"/>
        <v>A2F</v>
      </c>
      <c r="B232" s="19" t="s">
        <v>21</v>
      </c>
      <c r="C232" s="18" t="str">
        <f>"宋芬"</f>
        <v>宋芬</v>
      </c>
      <c r="D232" s="18" t="str">
        <f t="shared" si="32"/>
        <v>女</v>
      </c>
      <c r="E232" s="18" t="str">
        <f>"2022010403"</f>
        <v>2022010403</v>
      </c>
      <c r="F232" s="18">
        <v>61</v>
      </c>
      <c r="G232" s="18">
        <v>8</v>
      </c>
      <c r="H232" s="18"/>
      <c r="I232" s="18" t="s">
        <v>12</v>
      </c>
    </row>
    <row r="233" s="1" customFormat="1" customHeight="1" spans="1:9">
      <c r="A233" s="18" t="str">
        <f t="shared" si="30"/>
        <v>A2F</v>
      </c>
      <c r="B233" s="19" t="s">
        <v>21</v>
      </c>
      <c r="C233" s="18" t="str">
        <f>"夏家平"</f>
        <v>夏家平</v>
      </c>
      <c r="D233" s="18" t="str">
        <f t="shared" ref="D233:D236" si="33">"男"</f>
        <v>男</v>
      </c>
      <c r="E233" s="18" t="str">
        <f>"2022010429"</f>
        <v>2022010429</v>
      </c>
      <c r="F233" s="18">
        <v>58</v>
      </c>
      <c r="G233" s="18">
        <v>10</v>
      </c>
      <c r="H233" s="18"/>
      <c r="I233" s="18" t="s">
        <v>12</v>
      </c>
    </row>
    <row r="234" s="1" customFormat="1" customHeight="1" spans="1:9">
      <c r="A234" s="18" t="str">
        <f t="shared" si="30"/>
        <v>A2F</v>
      </c>
      <c r="B234" s="19" t="s">
        <v>21</v>
      </c>
      <c r="C234" s="18" t="str">
        <f>"杨加强"</f>
        <v>杨加强</v>
      </c>
      <c r="D234" s="18" t="str">
        <f t="shared" si="33"/>
        <v>男</v>
      </c>
      <c r="E234" s="18" t="str">
        <f>"2022010422"</f>
        <v>2022010422</v>
      </c>
      <c r="F234" s="18">
        <v>57</v>
      </c>
      <c r="G234" s="18">
        <v>11</v>
      </c>
      <c r="H234" s="18"/>
      <c r="I234" s="18" t="s">
        <v>12</v>
      </c>
    </row>
    <row r="235" s="1" customFormat="1" customHeight="1" spans="1:9">
      <c r="A235" s="18" t="str">
        <f t="shared" si="30"/>
        <v>A2F</v>
      </c>
      <c r="B235" s="19" t="s">
        <v>21</v>
      </c>
      <c r="C235" s="18" t="str">
        <f>"王杉"</f>
        <v>王杉</v>
      </c>
      <c r="D235" s="18" t="str">
        <f t="shared" ref="D235:D239" si="34">"女"</f>
        <v>女</v>
      </c>
      <c r="E235" s="18" t="str">
        <f>"2022010430"</f>
        <v>2022010430</v>
      </c>
      <c r="F235" s="18">
        <v>56</v>
      </c>
      <c r="G235" s="18">
        <v>12</v>
      </c>
      <c r="H235" s="18"/>
      <c r="I235" s="18" t="s">
        <v>12</v>
      </c>
    </row>
    <row r="236" s="1" customFormat="1" customHeight="1" spans="1:9">
      <c r="A236" s="18" t="str">
        <f t="shared" si="30"/>
        <v>A2F</v>
      </c>
      <c r="B236" s="19" t="s">
        <v>21</v>
      </c>
      <c r="C236" s="18" t="str">
        <f>"何琛"</f>
        <v>何琛</v>
      </c>
      <c r="D236" s="18" t="str">
        <f t="shared" si="33"/>
        <v>男</v>
      </c>
      <c r="E236" s="18" t="str">
        <f>"2022010402"</f>
        <v>2022010402</v>
      </c>
      <c r="F236" s="18">
        <v>54</v>
      </c>
      <c r="G236" s="18">
        <v>13</v>
      </c>
      <c r="H236" s="18"/>
      <c r="I236" s="18" t="s">
        <v>12</v>
      </c>
    </row>
    <row r="237" s="1" customFormat="1" customHeight="1" spans="1:9">
      <c r="A237" s="18" t="str">
        <f t="shared" si="30"/>
        <v>A2F</v>
      </c>
      <c r="B237" s="19" t="s">
        <v>21</v>
      </c>
      <c r="C237" s="18" t="str">
        <f>"肖慧"</f>
        <v>肖慧</v>
      </c>
      <c r="D237" s="18" t="str">
        <f t="shared" si="34"/>
        <v>女</v>
      </c>
      <c r="E237" s="18" t="str">
        <f>"2022010412"</f>
        <v>2022010412</v>
      </c>
      <c r="F237" s="18">
        <v>52</v>
      </c>
      <c r="G237" s="18">
        <v>14</v>
      </c>
      <c r="H237" s="18"/>
      <c r="I237" s="18" t="s">
        <v>12</v>
      </c>
    </row>
    <row r="238" s="1" customFormat="1" customHeight="1" spans="1:9">
      <c r="A238" s="18" t="str">
        <f t="shared" si="30"/>
        <v>A2F</v>
      </c>
      <c r="B238" s="19" t="s">
        <v>21</v>
      </c>
      <c r="C238" s="18" t="str">
        <f>"马晶艳"</f>
        <v>马晶艳</v>
      </c>
      <c r="D238" s="18" t="str">
        <f t="shared" si="34"/>
        <v>女</v>
      </c>
      <c r="E238" s="18" t="str">
        <f>"2022010415"</f>
        <v>2022010415</v>
      </c>
      <c r="F238" s="18">
        <v>51</v>
      </c>
      <c r="G238" s="18">
        <v>15</v>
      </c>
      <c r="H238" s="18"/>
      <c r="I238" s="18" t="s">
        <v>12</v>
      </c>
    </row>
    <row r="239" s="1" customFormat="1" customHeight="1" spans="1:9">
      <c r="A239" s="18" t="str">
        <f t="shared" si="30"/>
        <v>A2F</v>
      </c>
      <c r="B239" s="19" t="s">
        <v>21</v>
      </c>
      <c r="C239" s="18" t="str">
        <f>"刘穆青"</f>
        <v>刘穆青</v>
      </c>
      <c r="D239" s="18" t="str">
        <f t="shared" si="34"/>
        <v>女</v>
      </c>
      <c r="E239" s="18" t="str">
        <f>"2022010431"</f>
        <v>2022010431</v>
      </c>
      <c r="F239" s="18">
        <v>51</v>
      </c>
      <c r="G239" s="18">
        <v>15</v>
      </c>
      <c r="H239" s="18"/>
      <c r="I239" s="18" t="s">
        <v>12</v>
      </c>
    </row>
    <row r="240" s="1" customFormat="1" customHeight="1" spans="1:9">
      <c r="A240" s="18" t="str">
        <f t="shared" si="30"/>
        <v>A2F</v>
      </c>
      <c r="B240" s="19" t="s">
        <v>21</v>
      </c>
      <c r="C240" s="18" t="str">
        <f>"麻伍松"</f>
        <v>麻伍松</v>
      </c>
      <c r="D240" s="18" t="str">
        <f>"男"</f>
        <v>男</v>
      </c>
      <c r="E240" s="18" t="str">
        <f>"2022010404"</f>
        <v>2022010404</v>
      </c>
      <c r="F240" s="18">
        <v>50</v>
      </c>
      <c r="G240" s="18">
        <v>17</v>
      </c>
      <c r="H240" s="18"/>
      <c r="I240" s="18" t="s">
        <v>12</v>
      </c>
    </row>
    <row r="241" s="1" customFormat="1" customHeight="1" spans="1:9">
      <c r="A241" s="18" t="str">
        <f t="shared" si="30"/>
        <v>A2F</v>
      </c>
      <c r="B241" s="19" t="s">
        <v>21</v>
      </c>
      <c r="C241" s="18" t="str">
        <f>"刘莹"</f>
        <v>刘莹</v>
      </c>
      <c r="D241" s="18" t="str">
        <f t="shared" ref="D241:D247" si="35">"女"</f>
        <v>女</v>
      </c>
      <c r="E241" s="18" t="str">
        <f>"2022010424"</f>
        <v>2022010424</v>
      </c>
      <c r="F241" s="18">
        <v>50</v>
      </c>
      <c r="G241" s="18">
        <v>17</v>
      </c>
      <c r="H241" s="18"/>
      <c r="I241" s="18" t="s">
        <v>12</v>
      </c>
    </row>
    <row r="242" s="1" customFormat="1" customHeight="1" spans="1:9">
      <c r="A242" s="18" t="str">
        <f t="shared" si="30"/>
        <v>A2F</v>
      </c>
      <c r="B242" s="19" t="s">
        <v>21</v>
      </c>
      <c r="C242" s="18" t="str">
        <f>"刘森盛"</f>
        <v>刘森盛</v>
      </c>
      <c r="D242" s="18" t="str">
        <f t="shared" si="35"/>
        <v>女</v>
      </c>
      <c r="E242" s="18" t="str">
        <f>"2022010427"</f>
        <v>2022010427</v>
      </c>
      <c r="F242" s="18">
        <v>46</v>
      </c>
      <c r="G242" s="18">
        <v>19</v>
      </c>
      <c r="H242" s="18"/>
      <c r="I242" s="18" t="s">
        <v>12</v>
      </c>
    </row>
    <row r="243" s="1" customFormat="1" customHeight="1" spans="1:9">
      <c r="A243" s="18" t="str">
        <f t="shared" si="30"/>
        <v>A2F</v>
      </c>
      <c r="B243" s="19" t="s">
        <v>21</v>
      </c>
      <c r="C243" s="18" t="str">
        <f>"郑月华"</f>
        <v>郑月华</v>
      </c>
      <c r="D243" s="18" t="str">
        <f t="shared" si="35"/>
        <v>女</v>
      </c>
      <c r="E243" s="18" t="str">
        <f>"2022010420"</f>
        <v>2022010420</v>
      </c>
      <c r="F243" s="18">
        <v>44</v>
      </c>
      <c r="G243" s="18">
        <v>20</v>
      </c>
      <c r="H243" s="18"/>
      <c r="I243" s="18" t="s">
        <v>12</v>
      </c>
    </row>
    <row r="244" s="1" customFormat="1" customHeight="1" spans="1:9">
      <c r="A244" s="18" t="str">
        <f t="shared" si="30"/>
        <v>A2F</v>
      </c>
      <c r="B244" s="19" t="s">
        <v>21</v>
      </c>
      <c r="C244" s="18" t="str">
        <f>"潘黎"</f>
        <v>潘黎</v>
      </c>
      <c r="D244" s="18" t="str">
        <f t="shared" si="35"/>
        <v>女</v>
      </c>
      <c r="E244" s="18" t="str">
        <f>"2022010413"</f>
        <v>2022010413</v>
      </c>
      <c r="F244" s="18">
        <v>43</v>
      </c>
      <c r="G244" s="18">
        <v>21</v>
      </c>
      <c r="H244" s="18"/>
      <c r="I244" s="18" t="s">
        <v>12</v>
      </c>
    </row>
    <row r="245" s="1" customFormat="1" customHeight="1" spans="1:9">
      <c r="A245" s="18" t="str">
        <f t="shared" si="30"/>
        <v>A2F</v>
      </c>
      <c r="B245" s="19" t="s">
        <v>21</v>
      </c>
      <c r="C245" s="18" t="str">
        <f>"刘进玲"</f>
        <v>刘进玲</v>
      </c>
      <c r="D245" s="18" t="str">
        <f t="shared" si="35"/>
        <v>女</v>
      </c>
      <c r="E245" s="18" t="str">
        <f>"2022010406"</f>
        <v>2022010406</v>
      </c>
      <c r="F245" s="18">
        <v>40</v>
      </c>
      <c r="G245" s="18">
        <v>22</v>
      </c>
      <c r="H245" s="18"/>
      <c r="I245" s="18" t="s">
        <v>12</v>
      </c>
    </row>
    <row r="246" s="1" customFormat="1" customHeight="1" spans="1:9">
      <c r="A246" s="18" t="str">
        <f t="shared" si="30"/>
        <v>A2F</v>
      </c>
      <c r="B246" s="19" t="s">
        <v>21</v>
      </c>
      <c r="C246" s="18" t="str">
        <f>"杨寰"</f>
        <v>杨寰</v>
      </c>
      <c r="D246" s="18" t="str">
        <f t="shared" si="35"/>
        <v>女</v>
      </c>
      <c r="E246" s="18" t="str">
        <f>"2022010426"</f>
        <v>2022010426</v>
      </c>
      <c r="F246" s="18">
        <v>36</v>
      </c>
      <c r="G246" s="18">
        <v>23</v>
      </c>
      <c r="H246" s="18"/>
      <c r="I246" s="18" t="s">
        <v>12</v>
      </c>
    </row>
    <row r="247" s="1" customFormat="1" customHeight="1" spans="1:9">
      <c r="A247" s="18" t="str">
        <f t="shared" si="30"/>
        <v>A2F</v>
      </c>
      <c r="B247" s="19" t="s">
        <v>21</v>
      </c>
      <c r="C247" s="18" t="str">
        <f>"曾曦"</f>
        <v>曾曦</v>
      </c>
      <c r="D247" s="18" t="str">
        <f t="shared" si="35"/>
        <v>女</v>
      </c>
      <c r="E247" s="18" t="str">
        <f>"2022010405"</f>
        <v>2022010405</v>
      </c>
      <c r="F247" s="18">
        <v>0</v>
      </c>
      <c r="G247" s="18">
        <v>24</v>
      </c>
      <c r="H247" s="18" t="s">
        <v>13</v>
      </c>
      <c r="I247" s="18" t="s">
        <v>12</v>
      </c>
    </row>
    <row r="248" s="1" customFormat="1" customHeight="1" spans="1:9">
      <c r="A248" s="18" t="str">
        <f t="shared" si="30"/>
        <v>A2F</v>
      </c>
      <c r="B248" s="19" t="s">
        <v>21</v>
      </c>
      <c r="C248" s="18" t="str">
        <f>"刘时旭"</f>
        <v>刘时旭</v>
      </c>
      <c r="D248" s="18" t="str">
        <f t="shared" ref="D248:D251" si="36">"男"</f>
        <v>男</v>
      </c>
      <c r="E248" s="18" t="str">
        <f>"2022010408"</f>
        <v>2022010408</v>
      </c>
      <c r="F248" s="18">
        <v>0</v>
      </c>
      <c r="G248" s="18">
        <v>24</v>
      </c>
      <c r="H248" s="18" t="s">
        <v>13</v>
      </c>
      <c r="I248" s="18" t="s">
        <v>12</v>
      </c>
    </row>
    <row r="249" s="1" customFormat="1" customHeight="1" spans="1:9">
      <c r="A249" s="18" t="str">
        <f t="shared" si="30"/>
        <v>A2F</v>
      </c>
      <c r="B249" s="19" t="s">
        <v>21</v>
      </c>
      <c r="C249" s="18" t="str">
        <f>"陈靖"</f>
        <v>陈靖</v>
      </c>
      <c r="D249" s="18" t="str">
        <f t="shared" si="36"/>
        <v>男</v>
      </c>
      <c r="E249" s="18" t="str">
        <f>"2022010410"</f>
        <v>2022010410</v>
      </c>
      <c r="F249" s="18">
        <v>0</v>
      </c>
      <c r="G249" s="18">
        <v>24</v>
      </c>
      <c r="H249" s="18" t="s">
        <v>13</v>
      </c>
      <c r="I249" s="18" t="s">
        <v>12</v>
      </c>
    </row>
    <row r="250" s="1" customFormat="1" customHeight="1" spans="1:9">
      <c r="A250" s="18" t="str">
        <f t="shared" si="30"/>
        <v>A2F</v>
      </c>
      <c r="B250" s="19" t="s">
        <v>21</v>
      </c>
      <c r="C250" s="18" t="str">
        <f>"何慧玲"</f>
        <v>何慧玲</v>
      </c>
      <c r="D250" s="18" t="str">
        <f t="shared" ref="D250:D260" si="37">"女"</f>
        <v>女</v>
      </c>
      <c r="E250" s="18" t="str">
        <f>"2022010414"</f>
        <v>2022010414</v>
      </c>
      <c r="F250" s="18">
        <v>0</v>
      </c>
      <c r="G250" s="18">
        <v>24</v>
      </c>
      <c r="H250" s="18" t="s">
        <v>13</v>
      </c>
      <c r="I250" s="18" t="s">
        <v>12</v>
      </c>
    </row>
    <row r="251" s="1" customFormat="1" customHeight="1" spans="1:9">
      <c r="A251" s="18" t="str">
        <f t="shared" si="30"/>
        <v>A2F</v>
      </c>
      <c r="B251" s="19" t="s">
        <v>21</v>
      </c>
      <c r="C251" s="18" t="str">
        <f>"杨峰"</f>
        <v>杨峰</v>
      </c>
      <c r="D251" s="18" t="str">
        <f t="shared" si="36"/>
        <v>男</v>
      </c>
      <c r="E251" s="18" t="str">
        <f>"2022010416"</f>
        <v>2022010416</v>
      </c>
      <c r="F251" s="18">
        <v>0</v>
      </c>
      <c r="G251" s="18">
        <v>24</v>
      </c>
      <c r="H251" s="18" t="s">
        <v>13</v>
      </c>
      <c r="I251" s="18" t="s">
        <v>12</v>
      </c>
    </row>
    <row r="252" s="1" customFormat="1" customHeight="1" spans="1:9">
      <c r="A252" s="18" t="str">
        <f t="shared" si="30"/>
        <v>A2F</v>
      </c>
      <c r="B252" s="19" t="s">
        <v>21</v>
      </c>
      <c r="C252" s="18" t="str">
        <f>"曾紫红"</f>
        <v>曾紫红</v>
      </c>
      <c r="D252" s="18" t="str">
        <f t="shared" si="37"/>
        <v>女</v>
      </c>
      <c r="E252" s="18" t="str">
        <f>"2022010417"</f>
        <v>2022010417</v>
      </c>
      <c r="F252" s="18">
        <v>0</v>
      </c>
      <c r="G252" s="18">
        <v>24</v>
      </c>
      <c r="H252" s="18" t="s">
        <v>13</v>
      </c>
      <c r="I252" s="18" t="s">
        <v>12</v>
      </c>
    </row>
    <row r="253" s="1" customFormat="1" customHeight="1" spans="1:9">
      <c r="A253" s="18" t="str">
        <f t="shared" si="30"/>
        <v>A2F</v>
      </c>
      <c r="B253" s="19" t="s">
        <v>21</v>
      </c>
      <c r="C253" s="18" t="str">
        <f>"罗湘琼"</f>
        <v>罗湘琼</v>
      </c>
      <c r="D253" s="18" t="str">
        <f t="shared" si="37"/>
        <v>女</v>
      </c>
      <c r="E253" s="18" t="str">
        <f>"2022010418"</f>
        <v>2022010418</v>
      </c>
      <c r="F253" s="18">
        <v>0</v>
      </c>
      <c r="G253" s="18">
        <v>24</v>
      </c>
      <c r="H253" s="18" t="s">
        <v>13</v>
      </c>
      <c r="I253" s="18" t="s">
        <v>12</v>
      </c>
    </row>
    <row r="254" s="1" customFormat="1" customHeight="1" spans="1:9">
      <c r="A254" s="18" t="str">
        <f t="shared" si="30"/>
        <v>A2F</v>
      </c>
      <c r="B254" s="19" t="s">
        <v>21</v>
      </c>
      <c r="C254" s="18" t="str">
        <f>"王艳兰"</f>
        <v>王艳兰</v>
      </c>
      <c r="D254" s="18" t="str">
        <f t="shared" si="37"/>
        <v>女</v>
      </c>
      <c r="E254" s="18" t="str">
        <f>"2022010421"</f>
        <v>2022010421</v>
      </c>
      <c r="F254" s="18">
        <v>0</v>
      </c>
      <c r="G254" s="18">
        <v>24</v>
      </c>
      <c r="H254" s="18" t="s">
        <v>13</v>
      </c>
      <c r="I254" s="18" t="s">
        <v>12</v>
      </c>
    </row>
    <row r="255" s="1" customFormat="1" customHeight="1" spans="1:9">
      <c r="A255" s="18" t="str">
        <f t="shared" ref="A255:A281" si="38">"A2G"</f>
        <v>A2G</v>
      </c>
      <c r="B255" s="19" t="s">
        <v>22</v>
      </c>
      <c r="C255" s="18" t="str">
        <f>"刘林"</f>
        <v>刘林</v>
      </c>
      <c r="D255" s="18" t="str">
        <f t="shared" si="37"/>
        <v>女</v>
      </c>
      <c r="E255" s="18" t="str">
        <f>"2022010503"</f>
        <v>2022010503</v>
      </c>
      <c r="F255" s="18">
        <v>70</v>
      </c>
      <c r="G255" s="18">
        <v>1</v>
      </c>
      <c r="H255" s="18"/>
      <c r="I255" s="28" t="s">
        <v>11</v>
      </c>
    </row>
    <row r="256" s="1" customFormat="1" customHeight="1" spans="1:9">
      <c r="A256" s="18" t="str">
        <f t="shared" si="38"/>
        <v>A2G</v>
      </c>
      <c r="B256" s="19" t="s">
        <v>22</v>
      </c>
      <c r="C256" s="18" t="str">
        <f>"陈慧娟"</f>
        <v>陈慧娟</v>
      </c>
      <c r="D256" s="18" t="str">
        <f t="shared" si="37"/>
        <v>女</v>
      </c>
      <c r="E256" s="18" t="str">
        <f>"2022010514"</f>
        <v>2022010514</v>
      </c>
      <c r="F256" s="22">
        <v>61</v>
      </c>
      <c r="G256" s="22">
        <v>2</v>
      </c>
      <c r="H256" s="23"/>
      <c r="I256" s="28" t="s">
        <v>11</v>
      </c>
    </row>
    <row r="257" s="1" customFormat="1" customHeight="1" spans="1:9">
      <c r="A257" s="18" t="str">
        <f t="shared" si="38"/>
        <v>A2G</v>
      </c>
      <c r="B257" s="19" t="s">
        <v>22</v>
      </c>
      <c r="C257" s="18" t="str">
        <f>"欧姣玉"</f>
        <v>欧姣玉</v>
      </c>
      <c r="D257" s="18" t="str">
        <f t="shared" si="37"/>
        <v>女</v>
      </c>
      <c r="E257" s="18" t="str">
        <f>"2022010508"</f>
        <v>2022010508</v>
      </c>
      <c r="F257" s="24">
        <v>59</v>
      </c>
      <c r="G257" s="18">
        <v>3</v>
      </c>
      <c r="H257" s="18"/>
      <c r="I257" s="18" t="s">
        <v>12</v>
      </c>
    </row>
    <row r="258" s="1" customFormat="1" customHeight="1" spans="1:9">
      <c r="A258" s="18" t="str">
        <f t="shared" si="38"/>
        <v>A2G</v>
      </c>
      <c r="B258" s="19" t="s">
        <v>22</v>
      </c>
      <c r="C258" s="18" t="str">
        <f>"李婷"</f>
        <v>李婷</v>
      </c>
      <c r="D258" s="18" t="str">
        <f t="shared" si="37"/>
        <v>女</v>
      </c>
      <c r="E258" s="18" t="str">
        <f>"2022010511"</f>
        <v>2022010511</v>
      </c>
      <c r="F258" s="25">
        <v>58</v>
      </c>
      <c r="G258" s="22">
        <v>4</v>
      </c>
      <c r="H258" s="26"/>
      <c r="I258" s="18" t="s">
        <v>12</v>
      </c>
    </row>
    <row r="259" s="1" customFormat="1" customHeight="1" spans="1:9">
      <c r="A259" s="18" t="str">
        <f t="shared" si="38"/>
        <v>A2G</v>
      </c>
      <c r="B259" s="19" t="s">
        <v>22</v>
      </c>
      <c r="C259" s="18" t="str">
        <f>"胡优"</f>
        <v>胡优</v>
      </c>
      <c r="D259" s="18" t="str">
        <f t="shared" si="37"/>
        <v>女</v>
      </c>
      <c r="E259" s="18" t="str">
        <f>"2022010517"</f>
        <v>2022010517</v>
      </c>
      <c r="F259" s="18">
        <v>58</v>
      </c>
      <c r="G259" s="18">
        <v>4</v>
      </c>
      <c r="H259" s="18"/>
      <c r="I259" s="18" t="s">
        <v>12</v>
      </c>
    </row>
    <row r="260" s="1" customFormat="1" customHeight="1" spans="1:9">
      <c r="A260" s="18" t="str">
        <f t="shared" si="38"/>
        <v>A2G</v>
      </c>
      <c r="B260" s="19" t="s">
        <v>22</v>
      </c>
      <c r="C260" s="18" t="str">
        <f>"李慧"</f>
        <v>李慧</v>
      </c>
      <c r="D260" s="18" t="str">
        <f t="shared" si="37"/>
        <v>女</v>
      </c>
      <c r="E260" s="18" t="str">
        <f>"2022010526"</f>
        <v>2022010526</v>
      </c>
      <c r="F260" s="22">
        <v>58</v>
      </c>
      <c r="G260" s="22">
        <v>4</v>
      </c>
      <c r="H260" s="23"/>
      <c r="I260" s="18" t="s">
        <v>12</v>
      </c>
    </row>
    <row r="261" s="1" customFormat="1" customHeight="1" spans="1:9">
      <c r="A261" s="18" t="str">
        <f t="shared" si="38"/>
        <v>A2G</v>
      </c>
      <c r="B261" s="19" t="s">
        <v>22</v>
      </c>
      <c r="C261" s="18" t="str">
        <f>"夏志刚"</f>
        <v>夏志刚</v>
      </c>
      <c r="D261" s="18" t="str">
        <f>"男"</f>
        <v>男</v>
      </c>
      <c r="E261" s="18" t="str">
        <f>"2022010507"</f>
        <v>2022010507</v>
      </c>
      <c r="F261" s="24">
        <v>57</v>
      </c>
      <c r="G261" s="18">
        <v>7</v>
      </c>
      <c r="H261" s="18"/>
      <c r="I261" s="18" t="s">
        <v>12</v>
      </c>
    </row>
    <row r="262" s="1" customFormat="1" customHeight="1" spans="1:9">
      <c r="A262" s="18" t="str">
        <f t="shared" si="38"/>
        <v>A2G</v>
      </c>
      <c r="B262" s="19" t="s">
        <v>22</v>
      </c>
      <c r="C262" s="18" t="str">
        <f>"李紫嫣"</f>
        <v>李紫嫣</v>
      </c>
      <c r="D262" s="18" t="str">
        <f t="shared" ref="D262:D267" si="39">"女"</f>
        <v>女</v>
      </c>
      <c r="E262" s="18" t="str">
        <f>"2022010516"</f>
        <v>2022010516</v>
      </c>
      <c r="F262" s="25">
        <v>57</v>
      </c>
      <c r="G262" s="22">
        <v>7</v>
      </c>
      <c r="H262" s="26"/>
      <c r="I262" s="18" t="s">
        <v>12</v>
      </c>
    </row>
    <row r="263" s="1" customFormat="1" customHeight="1" spans="1:9">
      <c r="A263" s="18" t="str">
        <f t="shared" si="38"/>
        <v>A2G</v>
      </c>
      <c r="B263" s="19" t="s">
        <v>22</v>
      </c>
      <c r="C263" s="18" t="str">
        <f>"周柳霞"</f>
        <v>周柳霞</v>
      </c>
      <c r="D263" s="18" t="str">
        <f t="shared" si="39"/>
        <v>女</v>
      </c>
      <c r="E263" s="18" t="str">
        <f>"2022010525"</f>
        <v>2022010525</v>
      </c>
      <c r="F263" s="18">
        <v>56</v>
      </c>
      <c r="G263" s="18">
        <v>9</v>
      </c>
      <c r="H263" s="18"/>
      <c r="I263" s="18" t="s">
        <v>12</v>
      </c>
    </row>
    <row r="264" s="1" customFormat="1" customHeight="1" spans="1:9">
      <c r="A264" s="18" t="str">
        <f t="shared" si="38"/>
        <v>A2G</v>
      </c>
      <c r="B264" s="19" t="s">
        <v>22</v>
      </c>
      <c r="C264" s="18" t="str">
        <f>"杨又"</f>
        <v>杨又</v>
      </c>
      <c r="D264" s="18" t="str">
        <f t="shared" si="39"/>
        <v>女</v>
      </c>
      <c r="E264" s="18" t="str">
        <f>"2022010504"</f>
        <v>2022010504</v>
      </c>
      <c r="F264" s="18">
        <v>55</v>
      </c>
      <c r="G264" s="22">
        <v>10</v>
      </c>
      <c r="H264" s="18"/>
      <c r="I264" s="18" t="s">
        <v>12</v>
      </c>
    </row>
    <row r="265" s="1" customFormat="1" customHeight="1" spans="1:9">
      <c r="A265" s="18" t="str">
        <f t="shared" si="38"/>
        <v>A2G</v>
      </c>
      <c r="B265" s="19" t="s">
        <v>22</v>
      </c>
      <c r="C265" s="18" t="str">
        <f>"邓巧玲"</f>
        <v>邓巧玲</v>
      </c>
      <c r="D265" s="18" t="str">
        <f t="shared" si="39"/>
        <v>女</v>
      </c>
      <c r="E265" s="18" t="str">
        <f>"2022010515"</f>
        <v>2022010515</v>
      </c>
      <c r="F265" s="20">
        <v>53</v>
      </c>
      <c r="G265" s="18">
        <v>11</v>
      </c>
      <c r="H265" s="21"/>
      <c r="I265" s="18" t="s">
        <v>12</v>
      </c>
    </row>
    <row r="266" s="1" customFormat="1" customHeight="1" spans="1:9">
      <c r="A266" s="18" t="str">
        <f t="shared" si="38"/>
        <v>A2G</v>
      </c>
      <c r="B266" s="19" t="s">
        <v>22</v>
      </c>
      <c r="C266" s="18" t="str">
        <f>"邓丽萍"</f>
        <v>邓丽萍</v>
      </c>
      <c r="D266" s="18" t="str">
        <f t="shared" si="39"/>
        <v>女</v>
      </c>
      <c r="E266" s="18" t="str">
        <f>"2022010519"</f>
        <v>2022010519</v>
      </c>
      <c r="F266" s="18">
        <v>53</v>
      </c>
      <c r="G266" s="22">
        <v>11</v>
      </c>
      <c r="H266" s="18"/>
      <c r="I266" s="18" t="s">
        <v>12</v>
      </c>
    </row>
    <row r="267" s="1" customFormat="1" customHeight="1" spans="1:9">
      <c r="A267" s="18" t="str">
        <f t="shared" si="38"/>
        <v>A2G</v>
      </c>
      <c r="B267" s="19" t="s">
        <v>22</v>
      </c>
      <c r="C267" s="18" t="str">
        <f>"龚立琪"</f>
        <v>龚立琪</v>
      </c>
      <c r="D267" s="18" t="str">
        <f t="shared" si="39"/>
        <v>女</v>
      </c>
      <c r="E267" s="18" t="str">
        <f>"2022010520"</f>
        <v>2022010520</v>
      </c>
      <c r="F267" s="18">
        <v>53</v>
      </c>
      <c r="G267" s="18">
        <v>11</v>
      </c>
      <c r="H267" s="18"/>
      <c r="I267" s="18" t="s">
        <v>12</v>
      </c>
    </row>
    <row r="268" s="1" customFormat="1" customHeight="1" spans="1:9">
      <c r="A268" s="18" t="str">
        <f t="shared" si="38"/>
        <v>A2G</v>
      </c>
      <c r="B268" s="19" t="s">
        <v>22</v>
      </c>
      <c r="C268" s="18" t="str">
        <f>"唐凯"</f>
        <v>唐凯</v>
      </c>
      <c r="D268" s="18" t="str">
        <f>"男"</f>
        <v>男</v>
      </c>
      <c r="E268" s="18" t="str">
        <f>"2022010506"</f>
        <v>2022010506</v>
      </c>
      <c r="F268" s="22">
        <v>52</v>
      </c>
      <c r="G268" s="22">
        <v>14</v>
      </c>
      <c r="H268" s="23"/>
      <c r="I268" s="18" t="s">
        <v>12</v>
      </c>
    </row>
    <row r="269" s="1" customFormat="1" customHeight="1" spans="1:9">
      <c r="A269" s="18" t="str">
        <f t="shared" si="38"/>
        <v>A2G</v>
      </c>
      <c r="B269" s="19" t="s">
        <v>22</v>
      </c>
      <c r="C269" s="18" t="str">
        <f>"彭小戥"</f>
        <v>彭小戥</v>
      </c>
      <c r="D269" s="18" t="str">
        <f t="shared" ref="D269:D278" si="40">"女"</f>
        <v>女</v>
      </c>
      <c r="E269" s="18" t="str">
        <f>"2022010527"</f>
        <v>2022010527</v>
      </c>
      <c r="F269" s="24">
        <v>48</v>
      </c>
      <c r="G269" s="18">
        <v>15</v>
      </c>
      <c r="H269" s="18"/>
      <c r="I269" s="18" t="s">
        <v>12</v>
      </c>
    </row>
    <row r="270" s="1" customFormat="1" customHeight="1" spans="1:9">
      <c r="A270" s="18" t="str">
        <f t="shared" si="38"/>
        <v>A2G</v>
      </c>
      <c r="B270" s="19" t="s">
        <v>22</v>
      </c>
      <c r="C270" s="18" t="str">
        <f>"王丽君"</f>
        <v>王丽君</v>
      </c>
      <c r="D270" s="18" t="str">
        <f t="shared" si="40"/>
        <v>女</v>
      </c>
      <c r="E270" s="18" t="str">
        <f>"2022010502"</f>
        <v>2022010502</v>
      </c>
      <c r="F270" s="24">
        <v>47</v>
      </c>
      <c r="G270" s="22">
        <v>16</v>
      </c>
      <c r="H270" s="18"/>
      <c r="I270" s="18" t="s">
        <v>12</v>
      </c>
    </row>
    <row r="271" s="1" customFormat="1" customHeight="1" spans="1:9">
      <c r="A271" s="18" t="str">
        <f t="shared" si="38"/>
        <v>A2G</v>
      </c>
      <c r="B271" s="19" t="s">
        <v>22</v>
      </c>
      <c r="C271" s="18" t="str">
        <f>"罗婕"</f>
        <v>罗婕</v>
      </c>
      <c r="D271" s="18" t="str">
        <f t="shared" si="40"/>
        <v>女</v>
      </c>
      <c r="E271" s="18" t="str">
        <f>"2022010518"</f>
        <v>2022010518</v>
      </c>
      <c r="F271" s="24">
        <v>46</v>
      </c>
      <c r="G271" s="18">
        <v>17</v>
      </c>
      <c r="H271" s="18"/>
      <c r="I271" s="18" t="s">
        <v>12</v>
      </c>
    </row>
    <row r="272" s="1" customFormat="1" customHeight="1" spans="1:9">
      <c r="A272" s="18" t="str">
        <f t="shared" si="38"/>
        <v>A2G</v>
      </c>
      <c r="B272" s="19" t="s">
        <v>22</v>
      </c>
      <c r="C272" s="18" t="str">
        <f>"杨培群"</f>
        <v>杨培群</v>
      </c>
      <c r="D272" s="18" t="str">
        <f t="shared" si="40"/>
        <v>女</v>
      </c>
      <c r="E272" s="18" t="str">
        <f>"2022010521"</f>
        <v>2022010521</v>
      </c>
      <c r="F272" s="24">
        <v>46</v>
      </c>
      <c r="G272" s="22">
        <v>17</v>
      </c>
      <c r="H272" s="18"/>
      <c r="I272" s="18" t="s">
        <v>12</v>
      </c>
    </row>
    <row r="273" s="1" customFormat="1" customHeight="1" spans="1:9">
      <c r="A273" s="18" t="str">
        <f t="shared" si="38"/>
        <v>A2G</v>
      </c>
      <c r="B273" s="19" t="s">
        <v>22</v>
      </c>
      <c r="C273" s="18" t="str">
        <f>"蒋慧英"</f>
        <v>蒋慧英</v>
      </c>
      <c r="D273" s="18" t="str">
        <f t="shared" si="40"/>
        <v>女</v>
      </c>
      <c r="E273" s="18" t="str">
        <f>"2022010523"</f>
        <v>2022010523</v>
      </c>
      <c r="F273" s="24">
        <v>43</v>
      </c>
      <c r="G273" s="18">
        <v>19</v>
      </c>
      <c r="H273" s="18"/>
      <c r="I273" s="18" t="s">
        <v>12</v>
      </c>
    </row>
    <row r="274" s="1" customFormat="1" customHeight="1" spans="1:9">
      <c r="A274" s="18" t="str">
        <f t="shared" si="38"/>
        <v>A2G</v>
      </c>
      <c r="B274" s="19" t="s">
        <v>22</v>
      </c>
      <c r="C274" s="18" t="str">
        <f>"肖丽"</f>
        <v>肖丽</v>
      </c>
      <c r="D274" s="18" t="str">
        <f t="shared" si="40"/>
        <v>女</v>
      </c>
      <c r="E274" s="18" t="str">
        <f>"2022010501"</f>
        <v>2022010501</v>
      </c>
      <c r="F274" s="24">
        <v>0</v>
      </c>
      <c r="G274" s="22">
        <v>20</v>
      </c>
      <c r="H274" s="18" t="s">
        <v>13</v>
      </c>
      <c r="I274" s="18" t="s">
        <v>12</v>
      </c>
    </row>
    <row r="275" s="1" customFormat="1" customHeight="1" spans="1:9">
      <c r="A275" s="18" t="str">
        <f t="shared" si="38"/>
        <v>A2G</v>
      </c>
      <c r="B275" s="19" t="s">
        <v>22</v>
      </c>
      <c r="C275" s="18" t="str">
        <f>"曾方亮"</f>
        <v>曾方亮</v>
      </c>
      <c r="D275" s="18" t="str">
        <f t="shared" si="40"/>
        <v>女</v>
      </c>
      <c r="E275" s="18" t="str">
        <f>"2022010505"</f>
        <v>2022010505</v>
      </c>
      <c r="F275" s="25">
        <v>0</v>
      </c>
      <c r="G275" s="18">
        <v>20</v>
      </c>
      <c r="H275" s="26" t="s">
        <v>13</v>
      </c>
      <c r="I275" s="18" t="s">
        <v>12</v>
      </c>
    </row>
    <row r="276" s="1" customFormat="1" customHeight="1" spans="1:9">
      <c r="A276" s="18" t="str">
        <f t="shared" si="38"/>
        <v>A2G</v>
      </c>
      <c r="B276" s="19" t="s">
        <v>22</v>
      </c>
      <c r="C276" s="18" t="str">
        <f>"邓霄霄"</f>
        <v>邓霄霄</v>
      </c>
      <c r="D276" s="18" t="str">
        <f t="shared" si="40"/>
        <v>女</v>
      </c>
      <c r="E276" s="18" t="str">
        <f>"2022010509"</f>
        <v>2022010509</v>
      </c>
      <c r="F276" s="18">
        <v>0</v>
      </c>
      <c r="G276" s="22">
        <v>20</v>
      </c>
      <c r="H276" s="18" t="s">
        <v>13</v>
      </c>
      <c r="I276" s="18" t="s">
        <v>12</v>
      </c>
    </row>
    <row r="277" s="1" customFormat="1" customHeight="1" spans="1:9">
      <c r="A277" s="18" t="str">
        <f t="shared" si="38"/>
        <v>A2G</v>
      </c>
      <c r="B277" s="19" t="s">
        <v>22</v>
      </c>
      <c r="C277" s="18" t="str">
        <f>"唐婷"</f>
        <v>唐婷</v>
      </c>
      <c r="D277" s="18" t="str">
        <f t="shared" si="40"/>
        <v>女</v>
      </c>
      <c r="E277" s="18" t="str">
        <f>"2022010510"</f>
        <v>2022010510</v>
      </c>
      <c r="F277" s="20">
        <v>0</v>
      </c>
      <c r="G277" s="18">
        <v>20</v>
      </c>
      <c r="H277" s="21" t="s">
        <v>13</v>
      </c>
      <c r="I277" s="18" t="s">
        <v>12</v>
      </c>
    </row>
    <row r="278" s="1" customFormat="1" customHeight="1" spans="1:9">
      <c r="A278" s="18" t="str">
        <f t="shared" si="38"/>
        <v>A2G</v>
      </c>
      <c r="B278" s="19" t="s">
        <v>22</v>
      </c>
      <c r="C278" s="18" t="str">
        <f>"彭英洁"</f>
        <v>彭英洁</v>
      </c>
      <c r="D278" s="18" t="str">
        <f t="shared" si="40"/>
        <v>女</v>
      </c>
      <c r="E278" s="18" t="str">
        <f>"2022010512"</f>
        <v>2022010512</v>
      </c>
      <c r="F278" s="18">
        <v>0</v>
      </c>
      <c r="G278" s="22">
        <v>20</v>
      </c>
      <c r="H278" s="18" t="s">
        <v>13</v>
      </c>
      <c r="I278" s="18" t="s">
        <v>12</v>
      </c>
    </row>
    <row r="279" s="1" customFormat="1" customHeight="1" spans="1:9">
      <c r="A279" s="18" t="str">
        <f t="shared" si="38"/>
        <v>A2G</v>
      </c>
      <c r="B279" s="19" t="s">
        <v>22</v>
      </c>
      <c r="C279" s="18" t="str">
        <f>"钟永彬"</f>
        <v>钟永彬</v>
      </c>
      <c r="D279" s="18" t="str">
        <f>"男"</f>
        <v>男</v>
      </c>
      <c r="E279" s="18" t="str">
        <f>"2022010513"</f>
        <v>2022010513</v>
      </c>
      <c r="F279" s="22">
        <v>0</v>
      </c>
      <c r="G279" s="18">
        <v>20</v>
      </c>
      <c r="H279" s="23" t="s">
        <v>13</v>
      </c>
      <c r="I279" s="18" t="s">
        <v>12</v>
      </c>
    </row>
    <row r="280" s="1" customFormat="1" customHeight="1" spans="1:9">
      <c r="A280" s="18" t="str">
        <f t="shared" si="38"/>
        <v>A2G</v>
      </c>
      <c r="B280" s="19" t="s">
        <v>22</v>
      </c>
      <c r="C280" s="18" t="str">
        <f>"蒋伟健"</f>
        <v>蒋伟健</v>
      </c>
      <c r="D280" s="18" t="str">
        <f>"男"</f>
        <v>男</v>
      </c>
      <c r="E280" s="18" t="str">
        <f>"2022010522"</f>
        <v>2022010522</v>
      </c>
      <c r="F280" s="24">
        <v>0</v>
      </c>
      <c r="G280" s="22">
        <v>20</v>
      </c>
      <c r="H280" s="18" t="s">
        <v>13</v>
      </c>
      <c r="I280" s="18" t="s">
        <v>12</v>
      </c>
    </row>
    <row r="281" s="1" customFormat="1" customHeight="1" spans="1:9">
      <c r="A281" s="18" t="str">
        <f t="shared" si="38"/>
        <v>A2G</v>
      </c>
      <c r="B281" s="19" t="s">
        <v>22</v>
      </c>
      <c r="C281" s="18" t="str">
        <f>"伍潇"</f>
        <v>伍潇</v>
      </c>
      <c r="D281" s="18" t="str">
        <f t="shared" ref="D281:D309" si="41">"女"</f>
        <v>女</v>
      </c>
      <c r="E281" s="18" t="str">
        <f>"2022010524"</f>
        <v>2022010524</v>
      </c>
      <c r="F281" s="24">
        <v>0</v>
      </c>
      <c r="G281" s="18">
        <v>20</v>
      </c>
      <c r="H281" s="18" t="s">
        <v>13</v>
      </c>
      <c r="I281" s="18" t="s">
        <v>12</v>
      </c>
    </row>
    <row r="282" s="1" customFormat="1" customHeight="1" spans="1:9">
      <c r="A282" s="18" t="str">
        <f t="shared" ref="A282:A339" si="42">"A3F"</f>
        <v>A3F</v>
      </c>
      <c r="B282" s="19" t="s">
        <v>23</v>
      </c>
      <c r="C282" s="18" t="str">
        <f>"王平香"</f>
        <v>王平香</v>
      </c>
      <c r="D282" s="18" t="str">
        <f t="shared" si="41"/>
        <v>女</v>
      </c>
      <c r="E282" s="18" t="str">
        <f>"2022010632"</f>
        <v>2022010632</v>
      </c>
      <c r="F282" s="18">
        <v>96</v>
      </c>
      <c r="G282" s="18">
        <v>1</v>
      </c>
      <c r="H282" s="18"/>
      <c r="I282" s="28" t="s">
        <v>11</v>
      </c>
    </row>
    <row r="283" s="1" customFormat="1" customHeight="1" spans="1:9">
      <c r="A283" s="18" t="str">
        <f t="shared" si="42"/>
        <v>A3F</v>
      </c>
      <c r="B283" s="19" t="s">
        <v>23</v>
      </c>
      <c r="C283" s="18" t="str">
        <f>"李贞"</f>
        <v>李贞</v>
      </c>
      <c r="D283" s="18" t="str">
        <f t="shared" si="41"/>
        <v>女</v>
      </c>
      <c r="E283" s="18" t="str">
        <f>"2022010615"</f>
        <v>2022010615</v>
      </c>
      <c r="F283" s="18">
        <v>95</v>
      </c>
      <c r="G283" s="18">
        <v>2</v>
      </c>
      <c r="H283" s="18"/>
      <c r="I283" s="28" t="s">
        <v>11</v>
      </c>
    </row>
    <row r="284" s="1" customFormat="1" customHeight="1" spans="1:9">
      <c r="A284" s="18" t="str">
        <f t="shared" si="42"/>
        <v>A3F</v>
      </c>
      <c r="B284" s="19" t="s">
        <v>23</v>
      </c>
      <c r="C284" s="18" t="str">
        <f>"苏秋金"</f>
        <v>苏秋金</v>
      </c>
      <c r="D284" s="18" t="str">
        <f t="shared" si="41"/>
        <v>女</v>
      </c>
      <c r="E284" s="18" t="str">
        <f>"2022010708"</f>
        <v>2022010708</v>
      </c>
      <c r="F284" s="18">
        <v>95</v>
      </c>
      <c r="G284" s="18">
        <v>2</v>
      </c>
      <c r="H284" s="18"/>
      <c r="I284" s="28" t="s">
        <v>11</v>
      </c>
    </row>
    <row r="285" s="1" customFormat="1" customHeight="1" spans="1:9">
      <c r="A285" s="18" t="str">
        <f t="shared" si="42"/>
        <v>A3F</v>
      </c>
      <c r="B285" s="19" t="s">
        <v>23</v>
      </c>
      <c r="C285" s="18" t="str">
        <f>"李科芳"</f>
        <v>李科芳</v>
      </c>
      <c r="D285" s="18" t="str">
        <f t="shared" si="41"/>
        <v>女</v>
      </c>
      <c r="E285" s="18" t="str">
        <f>"2022010709"</f>
        <v>2022010709</v>
      </c>
      <c r="F285" s="18">
        <v>95</v>
      </c>
      <c r="G285" s="18">
        <v>2</v>
      </c>
      <c r="H285" s="18"/>
      <c r="I285" s="28" t="s">
        <v>11</v>
      </c>
    </row>
    <row r="286" s="1" customFormat="1" customHeight="1" spans="1:9">
      <c r="A286" s="18" t="str">
        <f t="shared" si="42"/>
        <v>A3F</v>
      </c>
      <c r="B286" s="19" t="s">
        <v>23</v>
      </c>
      <c r="C286" s="18" t="str">
        <f>"邓会芳"</f>
        <v>邓会芳</v>
      </c>
      <c r="D286" s="18" t="str">
        <f t="shared" si="41"/>
        <v>女</v>
      </c>
      <c r="E286" s="18" t="str">
        <f>"2022010629"</f>
        <v>2022010629</v>
      </c>
      <c r="F286" s="18">
        <v>94</v>
      </c>
      <c r="G286" s="18">
        <v>5</v>
      </c>
      <c r="H286" s="18"/>
      <c r="I286" s="18" t="s">
        <v>12</v>
      </c>
    </row>
    <row r="287" s="1" customFormat="1" customHeight="1" spans="1:9">
      <c r="A287" s="18" t="str">
        <f t="shared" si="42"/>
        <v>A3F</v>
      </c>
      <c r="B287" s="19" t="s">
        <v>23</v>
      </c>
      <c r="C287" s="18" t="str">
        <f>"王飞叶"</f>
        <v>王飞叶</v>
      </c>
      <c r="D287" s="18" t="str">
        <f t="shared" si="41"/>
        <v>女</v>
      </c>
      <c r="E287" s="18" t="str">
        <f>"2022010712"</f>
        <v>2022010712</v>
      </c>
      <c r="F287" s="18">
        <v>94</v>
      </c>
      <c r="G287" s="18">
        <v>5</v>
      </c>
      <c r="H287" s="18"/>
      <c r="I287" s="18" t="s">
        <v>12</v>
      </c>
    </row>
    <row r="288" s="1" customFormat="1" customHeight="1" spans="1:9">
      <c r="A288" s="18" t="str">
        <f t="shared" si="42"/>
        <v>A3F</v>
      </c>
      <c r="B288" s="19" t="s">
        <v>23</v>
      </c>
      <c r="C288" s="18" t="str">
        <f>"王丽君"</f>
        <v>王丽君</v>
      </c>
      <c r="D288" s="18" t="str">
        <f t="shared" si="41"/>
        <v>女</v>
      </c>
      <c r="E288" s="18" t="str">
        <f>"2022010630"</f>
        <v>2022010630</v>
      </c>
      <c r="F288" s="18">
        <v>93</v>
      </c>
      <c r="G288" s="18">
        <v>7</v>
      </c>
      <c r="H288" s="18"/>
      <c r="I288" s="18" t="s">
        <v>12</v>
      </c>
    </row>
    <row r="289" s="1" customFormat="1" customHeight="1" spans="1:9">
      <c r="A289" s="18" t="str">
        <f t="shared" si="42"/>
        <v>A3F</v>
      </c>
      <c r="B289" s="19" t="s">
        <v>23</v>
      </c>
      <c r="C289" s="18" t="str">
        <f>"范桃艳"</f>
        <v>范桃艳</v>
      </c>
      <c r="D289" s="18" t="str">
        <f t="shared" si="41"/>
        <v>女</v>
      </c>
      <c r="E289" s="18" t="str">
        <f>"2022010702"</f>
        <v>2022010702</v>
      </c>
      <c r="F289" s="18">
        <v>93</v>
      </c>
      <c r="G289" s="18">
        <v>7</v>
      </c>
      <c r="H289" s="18"/>
      <c r="I289" s="18" t="s">
        <v>12</v>
      </c>
    </row>
    <row r="290" s="1" customFormat="1" customHeight="1" spans="1:9">
      <c r="A290" s="18" t="str">
        <f t="shared" si="42"/>
        <v>A3F</v>
      </c>
      <c r="B290" s="19" t="s">
        <v>23</v>
      </c>
      <c r="C290" s="18" t="str">
        <f>"达媛"</f>
        <v>达媛</v>
      </c>
      <c r="D290" s="18" t="str">
        <f t="shared" si="41"/>
        <v>女</v>
      </c>
      <c r="E290" s="18" t="str">
        <f>"2022010711"</f>
        <v>2022010711</v>
      </c>
      <c r="F290" s="18">
        <v>93</v>
      </c>
      <c r="G290" s="18">
        <v>7</v>
      </c>
      <c r="H290" s="18"/>
      <c r="I290" s="18" t="s">
        <v>12</v>
      </c>
    </row>
    <row r="291" s="1" customFormat="1" customHeight="1" spans="1:9">
      <c r="A291" s="18" t="str">
        <f t="shared" si="42"/>
        <v>A3F</v>
      </c>
      <c r="B291" s="19" t="s">
        <v>23</v>
      </c>
      <c r="C291" s="18" t="str">
        <f>"张冬华"</f>
        <v>张冬华</v>
      </c>
      <c r="D291" s="18" t="str">
        <f t="shared" si="41"/>
        <v>女</v>
      </c>
      <c r="E291" s="18" t="str">
        <f>"2022010607"</f>
        <v>2022010607</v>
      </c>
      <c r="F291" s="18">
        <v>92</v>
      </c>
      <c r="G291" s="18">
        <v>10</v>
      </c>
      <c r="H291" s="18"/>
      <c r="I291" s="18" t="s">
        <v>12</v>
      </c>
    </row>
    <row r="292" s="1" customFormat="1" customHeight="1" spans="1:9">
      <c r="A292" s="18" t="str">
        <f t="shared" si="42"/>
        <v>A3F</v>
      </c>
      <c r="B292" s="19" t="s">
        <v>23</v>
      </c>
      <c r="C292" s="18" t="str">
        <f>"胡双容"</f>
        <v>胡双容</v>
      </c>
      <c r="D292" s="18" t="str">
        <f t="shared" si="41"/>
        <v>女</v>
      </c>
      <c r="E292" s="18" t="str">
        <f>"2022010720"</f>
        <v>2022010720</v>
      </c>
      <c r="F292" s="18">
        <v>92</v>
      </c>
      <c r="G292" s="18">
        <v>10</v>
      </c>
      <c r="H292" s="18"/>
      <c r="I292" s="18" t="s">
        <v>12</v>
      </c>
    </row>
    <row r="293" s="1" customFormat="1" customHeight="1" spans="1:9">
      <c r="A293" s="18" t="str">
        <f t="shared" si="42"/>
        <v>A3F</v>
      </c>
      <c r="B293" s="19" t="s">
        <v>23</v>
      </c>
      <c r="C293" s="18" t="str">
        <f>"殷安芳"</f>
        <v>殷安芳</v>
      </c>
      <c r="D293" s="18" t="str">
        <f t="shared" si="41"/>
        <v>女</v>
      </c>
      <c r="E293" s="18" t="str">
        <f>"2022010602"</f>
        <v>2022010602</v>
      </c>
      <c r="F293" s="18">
        <v>91</v>
      </c>
      <c r="G293" s="18">
        <v>12</v>
      </c>
      <c r="H293" s="18"/>
      <c r="I293" s="18" t="s">
        <v>12</v>
      </c>
    </row>
    <row r="294" s="1" customFormat="1" customHeight="1" spans="1:9">
      <c r="A294" s="18" t="str">
        <f t="shared" si="42"/>
        <v>A3F</v>
      </c>
      <c r="B294" s="19" t="s">
        <v>23</v>
      </c>
      <c r="C294" s="18" t="str">
        <f>"丁梦"</f>
        <v>丁梦</v>
      </c>
      <c r="D294" s="18" t="str">
        <f t="shared" si="41"/>
        <v>女</v>
      </c>
      <c r="E294" s="18" t="str">
        <f>"2022010616"</f>
        <v>2022010616</v>
      </c>
      <c r="F294" s="18">
        <v>91</v>
      </c>
      <c r="G294" s="18">
        <v>12</v>
      </c>
      <c r="H294" s="18"/>
      <c r="I294" s="18" t="s">
        <v>12</v>
      </c>
    </row>
    <row r="295" s="1" customFormat="1" customHeight="1" spans="1:9">
      <c r="A295" s="18" t="str">
        <f t="shared" si="42"/>
        <v>A3F</v>
      </c>
      <c r="B295" s="19" t="s">
        <v>23</v>
      </c>
      <c r="C295" s="18" t="str">
        <f>"闵芳芳"</f>
        <v>闵芳芳</v>
      </c>
      <c r="D295" s="18" t="str">
        <f t="shared" si="41"/>
        <v>女</v>
      </c>
      <c r="E295" s="18" t="str">
        <f>"2022010623"</f>
        <v>2022010623</v>
      </c>
      <c r="F295" s="18">
        <v>91</v>
      </c>
      <c r="G295" s="18">
        <v>12</v>
      </c>
      <c r="H295" s="18"/>
      <c r="I295" s="18" t="s">
        <v>12</v>
      </c>
    </row>
    <row r="296" s="1" customFormat="1" customHeight="1" spans="1:9">
      <c r="A296" s="18" t="str">
        <f t="shared" si="42"/>
        <v>A3F</v>
      </c>
      <c r="B296" s="19" t="s">
        <v>23</v>
      </c>
      <c r="C296" s="18" t="str">
        <f>"蒋芸"</f>
        <v>蒋芸</v>
      </c>
      <c r="D296" s="18" t="str">
        <f t="shared" si="41"/>
        <v>女</v>
      </c>
      <c r="E296" s="18" t="str">
        <f>"2022010612"</f>
        <v>2022010612</v>
      </c>
      <c r="F296" s="18">
        <v>90</v>
      </c>
      <c r="G296" s="18">
        <v>15</v>
      </c>
      <c r="H296" s="18"/>
      <c r="I296" s="18" t="s">
        <v>12</v>
      </c>
    </row>
    <row r="297" s="1" customFormat="1" customHeight="1" spans="1:9">
      <c r="A297" s="18" t="str">
        <f t="shared" si="42"/>
        <v>A3F</v>
      </c>
      <c r="B297" s="19" t="s">
        <v>23</v>
      </c>
      <c r="C297" s="18" t="str">
        <f>"李宜蔚"</f>
        <v>李宜蔚</v>
      </c>
      <c r="D297" s="18" t="str">
        <f t="shared" si="41"/>
        <v>女</v>
      </c>
      <c r="E297" s="18" t="str">
        <f>"2022010617"</f>
        <v>2022010617</v>
      </c>
      <c r="F297" s="18">
        <v>90</v>
      </c>
      <c r="G297" s="18">
        <v>15</v>
      </c>
      <c r="H297" s="18"/>
      <c r="I297" s="18" t="s">
        <v>12</v>
      </c>
    </row>
    <row r="298" s="1" customFormat="1" customHeight="1" spans="1:9">
      <c r="A298" s="18" t="str">
        <f t="shared" si="42"/>
        <v>A3F</v>
      </c>
      <c r="B298" s="19" t="s">
        <v>23</v>
      </c>
      <c r="C298" s="18" t="str">
        <f>"田甜"</f>
        <v>田甜</v>
      </c>
      <c r="D298" s="18" t="str">
        <f t="shared" si="41"/>
        <v>女</v>
      </c>
      <c r="E298" s="18" t="str">
        <f>"2022010624"</f>
        <v>2022010624</v>
      </c>
      <c r="F298" s="18">
        <v>90</v>
      </c>
      <c r="G298" s="18">
        <v>15</v>
      </c>
      <c r="H298" s="18"/>
      <c r="I298" s="18" t="s">
        <v>12</v>
      </c>
    </row>
    <row r="299" s="1" customFormat="1" customHeight="1" spans="1:9">
      <c r="A299" s="18" t="str">
        <f t="shared" si="42"/>
        <v>A3F</v>
      </c>
      <c r="B299" s="19" t="s">
        <v>23</v>
      </c>
      <c r="C299" s="18" t="str">
        <f>"阳婷"</f>
        <v>阳婷</v>
      </c>
      <c r="D299" s="18" t="str">
        <f t="shared" si="41"/>
        <v>女</v>
      </c>
      <c r="E299" s="18" t="str">
        <f>"2022010625"</f>
        <v>2022010625</v>
      </c>
      <c r="F299" s="18">
        <v>90</v>
      </c>
      <c r="G299" s="18">
        <v>15</v>
      </c>
      <c r="H299" s="18"/>
      <c r="I299" s="18" t="s">
        <v>12</v>
      </c>
    </row>
    <row r="300" s="1" customFormat="1" customHeight="1" spans="1:9">
      <c r="A300" s="18" t="str">
        <f t="shared" si="42"/>
        <v>A3F</v>
      </c>
      <c r="B300" s="19" t="s">
        <v>23</v>
      </c>
      <c r="C300" s="18" t="str">
        <f>"肖萍"</f>
        <v>肖萍</v>
      </c>
      <c r="D300" s="18" t="str">
        <f t="shared" si="41"/>
        <v>女</v>
      </c>
      <c r="E300" s="18" t="str">
        <f>"2022010713"</f>
        <v>2022010713</v>
      </c>
      <c r="F300" s="18">
        <v>90</v>
      </c>
      <c r="G300" s="18">
        <v>15</v>
      </c>
      <c r="H300" s="18"/>
      <c r="I300" s="18" t="s">
        <v>12</v>
      </c>
    </row>
    <row r="301" s="1" customFormat="1" customHeight="1" spans="1:9">
      <c r="A301" s="18" t="str">
        <f t="shared" si="42"/>
        <v>A3F</v>
      </c>
      <c r="B301" s="19" t="s">
        <v>23</v>
      </c>
      <c r="C301" s="18" t="str">
        <f>"戴力"</f>
        <v>戴力</v>
      </c>
      <c r="D301" s="18" t="str">
        <f t="shared" si="41"/>
        <v>女</v>
      </c>
      <c r="E301" s="18" t="str">
        <f>"2022010719"</f>
        <v>2022010719</v>
      </c>
      <c r="F301" s="18">
        <v>90</v>
      </c>
      <c r="G301" s="18">
        <v>15</v>
      </c>
      <c r="H301" s="18"/>
      <c r="I301" s="18" t="s">
        <v>12</v>
      </c>
    </row>
    <row r="302" s="1" customFormat="1" customHeight="1" spans="1:9">
      <c r="A302" s="18" t="str">
        <f t="shared" si="42"/>
        <v>A3F</v>
      </c>
      <c r="B302" s="19" t="s">
        <v>23</v>
      </c>
      <c r="C302" s="18" t="str">
        <f>"陈豪雁"</f>
        <v>陈豪雁</v>
      </c>
      <c r="D302" s="18" t="str">
        <f t="shared" si="41"/>
        <v>女</v>
      </c>
      <c r="E302" s="18" t="str">
        <f>"2022010613"</f>
        <v>2022010613</v>
      </c>
      <c r="F302" s="18">
        <v>89</v>
      </c>
      <c r="G302" s="18">
        <v>21</v>
      </c>
      <c r="H302" s="18"/>
      <c r="I302" s="18" t="s">
        <v>12</v>
      </c>
    </row>
    <row r="303" s="1" customFormat="1" customHeight="1" spans="1:9">
      <c r="A303" s="18" t="str">
        <f t="shared" si="42"/>
        <v>A3F</v>
      </c>
      <c r="B303" s="19" t="s">
        <v>23</v>
      </c>
      <c r="C303" s="18" t="str">
        <f>"蔡莉"</f>
        <v>蔡莉</v>
      </c>
      <c r="D303" s="18" t="str">
        <f t="shared" si="41"/>
        <v>女</v>
      </c>
      <c r="E303" s="18" t="str">
        <f>"2022010620"</f>
        <v>2022010620</v>
      </c>
      <c r="F303" s="18">
        <v>89</v>
      </c>
      <c r="G303" s="18">
        <v>21</v>
      </c>
      <c r="H303" s="18"/>
      <c r="I303" s="18" t="s">
        <v>12</v>
      </c>
    </row>
    <row r="304" s="1" customFormat="1" customHeight="1" spans="1:9">
      <c r="A304" s="18" t="str">
        <f t="shared" si="42"/>
        <v>A3F</v>
      </c>
      <c r="B304" s="19" t="s">
        <v>23</v>
      </c>
      <c r="C304" s="18" t="str">
        <f>"唐美琦"</f>
        <v>唐美琦</v>
      </c>
      <c r="D304" s="18" t="str">
        <f t="shared" si="41"/>
        <v>女</v>
      </c>
      <c r="E304" s="18" t="str">
        <f>"2022010611"</f>
        <v>2022010611</v>
      </c>
      <c r="F304" s="18">
        <v>88</v>
      </c>
      <c r="G304" s="18">
        <v>23</v>
      </c>
      <c r="H304" s="18"/>
      <c r="I304" s="18" t="s">
        <v>12</v>
      </c>
    </row>
    <row r="305" s="1" customFormat="1" customHeight="1" spans="1:9">
      <c r="A305" s="18" t="str">
        <f t="shared" si="42"/>
        <v>A3F</v>
      </c>
      <c r="B305" s="19" t="s">
        <v>23</v>
      </c>
      <c r="C305" s="18" t="str">
        <f>"陈红"</f>
        <v>陈红</v>
      </c>
      <c r="D305" s="18" t="str">
        <f t="shared" si="41"/>
        <v>女</v>
      </c>
      <c r="E305" s="18" t="str">
        <f>"2022010605"</f>
        <v>2022010605</v>
      </c>
      <c r="F305" s="18">
        <v>87</v>
      </c>
      <c r="G305" s="18">
        <v>24</v>
      </c>
      <c r="H305" s="18"/>
      <c r="I305" s="18" t="s">
        <v>12</v>
      </c>
    </row>
    <row r="306" s="1" customFormat="1" customHeight="1" spans="1:9">
      <c r="A306" s="18" t="str">
        <f t="shared" si="42"/>
        <v>A3F</v>
      </c>
      <c r="B306" s="19" t="s">
        <v>23</v>
      </c>
      <c r="C306" s="18" t="str">
        <f>"罗田莲"</f>
        <v>罗田莲</v>
      </c>
      <c r="D306" s="18" t="str">
        <f t="shared" si="41"/>
        <v>女</v>
      </c>
      <c r="E306" s="18" t="str">
        <f>"2022010606"</f>
        <v>2022010606</v>
      </c>
      <c r="F306" s="18">
        <v>87</v>
      </c>
      <c r="G306" s="18">
        <v>24</v>
      </c>
      <c r="H306" s="18"/>
      <c r="I306" s="18" t="s">
        <v>12</v>
      </c>
    </row>
    <row r="307" s="1" customFormat="1" customHeight="1" spans="1:9">
      <c r="A307" s="18" t="str">
        <f t="shared" si="42"/>
        <v>A3F</v>
      </c>
      <c r="B307" s="19" t="s">
        <v>23</v>
      </c>
      <c r="C307" s="18" t="str">
        <f>"蒋宝吉"</f>
        <v>蒋宝吉</v>
      </c>
      <c r="D307" s="18" t="str">
        <f t="shared" si="41"/>
        <v>女</v>
      </c>
      <c r="E307" s="18" t="str">
        <f>"2022010601"</f>
        <v>2022010601</v>
      </c>
      <c r="F307" s="18">
        <v>86</v>
      </c>
      <c r="G307" s="18">
        <v>26</v>
      </c>
      <c r="H307" s="18"/>
      <c r="I307" s="18" t="s">
        <v>12</v>
      </c>
    </row>
    <row r="308" s="1" customFormat="1" customHeight="1" spans="1:9">
      <c r="A308" s="18" t="str">
        <f t="shared" si="42"/>
        <v>A3F</v>
      </c>
      <c r="B308" s="19" t="s">
        <v>23</v>
      </c>
      <c r="C308" s="18" t="str">
        <f>"王丽芳"</f>
        <v>王丽芳</v>
      </c>
      <c r="D308" s="18" t="str">
        <f t="shared" si="41"/>
        <v>女</v>
      </c>
      <c r="E308" s="18" t="str">
        <f>"2022010608"</f>
        <v>2022010608</v>
      </c>
      <c r="F308" s="18">
        <v>86</v>
      </c>
      <c r="G308" s="18">
        <v>26</v>
      </c>
      <c r="H308" s="18"/>
      <c r="I308" s="18" t="s">
        <v>12</v>
      </c>
    </row>
    <row r="309" s="1" customFormat="1" customHeight="1" spans="1:9">
      <c r="A309" s="18" t="str">
        <f t="shared" si="42"/>
        <v>A3F</v>
      </c>
      <c r="B309" s="19" t="s">
        <v>23</v>
      </c>
      <c r="C309" s="18" t="str">
        <f>"廖雅倩"</f>
        <v>廖雅倩</v>
      </c>
      <c r="D309" s="18" t="str">
        <f t="shared" si="41"/>
        <v>女</v>
      </c>
      <c r="E309" s="18" t="str">
        <f>"2022010634"</f>
        <v>2022010634</v>
      </c>
      <c r="F309" s="18">
        <v>86</v>
      </c>
      <c r="G309" s="18">
        <v>26</v>
      </c>
      <c r="H309" s="18"/>
      <c r="I309" s="18" t="s">
        <v>12</v>
      </c>
    </row>
    <row r="310" s="1" customFormat="1" customHeight="1" spans="1:9">
      <c r="A310" s="18" t="str">
        <f t="shared" si="42"/>
        <v>A3F</v>
      </c>
      <c r="B310" s="19" t="s">
        <v>23</v>
      </c>
      <c r="C310" s="18" t="str">
        <f>"雷永"</f>
        <v>雷永</v>
      </c>
      <c r="D310" s="18" t="str">
        <f>"男"</f>
        <v>男</v>
      </c>
      <c r="E310" s="18" t="str">
        <f>"2022010704"</f>
        <v>2022010704</v>
      </c>
      <c r="F310" s="18">
        <v>86</v>
      </c>
      <c r="G310" s="18">
        <v>26</v>
      </c>
      <c r="H310" s="18"/>
      <c r="I310" s="18" t="s">
        <v>12</v>
      </c>
    </row>
    <row r="311" s="1" customFormat="1" customHeight="1" spans="1:9">
      <c r="A311" s="18" t="str">
        <f t="shared" si="42"/>
        <v>A3F</v>
      </c>
      <c r="B311" s="19" t="s">
        <v>23</v>
      </c>
      <c r="C311" s="18" t="str">
        <f>"龚玉花"</f>
        <v>龚玉花</v>
      </c>
      <c r="D311" s="18" t="str">
        <f t="shared" ref="D311:D324" si="43">"女"</f>
        <v>女</v>
      </c>
      <c r="E311" s="18" t="str">
        <f>"2022010604"</f>
        <v>2022010604</v>
      </c>
      <c r="F311" s="18">
        <v>85</v>
      </c>
      <c r="G311" s="18">
        <v>30</v>
      </c>
      <c r="H311" s="18"/>
      <c r="I311" s="18" t="s">
        <v>12</v>
      </c>
    </row>
    <row r="312" s="1" customFormat="1" customHeight="1" spans="1:9">
      <c r="A312" s="18" t="str">
        <f t="shared" si="42"/>
        <v>A3F</v>
      </c>
      <c r="B312" s="19" t="s">
        <v>23</v>
      </c>
      <c r="C312" s="18" t="str">
        <f>"卿一平"</f>
        <v>卿一平</v>
      </c>
      <c r="D312" s="18" t="str">
        <f t="shared" si="43"/>
        <v>女</v>
      </c>
      <c r="E312" s="18" t="str">
        <f>"2022010631"</f>
        <v>2022010631</v>
      </c>
      <c r="F312" s="18">
        <v>83</v>
      </c>
      <c r="G312" s="18">
        <v>31</v>
      </c>
      <c r="H312" s="18"/>
      <c r="I312" s="18" t="s">
        <v>12</v>
      </c>
    </row>
    <row r="313" s="1" customFormat="1" customHeight="1" spans="1:9">
      <c r="A313" s="18" t="str">
        <f t="shared" si="42"/>
        <v>A3F</v>
      </c>
      <c r="B313" s="19" t="s">
        <v>23</v>
      </c>
      <c r="C313" s="18" t="str">
        <f>"李杨艳"</f>
        <v>李杨艳</v>
      </c>
      <c r="D313" s="18" t="str">
        <f t="shared" si="43"/>
        <v>女</v>
      </c>
      <c r="E313" s="18" t="str">
        <f>"2022010635"</f>
        <v>2022010635</v>
      </c>
      <c r="F313" s="18">
        <v>83</v>
      </c>
      <c r="G313" s="18">
        <v>31</v>
      </c>
      <c r="H313" s="18"/>
      <c r="I313" s="18" t="s">
        <v>12</v>
      </c>
    </row>
    <row r="314" s="1" customFormat="1" customHeight="1" spans="1:9">
      <c r="A314" s="18" t="str">
        <f t="shared" si="42"/>
        <v>A3F</v>
      </c>
      <c r="B314" s="19" t="s">
        <v>23</v>
      </c>
      <c r="C314" s="18" t="str">
        <f>"熊海美"</f>
        <v>熊海美</v>
      </c>
      <c r="D314" s="18" t="str">
        <f t="shared" si="43"/>
        <v>女</v>
      </c>
      <c r="E314" s="18" t="str">
        <f>"2022010703"</f>
        <v>2022010703</v>
      </c>
      <c r="F314" s="18">
        <v>83</v>
      </c>
      <c r="G314" s="18">
        <v>31</v>
      </c>
      <c r="H314" s="18"/>
      <c r="I314" s="18" t="s">
        <v>12</v>
      </c>
    </row>
    <row r="315" s="1" customFormat="1" customHeight="1" spans="1:9">
      <c r="A315" s="18" t="str">
        <f t="shared" si="42"/>
        <v>A3F</v>
      </c>
      <c r="B315" s="19" t="s">
        <v>23</v>
      </c>
      <c r="C315" s="18" t="str">
        <f>"黄珍珠"</f>
        <v>黄珍珠</v>
      </c>
      <c r="D315" s="18" t="str">
        <f t="shared" si="43"/>
        <v>女</v>
      </c>
      <c r="E315" s="18" t="str">
        <f>"2022010705"</f>
        <v>2022010705</v>
      </c>
      <c r="F315" s="18">
        <v>83</v>
      </c>
      <c r="G315" s="18">
        <v>31</v>
      </c>
      <c r="H315" s="18"/>
      <c r="I315" s="18" t="s">
        <v>12</v>
      </c>
    </row>
    <row r="316" s="1" customFormat="1" customHeight="1" spans="1:9">
      <c r="A316" s="18" t="str">
        <f t="shared" si="42"/>
        <v>A3F</v>
      </c>
      <c r="B316" s="19" t="s">
        <v>23</v>
      </c>
      <c r="C316" s="18" t="str">
        <f>"刘雅灵"</f>
        <v>刘雅灵</v>
      </c>
      <c r="D316" s="18" t="str">
        <f t="shared" si="43"/>
        <v>女</v>
      </c>
      <c r="E316" s="18" t="str">
        <f>"2022010609"</f>
        <v>2022010609</v>
      </c>
      <c r="F316" s="18">
        <v>78</v>
      </c>
      <c r="G316" s="18">
        <v>35</v>
      </c>
      <c r="H316" s="18"/>
      <c r="I316" s="18" t="s">
        <v>12</v>
      </c>
    </row>
    <row r="317" s="1" customFormat="1" customHeight="1" spans="1:9">
      <c r="A317" s="18" t="str">
        <f t="shared" si="42"/>
        <v>A3F</v>
      </c>
      <c r="B317" s="19" t="s">
        <v>23</v>
      </c>
      <c r="C317" s="18" t="str">
        <f>"肖微"</f>
        <v>肖微</v>
      </c>
      <c r="D317" s="18" t="str">
        <f t="shared" si="43"/>
        <v>女</v>
      </c>
      <c r="E317" s="18" t="str">
        <f>"2022010628"</f>
        <v>2022010628</v>
      </c>
      <c r="F317" s="18">
        <v>78</v>
      </c>
      <c r="G317" s="18">
        <v>35</v>
      </c>
      <c r="H317" s="18"/>
      <c r="I317" s="18" t="s">
        <v>12</v>
      </c>
    </row>
    <row r="318" s="1" customFormat="1" customHeight="1" spans="1:9">
      <c r="A318" s="18" t="str">
        <f t="shared" si="42"/>
        <v>A3F</v>
      </c>
      <c r="B318" s="19" t="s">
        <v>23</v>
      </c>
      <c r="C318" s="18" t="str">
        <f>"左常书"</f>
        <v>左常书</v>
      </c>
      <c r="D318" s="18" t="str">
        <f t="shared" si="43"/>
        <v>女</v>
      </c>
      <c r="E318" s="18" t="str">
        <f>"2022010717"</f>
        <v>2022010717</v>
      </c>
      <c r="F318" s="18">
        <v>73</v>
      </c>
      <c r="G318" s="18">
        <v>37</v>
      </c>
      <c r="H318" s="18"/>
      <c r="I318" s="18" t="s">
        <v>12</v>
      </c>
    </row>
    <row r="319" s="1" customFormat="1" customHeight="1" spans="1:9">
      <c r="A319" s="18" t="str">
        <f t="shared" si="42"/>
        <v>A3F</v>
      </c>
      <c r="B319" s="19" t="s">
        <v>23</v>
      </c>
      <c r="C319" s="18" t="str">
        <f>"赵湘广"</f>
        <v>赵湘广</v>
      </c>
      <c r="D319" s="18" t="str">
        <f t="shared" si="43"/>
        <v>女</v>
      </c>
      <c r="E319" s="18" t="str">
        <f>"2022010718"</f>
        <v>2022010718</v>
      </c>
      <c r="F319" s="18">
        <v>62</v>
      </c>
      <c r="G319" s="18">
        <v>38</v>
      </c>
      <c r="H319" s="18"/>
      <c r="I319" s="18" t="s">
        <v>12</v>
      </c>
    </row>
    <row r="320" s="1" customFormat="1" customHeight="1" spans="1:9">
      <c r="A320" s="18" t="str">
        <f t="shared" si="42"/>
        <v>A3F</v>
      </c>
      <c r="B320" s="19" t="s">
        <v>23</v>
      </c>
      <c r="C320" s="18" t="str">
        <f>"钱珊珊"</f>
        <v>钱珊珊</v>
      </c>
      <c r="D320" s="18" t="str">
        <f t="shared" si="43"/>
        <v>女</v>
      </c>
      <c r="E320" s="18" t="str">
        <f>"2022010603"</f>
        <v>2022010603</v>
      </c>
      <c r="F320" s="18">
        <v>0</v>
      </c>
      <c r="G320" s="18">
        <v>39</v>
      </c>
      <c r="H320" s="18" t="s">
        <v>13</v>
      </c>
      <c r="I320" s="18" t="s">
        <v>12</v>
      </c>
    </row>
    <row r="321" s="1" customFormat="1" customHeight="1" spans="1:9">
      <c r="A321" s="18" t="str">
        <f t="shared" si="42"/>
        <v>A3F</v>
      </c>
      <c r="B321" s="19" t="s">
        <v>23</v>
      </c>
      <c r="C321" s="18" t="str">
        <f>"李楠"</f>
        <v>李楠</v>
      </c>
      <c r="D321" s="18" t="str">
        <f t="shared" si="43"/>
        <v>女</v>
      </c>
      <c r="E321" s="18" t="str">
        <f>"2022010610"</f>
        <v>2022010610</v>
      </c>
      <c r="F321" s="18">
        <v>0</v>
      </c>
      <c r="G321" s="18">
        <v>39</v>
      </c>
      <c r="H321" s="18" t="s">
        <v>13</v>
      </c>
      <c r="I321" s="18" t="s">
        <v>12</v>
      </c>
    </row>
    <row r="322" s="1" customFormat="1" customHeight="1" spans="1:9">
      <c r="A322" s="18" t="str">
        <f t="shared" si="42"/>
        <v>A3F</v>
      </c>
      <c r="B322" s="19" t="s">
        <v>23</v>
      </c>
      <c r="C322" s="18" t="str">
        <f>"卢晓君"</f>
        <v>卢晓君</v>
      </c>
      <c r="D322" s="18" t="str">
        <f t="shared" si="43"/>
        <v>女</v>
      </c>
      <c r="E322" s="18" t="str">
        <f>"2022010614"</f>
        <v>2022010614</v>
      </c>
      <c r="F322" s="18">
        <v>0</v>
      </c>
      <c r="G322" s="18">
        <v>39</v>
      </c>
      <c r="H322" s="18" t="s">
        <v>13</v>
      </c>
      <c r="I322" s="18" t="s">
        <v>12</v>
      </c>
    </row>
    <row r="323" s="1" customFormat="1" customHeight="1" spans="1:9">
      <c r="A323" s="18" t="str">
        <f t="shared" si="42"/>
        <v>A3F</v>
      </c>
      <c r="B323" s="19" t="s">
        <v>23</v>
      </c>
      <c r="C323" s="18" t="str">
        <f>"段雪晶"</f>
        <v>段雪晶</v>
      </c>
      <c r="D323" s="18" t="str">
        <f t="shared" si="43"/>
        <v>女</v>
      </c>
      <c r="E323" s="18" t="str">
        <f>"2022010618"</f>
        <v>2022010618</v>
      </c>
      <c r="F323" s="18">
        <v>0</v>
      </c>
      <c r="G323" s="18">
        <v>39</v>
      </c>
      <c r="H323" s="18" t="s">
        <v>13</v>
      </c>
      <c r="I323" s="18" t="s">
        <v>12</v>
      </c>
    </row>
    <row r="324" s="1" customFormat="1" customHeight="1" spans="1:9">
      <c r="A324" s="18" t="str">
        <f t="shared" si="42"/>
        <v>A3F</v>
      </c>
      <c r="B324" s="19" t="s">
        <v>23</v>
      </c>
      <c r="C324" s="18" t="str">
        <f>"王靖"</f>
        <v>王靖</v>
      </c>
      <c r="D324" s="18" t="str">
        <f t="shared" si="43"/>
        <v>女</v>
      </c>
      <c r="E324" s="18" t="str">
        <f>"2022010619"</f>
        <v>2022010619</v>
      </c>
      <c r="F324" s="18">
        <v>0</v>
      </c>
      <c r="G324" s="18">
        <v>39</v>
      </c>
      <c r="H324" s="18" t="s">
        <v>13</v>
      </c>
      <c r="I324" s="18" t="s">
        <v>12</v>
      </c>
    </row>
    <row r="325" s="1" customFormat="1" customHeight="1" spans="1:9">
      <c r="A325" s="18" t="str">
        <f t="shared" si="42"/>
        <v>A3F</v>
      </c>
      <c r="B325" s="19" t="s">
        <v>23</v>
      </c>
      <c r="C325" s="18" t="str">
        <f>"瞿靖"</f>
        <v>瞿靖</v>
      </c>
      <c r="D325" s="18" t="str">
        <f>"男"</f>
        <v>男</v>
      </c>
      <c r="E325" s="18" t="str">
        <f>"2022010621"</f>
        <v>2022010621</v>
      </c>
      <c r="F325" s="18">
        <v>0</v>
      </c>
      <c r="G325" s="18">
        <v>39</v>
      </c>
      <c r="H325" s="18" t="s">
        <v>13</v>
      </c>
      <c r="I325" s="18" t="s">
        <v>12</v>
      </c>
    </row>
    <row r="326" s="1" customFormat="1" customHeight="1" spans="1:9">
      <c r="A326" s="18" t="str">
        <f t="shared" si="42"/>
        <v>A3F</v>
      </c>
      <c r="B326" s="19" t="s">
        <v>23</v>
      </c>
      <c r="C326" s="18" t="str">
        <f>"周围"</f>
        <v>周围</v>
      </c>
      <c r="D326" s="18" t="str">
        <f t="shared" ref="D326:D349" si="44">"女"</f>
        <v>女</v>
      </c>
      <c r="E326" s="18" t="str">
        <f>"2022010622"</f>
        <v>2022010622</v>
      </c>
      <c r="F326" s="18">
        <v>0</v>
      </c>
      <c r="G326" s="18">
        <v>39</v>
      </c>
      <c r="H326" s="18" t="s">
        <v>13</v>
      </c>
      <c r="I326" s="18" t="s">
        <v>12</v>
      </c>
    </row>
    <row r="327" s="1" customFormat="1" customHeight="1" spans="1:9">
      <c r="A327" s="18" t="str">
        <f t="shared" si="42"/>
        <v>A3F</v>
      </c>
      <c r="B327" s="19" t="s">
        <v>23</v>
      </c>
      <c r="C327" s="18" t="str">
        <f>"刘欢"</f>
        <v>刘欢</v>
      </c>
      <c r="D327" s="18" t="str">
        <f t="shared" si="44"/>
        <v>女</v>
      </c>
      <c r="E327" s="18" t="str">
        <f>"2022010626"</f>
        <v>2022010626</v>
      </c>
      <c r="F327" s="18">
        <v>0</v>
      </c>
      <c r="G327" s="18">
        <v>39</v>
      </c>
      <c r="H327" s="18" t="s">
        <v>13</v>
      </c>
      <c r="I327" s="18" t="s">
        <v>12</v>
      </c>
    </row>
    <row r="328" s="1" customFormat="1" customHeight="1" spans="1:9">
      <c r="A328" s="18" t="str">
        <f t="shared" si="42"/>
        <v>A3F</v>
      </c>
      <c r="B328" s="19" t="s">
        <v>23</v>
      </c>
      <c r="C328" s="18" t="str">
        <f>"杨娟"</f>
        <v>杨娟</v>
      </c>
      <c r="D328" s="18" t="str">
        <f t="shared" si="44"/>
        <v>女</v>
      </c>
      <c r="E328" s="18" t="str">
        <f>"2022010627"</f>
        <v>2022010627</v>
      </c>
      <c r="F328" s="18">
        <v>0</v>
      </c>
      <c r="G328" s="18">
        <v>39</v>
      </c>
      <c r="H328" s="18" t="s">
        <v>13</v>
      </c>
      <c r="I328" s="18" t="s">
        <v>12</v>
      </c>
    </row>
    <row r="329" s="1" customFormat="1" customHeight="1" spans="1:9">
      <c r="A329" s="18" t="str">
        <f t="shared" si="42"/>
        <v>A3F</v>
      </c>
      <c r="B329" s="19" t="s">
        <v>23</v>
      </c>
      <c r="C329" s="18" t="str">
        <f>"钟迪倩"</f>
        <v>钟迪倩</v>
      </c>
      <c r="D329" s="18" t="str">
        <f t="shared" si="44"/>
        <v>女</v>
      </c>
      <c r="E329" s="18" t="str">
        <f>"2022010633"</f>
        <v>2022010633</v>
      </c>
      <c r="F329" s="18">
        <v>0</v>
      </c>
      <c r="G329" s="18">
        <v>39</v>
      </c>
      <c r="H329" s="18" t="s">
        <v>13</v>
      </c>
      <c r="I329" s="18" t="s">
        <v>12</v>
      </c>
    </row>
    <row r="330" s="1" customFormat="1" customHeight="1" spans="1:9">
      <c r="A330" s="18" t="str">
        <f t="shared" si="42"/>
        <v>A3F</v>
      </c>
      <c r="B330" s="19" t="s">
        <v>23</v>
      </c>
      <c r="C330" s="18" t="str">
        <f>"曹灵"</f>
        <v>曹灵</v>
      </c>
      <c r="D330" s="18" t="str">
        <f t="shared" si="44"/>
        <v>女</v>
      </c>
      <c r="E330" s="18" t="str">
        <f>"2022010701"</f>
        <v>2022010701</v>
      </c>
      <c r="F330" s="18">
        <v>0</v>
      </c>
      <c r="G330" s="18">
        <v>39</v>
      </c>
      <c r="H330" s="18" t="s">
        <v>13</v>
      </c>
      <c r="I330" s="18" t="s">
        <v>12</v>
      </c>
    </row>
    <row r="331" s="1" customFormat="1" customHeight="1" spans="1:9">
      <c r="A331" s="18" t="str">
        <f t="shared" si="42"/>
        <v>A3F</v>
      </c>
      <c r="B331" s="19" t="s">
        <v>23</v>
      </c>
      <c r="C331" s="18" t="str">
        <f>"阳雪凡"</f>
        <v>阳雪凡</v>
      </c>
      <c r="D331" s="18" t="str">
        <f t="shared" si="44"/>
        <v>女</v>
      </c>
      <c r="E331" s="18" t="str">
        <f>"2022010706"</f>
        <v>2022010706</v>
      </c>
      <c r="F331" s="18">
        <v>0</v>
      </c>
      <c r="G331" s="18">
        <v>39</v>
      </c>
      <c r="H331" s="18" t="s">
        <v>13</v>
      </c>
      <c r="I331" s="18" t="s">
        <v>12</v>
      </c>
    </row>
    <row r="332" s="1" customFormat="1" customHeight="1" spans="1:9">
      <c r="A332" s="18" t="str">
        <f t="shared" si="42"/>
        <v>A3F</v>
      </c>
      <c r="B332" s="19" t="s">
        <v>23</v>
      </c>
      <c r="C332" s="18" t="str">
        <f>"宁小英"</f>
        <v>宁小英</v>
      </c>
      <c r="D332" s="18" t="str">
        <f t="shared" si="44"/>
        <v>女</v>
      </c>
      <c r="E332" s="18" t="str">
        <f>"2022010707"</f>
        <v>2022010707</v>
      </c>
      <c r="F332" s="18">
        <v>0</v>
      </c>
      <c r="G332" s="18">
        <v>39</v>
      </c>
      <c r="H332" s="18" t="s">
        <v>13</v>
      </c>
      <c r="I332" s="18" t="s">
        <v>12</v>
      </c>
    </row>
    <row r="333" s="1" customFormat="1" customHeight="1" spans="1:9">
      <c r="A333" s="18" t="str">
        <f t="shared" si="42"/>
        <v>A3F</v>
      </c>
      <c r="B333" s="19" t="s">
        <v>23</v>
      </c>
      <c r="C333" s="18" t="str">
        <f>"官秋庆"</f>
        <v>官秋庆</v>
      </c>
      <c r="D333" s="18" t="str">
        <f t="shared" si="44"/>
        <v>女</v>
      </c>
      <c r="E333" s="18" t="str">
        <f>"2022010710"</f>
        <v>2022010710</v>
      </c>
      <c r="F333" s="18">
        <v>0</v>
      </c>
      <c r="G333" s="18">
        <v>39</v>
      </c>
      <c r="H333" s="18" t="s">
        <v>13</v>
      </c>
      <c r="I333" s="18" t="s">
        <v>12</v>
      </c>
    </row>
    <row r="334" s="1" customFormat="1" customHeight="1" spans="1:9">
      <c r="A334" s="18" t="str">
        <f t="shared" si="42"/>
        <v>A3F</v>
      </c>
      <c r="B334" s="19" t="s">
        <v>23</v>
      </c>
      <c r="C334" s="18" t="str">
        <f>"陈思思"</f>
        <v>陈思思</v>
      </c>
      <c r="D334" s="18" t="str">
        <f t="shared" si="44"/>
        <v>女</v>
      </c>
      <c r="E334" s="18" t="str">
        <f>"2022010714"</f>
        <v>2022010714</v>
      </c>
      <c r="F334" s="18">
        <v>0</v>
      </c>
      <c r="G334" s="18">
        <v>39</v>
      </c>
      <c r="H334" s="18" t="s">
        <v>13</v>
      </c>
      <c r="I334" s="18" t="s">
        <v>12</v>
      </c>
    </row>
    <row r="335" s="1" customFormat="1" customHeight="1" spans="1:9">
      <c r="A335" s="18" t="str">
        <f t="shared" si="42"/>
        <v>A3F</v>
      </c>
      <c r="B335" s="19" t="s">
        <v>23</v>
      </c>
      <c r="C335" s="18" t="str">
        <f>"彭佩"</f>
        <v>彭佩</v>
      </c>
      <c r="D335" s="18" t="str">
        <f t="shared" si="44"/>
        <v>女</v>
      </c>
      <c r="E335" s="18" t="str">
        <f>"2022010715"</f>
        <v>2022010715</v>
      </c>
      <c r="F335" s="18">
        <v>0</v>
      </c>
      <c r="G335" s="18">
        <v>39</v>
      </c>
      <c r="H335" s="18" t="s">
        <v>13</v>
      </c>
      <c r="I335" s="18" t="s">
        <v>12</v>
      </c>
    </row>
    <row r="336" s="1" customFormat="1" customHeight="1" spans="1:9">
      <c r="A336" s="18" t="str">
        <f t="shared" si="42"/>
        <v>A3F</v>
      </c>
      <c r="B336" s="19" t="s">
        <v>23</v>
      </c>
      <c r="C336" s="18" t="str">
        <f>"李超"</f>
        <v>李超</v>
      </c>
      <c r="D336" s="18" t="str">
        <f t="shared" si="44"/>
        <v>女</v>
      </c>
      <c r="E336" s="18" t="str">
        <f>"2022010716"</f>
        <v>2022010716</v>
      </c>
      <c r="F336" s="18">
        <v>0</v>
      </c>
      <c r="G336" s="18">
        <v>39</v>
      </c>
      <c r="H336" s="18" t="s">
        <v>13</v>
      </c>
      <c r="I336" s="18" t="s">
        <v>12</v>
      </c>
    </row>
    <row r="337" s="1" customFormat="1" customHeight="1" spans="1:9">
      <c r="A337" s="18" t="str">
        <f t="shared" si="42"/>
        <v>A3F</v>
      </c>
      <c r="B337" s="19" t="s">
        <v>23</v>
      </c>
      <c r="C337" s="18" t="str">
        <f>"周榆玲"</f>
        <v>周榆玲</v>
      </c>
      <c r="D337" s="18" t="str">
        <f t="shared" si="44"/>
        <v>女</v>
      </c>
      <c r="E337" s="18" t="str">
        <f>"2022010721"</f>
        <v>2022010721</v>
      </c>
      <c r="F337" s="18">
        <v>0</v>
      </c>
      <c r="G337" s="18">
        <v>39</v>
      </c>
      <c r="H337" s="18" t="s">
        <v>13</v>
      </c>
      <c r="I337" s="18" t="s">
        <v>12</v>
      </c>
    </row>
    <row r="338" s="1" customFormat="1" customHeight="1" spans="1:9">
      <c r="A338" s="18" t="str">
        <f t="shared" si="42"/>
        <v>A3F</v>
      </c>
      <c r="B338" s="19" t="s">
        <v>23</v>
      </c>
      <c r="C338" s="18" t="str">
        <f>"廖静远"</f>
        <v>廖静远</v>
      </c>
      <c r="D338" s="18" t="str">
        <f t="shared" si="44"/>
        <v>女</v>
      </c>
      <c r="E338" s="18" t="str">
        <f>"2022010722"</f>
        <v>2022010722</v>
      </c>
      <c r="F338" s="18">
        <v>0</v>
      </c>
      <c r="G338" s="18">
        <v>39</v>
      </c>
      <c r="H338" s="18" t="s">
        <v>13</v>
      </c>
      <c r="I338" s="18" t="s">
        <v>12</v>
      </c>
    </row>
    <row r="339" s="1" customFormat="1" customHeight="1" spans="1:9">
      <c r="A339" s="18" t="str">
        <f t="shared" si="42"/>
        <v>A3F</v>
      </c>
      <c r="B339" s="19" t="s">
        <v>23</v>
      </c>
      <c r="C339" s="18" t="str">
        <f>"王香"</f>
        <v>王香</v>
      </c>
      <c r="D339" s="18" t="str">
        <f t="shared" si="44"/>
        <v>女</v>
      </c>
      <c r="E339" s="18" t="str">
        <f>"2022010723"</f>
        <v>2022010723</v>
      </c>
      <c r="F339" s="18">
        <v>0</v>
      </c>
      <c r="G339" s="18">
        <v>39</v>
      </c>
      <c r="H339" s="18" t="s">
        <v>13</v>
      </c>
      <c r="I339" s="18" t="s">
        <v>12</v>
      </c>
    </row>
    <row r="340" s="1" customFormat="1" customHeight="1" spans="1:9">
      <c r="A340" s="18" t="str">
        <f t="shared" ref="A340:A386" si="45">"A3G"</f>
        <v>A3G</v>
      </c>
      <c r="B340" s="19" t="s">
        <v>24</v>
      </c>
      <c r="C340" s="18" t="str">
        <f>"周越"</f>
        <v>周越</v>
      </c>
      <c r="D340" s="18" t="str">
        <f t="shared" si="44"/>
        <v>女</v>
      </c>
      <c r="E340" s="18" t="str">
        <f>"2022010731"</f>
        <v>2022010731</v>
      </c>
      <c r="F340" s="18">
        <v>96</v>
      </c>
      <c r="G340" s="18">
        <v>1</v>
      </c>
      <c r="H340" s="18"/>
      <c r="I340" s="28" t="s">
        <v>11</v>
      </c>
    </row>
    <row r="341" s="1" customFormat="1" customHeight="1" spans="1:9">
      <c r="A341" s="18" t="str">
        <f t="shared" si="45"/>
        <v>A3G</v>
      </c>
      <c r="B341" s="19" t="s">
        <v>24</v>
      </c>
      <c r="C341" s="18" t="str">
        <f>"周益芳"</f>
        <v>周益芳</v>
      </c>
      <c r="D341" s="18" t="str">
        <f t="shared" si="44"/>
        <v>女</v>
      </c>
      <c r="E341" s="18" t="str">
        <f>"2022010831"</f>
        <v>2022010831</v>
      </c>
      <c r="F341" s="18">
        <v>96</v>
      </c>
      <c r="G341" s="18">
        <v>1</v>
      </c>
      <c r="H341" s="18"/>
      <c r="I341" s="28" t="s">
        <v>11</v>
      </c>
    </row>
    <row r="342" s="1" customFormat="1" customHeight="1" spans="1:9">
      <c r="A342" s="18" t="str">
        <f t="shared" si="45"/>
        <v>A3G</v>
      </c>
      <c r="B342" s="19" t="s">
        <v>24</v>
      </c>
      <c r="C342" s="18" t="str">
        <f>"饶萧缘"</f>
        <v>饶萧缘</v>
      </c>
      <c r="D342" s="18" t="str">
        <f t="shared" si="44"/>
        <v>女</v>
      </c>
      <c r="E342" s="18" t="str">
        <f>"2022010804"</f>
        <v>2022010804</v>
      </c>
      <c r="F342" s="18">
        <v>94</v>
      </c>
      <c r="G342" s="18">
        <v>3</v>
      </c>
      <c r="H342" s="18"/>
      <c r="I342" s="18" t="s">
        <v>12</v>
      </c>
    </row>
    <row r="343" s="1" customFormat="1" customHeight="1" spans="1:9">
      <c r="A343" s="18" t="str">
        <f t="shared" si="45"/>
        <v>A3G</v>
      </c>
      <c r="B343" s="19" t="s">
        <v>24</v>
      </c>
      <c r="C343" s="18" t="str">
        <f>"李媛"</f>
        <v>李媛</v>
      </c>
      <c r="D343" s="18" t="str">
        <f t="shared" si="44"/>
        <v>女</v>
      </c>
      <c r="E343" s="18" t="str">
        <f>"2022010822"</f>
        <v>2022010822</v>
      </c>
      <c r="F343" s="18">
        <v>94</v>
      </c>
      <c r="G343" s="18">
        <v>3</v>
      </c>
      <c r="H343" s="18"/>
      <c r="I343" s="18" t="s">
        <v>12</v>
      </c>
    </row>
    <row r="344" s="1" customFormat="1" customHeight="1" spans="1:9">
      <c r="A344" s="18" t="str">
        <f t="shared" si="45"/>
        <v>A3G</v>
      </c>
      <c r="B344" s="19" t="s">
        <v>24</v>
      </c>
      <c r="C344" s="18" t="str">
        <f>"付苏娟"</f>
        <v>付苏娟</v>
      </c>
      <c r="D344" s="18" t="str">
        <f t="shared" si="44"/>
        <v>女</v>
      </c>
      <c r="E344" s="18" t="str">
        <f>"2022010807"</f>
        <v>2022010807</v>
      </c>
      <c r="F344" s="18">
        <v>91</v>
      </c>
      <c r="G344" s="18">
        <v>5</v>
      </c>
      <c r="H344" s="18"/>
      <c r="I344" s="18" t="s">
        <v>12</v>
      </c>
    </row>
    <row r="345" s="1" customFormat="1" customHeight="1" spans="1:9">
      <c r="A345" s="18" t="str">
        <f t="shared" si="45"/>
        <v>A3G</v>
      </c>
      <c r="B345" s="19" t="s">
        <v>24</v>
      </c>
      <c r="C345" s="18" t="str">
        <f>"王剑敏"</f>
        <v>王剑敏</v>
      </c>
      <c r="D345" s="18" t="str">
        <f t="shared" si="44"/>
        <v>女</v>
      </c>
      <c r="E345" s="18" t="str">
        <f>"2022010814"</f>
        <v>2022010814</v>
      </c>
      <c r="F345" s="18">
        <v>91</v>
      </c>
      <c r="G345" s="18">
        <v>5</v>
      </c>
      <c r="H345" s="18"/>
      <c r="I345" s="18" t="s">
        <v>12</v>
      </c>
    </row>
    <row r="346" s="1" customFormat="1" customHeight="1" spans="1:9">
      <c r="A346" s="18" t="str">
        <f t="shared" si="45"/>
        <v>A3G</v>
      </c>
      <c r="B346" s="19" t="s">
        <v>24</v>
      </c>
      <c r="C346" s="18" t="str">
        <f>"廖紫微"</f>
        <v>廖紫微</v>
      </c>
      <c r="D346" s="18" t="str">
        <f t="shared" si="44"/>
        <v>女</v>
      </c>
      <c r="E346" s="18" t="str">
        <f>"2022010732"</f>
        <v>2022010732</v>
      </c>
      <c r="F346" s="18">
        <v>90</v>
      </c>
      <c r="G346" s="18">
        <v>7</v>
      </c>
      <c r="H346" s="18"/>
      <c r="I346" s="18" t="s">
        <v>12</v>
      </c>
    </row>
    <row r="347" s="1" customFormat="1" customHeight="1" spans="1:9">
      <c r="A347" s="18" t="str">
        <f t="shared" si="45"/>
        <v>A3G</v>
      </c>
      <c r="B347" s="19" t="s">
        <v>24</v>
      </c>
      <c r="C347" s="18" t="str">
        <f>"王颖"</f>
        <v>王颖</v>
      </c>
      <c r="D347" s="18" t="str">
        <f t="shared" si="44"/>
        <v>女</v>
      </c>
      <c r="E347" s="18" t="str">
        <f>"2022010820"</f>
        <v>2022010820</v>
      </c>
      <c r="F347" s="18">
        <v>89</v>
      </c>
      <c r="G347" s="18">
        <v>8</v>
      </c>
      <c r="H347" s="18"/>
      <c r="I347" s="18" t="s">
        <v>12</v>
      </c>
    </row>
    <row r="348" s="1" customFormat="1" customHeight="1" spans="1:9">
      <c r="A348" s="18" t="str">
        <f t="shared" si="45"/>
        <v>A3G</v>
      </c>
      <c r="B348" s="19" t="s">
        <v>24</v>
      </c>
      <c r="C348" s="18" t="str">
        <f>"蒋丽瑶"</f>
        <v>蒋丽瑶</v>
      </c>
      <c r="D348" s="18" t="str">
        <f t="shared" si="44"/>
        <v>女</v>
      </c>
      <c r="E348" s="18" t="str">
        <f>"2022010833"</f>
        <v>2022010833</v>
      </c>
      <c r="F348" s="18">
        <v>88</v>
      </c>
      <c r="G348" s="18">
        <v>9</v>
      </c>
      <c r="H348" s="18"/>
      <c r="I348" s="18" t="s">
        <v>12</v>
      </c>
    </row>
    <row r="349" s="1" customFormat="1" customHeight="1" spans="1:9">
      <c r="A349" s="18" t="str">
        <f t="shared" si="45"/>
        <v>A3G</v>
      </c>
      <c r="B349" s="19" t="s">
        <v>24</v>
      </c>
      <c r="C349" s="18" t="str">
        <f>"易颖逸"</f>
        <v>易颖逸</v>
      </c>
      <c r="D349" s="18" t="str">
        <f t="shared" si="44"/>
        <v>女</v>
      </c>
      <c r="E349" s="18" t="str">
        <f>"2022010733"</f>
        <v>2022010733</v>
      </c>
      <c r="F349" s="18">
        <v>87</v>
      </c>
      <c r="G349" s="18">
        <v>10</v>
      </c>
      <c r="H349" s="18"/>
      <c r="I349" s="18" t="s">
        <v>12</v>
      </c>
    </row>
    <row r="350" s="1" customFormat="1" customHeight="1" spans="1:9">
      <c r="A350" s="18" t="str">
        <f t="shared" si="45"/>
        <v>A3G</v>
      </c>
      <c r="B350" s="19" t="s">
        <v>24</v>
      </c>
      <c r="C350" s="18" t="str">
        <f>"谢续友"</f>
        <v>谢续友</v>
      </c>
      <c r="D350" s="18" t="str">
        <f>"男"</f>
        <v>男</v>
      </c>
      <c r="E350" s="18" t="str">
        <f>"2022010813"</f>
        <v>2022010813</v>
      </c>
      <c r="F350" s="18">
        <v>87</v>
      </c>
      <c r="G350" s="18">
        <v>10</v>
      </c>
      <c r="H350" s="18"/>
      <c r="I350" s="18" t="s">
        <v>12</v>
      </c>
    </row>
    <row r="351" s="1" customFormat="1" customHeight="1" spans="1:9">
      <c r="A351" s="18" t="str">
        <f t="shared" si="45"/>
        <v>A3G</v>
      </c>
      <c r="B351" s="19" t="s">
        <v>24</v>
      </c>
      <c r="C351" s="18" t="str">
        <f>"邓旭霞"</f>
        <v>邓旭霞</v>
      </c>
      <c r="D351" s="18" t="str">
        <f t="shared" ref="D351:D358" si="46">"女"</f>
        <v>女</v>
      </c>
      <c r="E351" s="18" t="str">
        <f>"2022010826"</f>
        <v>2022010826</v>
      </c>
      <c r="F351" s="18">
        <v>86</v>
      </c>
      <c r="G351" s="18">
        <v>12</v>
      </c>
      <c r="H351" s="18"/>
      <c r="I351" s="18" t="s">
        <v>12</v>
      </c>
    </row>
    <row r="352" s="1" customFormat="1" customHeight="1" spans="1:9">
      <c r="A352" s="18" t="str">
        <f t="shared" si="45"/>
        <v>A3G</v>
      </c>
      <c r="B352" s="19" t="s">
        <v>24</v>
      </c>
      <c r="C352" s="18" t="str">
        <f>"徐美苏"</f>
        <v>徐美苏</v>
      </c>
      <c r="D352" s="18" t="str">
        <f t="shared" si="46"/>
        <v>女</v>
      </c>
      <c r="E352" s="18" t="str">
        <f>"2022010724"</f>
        <v>2022010724</v>
      </c>
      <c r="F352" s="18">
        <v>85</v>
      </c>
      <c r="G352" s="18">
        <v>13</v>
      </c>
      <c r="H352" s="18"/>
      <c r="I352" s="18" t="s">
        <v>12</v>
      </c>
    </row>
    <row r="353" s="1" customFormat="1" customHeight="1" spans="1:9">
      <c r="A353" s="18" t="str">
        <f t="shared" si="45"/>
        <v>A3G</v>
      </c>
      <c r="B353" s="19" t="s">
        <v>24</v>
      </c>
      <c r="C353" s="18" t="str">
        <f>"王蓉"</f>
        <v>王蓉</v>
      </c>
      <c r="D353" s="18" t="str">
        <f t="shared" si="46"/>
        <v>女</v>
      </c>
      <c r="E353" s="18" t="str">
        <f>"2022010729"</f>
        <v>2022010729</v>
      </c>
      <c r="F353" s="18">
        <v>85</v>
      </c>
      <c r="G353" s="18">
        <v>13</v>
      </c>
      <c r="H353" s="18"/>
      <c r="I353" s="18" t="s">
        <v>12</v>
      </c>
    </row>
    <row r="354" s="1" customFormat="1" customHeight="1" spans="1:9">
      <c r="A354" s="18" t="str">
        <f t="shared" si="45"/>
        <v>A3G</v>
      </c>
      <c r="B354" s="19" t="s">
        <v>24</v>
      </c>
      <c r="C354" s="18" t="str">
        <f>"张蓉"</f>
        <v>张蓉</v>
      </c>
      <c r="D354" s="18" t="str">
        <f t="shared" si="46"/>
        <v>女</v>
      </c>
      <c r="E354" s="18" t="str">
        <f>"2022010810"</f>
        <v>2022010810</v>
      </c>
      <c r="F354" s="18">
        <v>84</v>
      </c>
      <c r="G354" s="18">
        <v>15</v>
      </c>
      <c r="H354" s="18"/>
      <c r="I354" s="18" t="s">
        <v>12</v>
      </c>
    </row>
    <row r="355" s="1" customFormat="1" customHeight="1" spans="1:9">
      <c r="A355" s="18" t="str">
        <f t="shared" si="45"/>
        <v>A3G</v>
      </c>
      <c r="B355" s="19" t="s">
        <v>24</v>
      </c>
      <c r="C355" s="18" t="str">
        <f>"张依"</f>
        <v>张依</v>
      </c>
      <c r="D355" s="18" t="str">
        <f t="shared" si="46"/>
        <v>女</v>
      </c>
      <c r="E355" s="18" t="str">
        <f>"2022010818"</f>
        <v>2022010818</v>
      </c>
      <c r="F355" s="18">
        <v>84</v>
      </c>
      <c r="G355" s="18">
        <v>15</v>
      </c>
      <c r="H355" s="18"/>
      <c r="I355" s="18" t="s">
        <v>12</v>
      </c>
    </row>
    <row r="356" s="1" customFormat="1" customHeight="1" spans="1:9">
      <c r="A356" s="18" t="str">
        <f t="shared" si="45"/>
        <v>A3G</v>
      </c>
      <c r="B356" s="19" t="s">
        <v>24</v>
      </c>
      <c r="C356" s="18" t="str">
        <f>"陈金钰"</f>
        <v>陈金钰</v>
      </c>
      <c r="D356" s="18" t="str">
        <f t="shared" si="46"/>
        <v>女</v>
      </c>
      <c r="E356" s="18" t="str">
        <f>"2022010828"</f>
        <v>2022010828</v>
      </c>
      <c r="F356" s="18">
        <v>84</v>
      </c>
      <c r="G356" s="18">
        <v>15</v>
      </c>
      <c r="H356" s="18"/>
      <c r="I356" s="18" t="s">
        <v>12</v>
      </c>
    </row>
    <row r="357" s="1" customFormat="1" customHeight="1" spans="1:9">
      <c r="A357" s="18" t="str">
        <f t="shared" si="45"/>
        <v>A3G</v>
      </c>
      <c r="B357" s="19" t="s">
        <v>24</v>
      </c>
      <c r="C357" s="18" t="str">
        <f>"戴淑君"</f>
        <v>戴淑君</v>
      </c>
      <c r="D357" s="18" t="str">
        <f t="shared" si="46"/>
        <v>女</v>
      </c>
      <c r="E357" s="18" t="str">
        <f>"2022010801"</f>
        <v>2022010801</v>
      </c>
      <c r="F357" s="18">
        <v>81</v>
      </c>
      <c r="G357" s="18">
        <v>18</v>
      </c>
      <c r="H357" s="18"/>
      <c r="I357" s="18" t="s">
        <v>12</v>
      </c>
    </row>
    <row r="358" s="1" customFormat="1" customHeight="1" spans="1:9">
      <c r="A358" s="18" t="str">
        <f t="shared" si="45"/>
        <v>A3G</v>
      </c>
      <c r="B358" s="19" t="s">
        <v>24</v>
      </c>
      <c r="C358" s="18" t="str">
        <f>"刘莉"</f>
        <v>刘莉</v>
      </c>
      <c r="D358" s="18" t="str">
        <f t="shared" si="46"/>
        <v>女</v>
      </c>
      <c r="E358" s="18" t="str">
        <f>"2022010825"</f>
        <v>2022010825</v>
      </c>
      <c r="F358" s="18">
        <v>81</v>
      </c>
      <c r="G358" s="18">
        <v>18</v>
      </c>
      <c r="H358" s="18"/>
      <c r="I358" s="18" t="s">
        <v>12</v>
      </c>
    </row>
    <row r="359" s="1" customFormat="1" customHeight="1" spans="1:9">
      <c r="A359" s="18" t="str">
        <f t="shared" si="45"/>
        <v>A3G</v>
      </c>
      <c r="B359" s="19" t="s">
        <v>24</v>
      </c>
      <c r="C359" s="18" t="str">
        <f>"宁子涛"</f>
        <v>宁子涛</v>
      </c>
      <c r="D359" s="18" t="str">
        <f>"男"</f>
        <v>男</v>
      </c>
      <c r="E359" s="18" t="str">
        <f>"2022010830"</f>
        <v>2022010830</v>
      </c>
      <c r="F359" s="18">
        <v>73</v>
      </c>
      <c r="G359" s="18">
        <v>20</v>
      </c>
      <c r="H359" s="18"/>
      <c r="I359" s="18" t="s">
        <v>12</v>
      </c>
    </row>
    <row r="360" s="1" customFormat="1" customHeight="1" spans="1:9">
      <c r="A360" s="18" t="str">
        <f t="shared" si="45"/>
        <v>A3G</v>
      </c>
      <c r="B360" s="19" t="s">
        <v>24</v>
      </c>
      <c r="C360" s="18" t="str">
        <f>"杨笑容"</f>
        <v>杨笑容</v>
      </c>
      <c r="D360" s="18" t="str">
        <f t="shared" ref="D360:D385" si="47">"女"</f>
        <v>女</v>
      </c>
      <c r="E360" s="18" t="str">
        <f>"2022010824"</f>
        <v>2022010824</v>
      </c>
      <c r="F360" s="18">
        <v>69</v>
      </c>
      <c r="G360" s="18">
        <v>21</v>
      </c>
      <c r="H360" s="18"/>
      <c r="I360" s="18" t="s">
        <v>12</v>
      </c>
    </row>
    <row r="361" s="1" customFormat="1" customHeight="1" spans="1:9">
      <c r="A361" s="18" t="str">
        <f t="shared" si="45"/>
        <v>A3G</v>
      </c>
      <c r="B361" s="19" t="s">
        <v>24</v>
      </c>
      <c r="C361" s="18" t="str">
        <f>"刘晗"</f>
        <v>刘晗</v>
      </c>
      <c r="D361" s="18" t="str">
        <f t="shared" si="47"/>
        <v>女</v>
      </c>
      <c r="E361" s="18" t="str">
        <f>"2022010834"</f>
        <v>2022010834</v>
      </c>
      <c r="F361" s="18">
        <v>67</v>
      </c>
      <c r="G361" s="18">
        <v>22</v>
      </c>
      <c r="H361" s="18"/>
      <c r="I361" s="18" t="s">
        <v>12</v>
      </c>
    </row>
    <row r="362" s="1" customFormat="1" customHeight="1" spans="1:9">
      <c r="A362" s="18" t="str">
        <f t="shared" si="45"/>
        <v>A3G</v>
      </c>
      <c r="B362" s="19" t="s">
        <v>24</v>
      </c>
      <c r="C362" s="18" t="str">
        <f>"曾骄阳"</f>
        <v>曾骄阳</v>
      </c>
      <c r="D362" s="18" t="str">
        <f t="shared" si="47"/>
        <v>女</v>
      </c>
      <c r="E362" s="18" t="str">
        <f>"2022010725"</f>
        <v>2022010725</v>
      </c>
      <c r="F362" s="18">
        <v>0</v>
      </c>
      <c r="G362" s="18">
        <v>23</v>
      </c>
      <c r="H362" s="18" t="s">
        <v>13</v>
      </c>
      <c r="I362" s="18" t="s">
        <v>12</v>
      </c>
    </row>
    <row r="363" s="1" customFormat="1" customHeight="1" spans="1:9">
      <c r="A363" s="18" t="str">
        <f t="shared" si="45"/>
        <v>A3G</v>
      </c>
      <c r="B363" s="19" t="s">
        <v>24</v>
      </c>
      <c r="C363" s="18" t="str">
        <f>"潘楚"</f>
        <v>潘楚</v>
      </c>
      <c r="D363" s="18" t="str">
        <f t="shared" si="47"/>
        <v>女</v>
      </c>
      <c r="E363" s="18" t="str">
        <f>"2022010726"</f>
        <v>2022010726</v>
      </c>
      <c r="F363" s="18">
        <v>0</v>
      </c>
      <c r="G363" s="18">
        <v>23</v>
      </c>
      <c r="H363" s="18" t="s">
        <v>13</v>
      </c>
      <c r="I363" s="18" t="s">
        <v>12</v>
      </c>
    </row>
    <row r="364" s="1" customFormat="1" customHeight="1" spans="1:9">
      <c r="A364" s="18" t="str">
        <f t="shared" si="45"/>
        <v>A3G</v>
      </c>
      <c r="B364" s="19" t="s">
        <v>24</v>
      </c>
      <c r="C364" s="18" t="str">
        <f>"肖姝"</f>
        <v>肖姝</v>
      </c>
      <c r="D364" s="18" t="str">
        <f t="shared" si="47"/>
        <v>女</v>
      </c>
      <c r="E364" s="18" t="str">
        <f>"2022010727"</f>
        <v>2022010727</v>
      </c>
      <c r="F364" s="18">
        <v>0</v>
      </c>
      <c r="G364" s="18">
        <v>23</v>
      </c>
      <c r="H364" s="18" t="s">
        <v>13</v>
      </c>
      <c r="I364" s="18" t="s">
        <v>12</v>
      </c>
    </row>
    <row r="365" s="1" customFormat="1" customHeight="1" spans="1:9">
      <c r="A365" s="18" t="str">
        <f t="shared" si="45"/>
        <v>A3G</v>
      </c>
      <c r="B365" s="19" t="s">
        <v>24</v>
      </c>
      <c r="C365" s="18" t="str">
        <f>"范年花"</f>
        <v>范年花</v>
      </c>
      <c r="D365" s="18" t="str">
        <f t="shared" si="47"/>
        <v>女</v>
      </c>
      <c r="E365" s="18" t="str">
        <f>"2022010728"</f>
        <v>2022010728</v>
      </c>
      <c r="F365" s="18">
        <v>0</v>
      </c>
      <c r="G365" s="18">
        <v>23</v>
      </c>
      <c r="H365" s="18" t="s">
        <v>13</v>
      </c>
      <c r="I365" s="18" t="s">
        <v>12</v>
      </c>
    </row>
    <row r="366" s="1" customFormat="1" customHeight="1" spans="1:9">
      <c r="A366" s="18" t="str">
        <f t="shared" si="45"/>
        <v>A3G</v>
      </c>
      <c r="B366" s="19" t="s">
        <v>24</v>
      </c>
      <c r="C366" s="18" t="str">
        <f>"孙小梅"</f>
        <v>孙小梅</v>
      </c>
      <c r="D366" s="18" t="str">
        <f t="shared" si="47"/>
        <v>女</v>
      </c>
      <c r="E366" s="18" t="str">
        <f>"2022010730"</f>
        <v>2022010730</v>
      </c>
      <c r="F366" s="18">
        <v>0</v>
      </c>
      <c r="G366" s="18">
        <v>23</v>
      </c>
      <c r="H366" s="18" t="s">
        <v>13</v>
      </c>
      <c r="I366" s="18" t="s">
        <v>12</v>
      </c>
    </row>
    <row r="367" s="1" customFormat="1" customHeight="1" spans="1:9">
      <c r="A367" s="18" t="str">
        <f t="shared" si="45"/>
        <v>A3G</v>
      </c>
      <c r="B367" s="19" t="s">
        <v>24</v>
      </c>
      <c r="C367" s="18" t="str">
        <f>"罗丽"</f>
        <v>罗丽</v>
      </c>
      <c r="D367" s="18" t="str">
        <f t="shared" si="47"/>
        <v>女</v>
      </c>
      <c r="E367" s="18" t="str">
        <f>"2022010734"</f>
        <v>2022010734</v>
      </c>
      <c r="F367" s="18">
        <v>0</v>
      </c>
      <c r="G367" s="18">
        <v>23</v>
      </c>
      <c r="H367" s="18" t="s">
        <v>13</v>
      </c>
      <c r="I367" s="18" t="s">
        <v>12</v>
      </c>
    </row>
    <row r="368" s="1" customFormat="1" customHeight="1" spans="1:9">
      <c r="A368" s="18" t="str">
        <f t="shared" si="45"/>
        <v>A3G</v>
      </c>
      <c r="B368" s="19" t="s">
        <v>24</v>
      </c>
      <c r="C368" s="18" t="str">
        <f>"毛水菊"</f>
        <v>毛水菊</v>
      </c>
      <c r="D368" s="18" t="str">
        <f t="shared" si="47"/>
        <v>女</v>
      </c>
      <c r="E368" s="18" t="str">
        <f>"2022010735"</f>
        <v>2022010735</v>
      </c>
      <c r="F368" s="18">
        <v>0</v>
      </c>
      <c r="G368" s="18">
        <v>23</v>
      </c>
      <c r="H368" s="18" t="s">
        <v>13</v>
      </c>
      <c r="I368" s="18" t="s">
        <v>12</v>
      </c>
    </row>
    <row r="369" s="1" customFormat="1" customHeight="1" spans="1:9">
      <c r="A369" s="18" t="str">
        <f t="shared" si="45"/>
        <v>A3G</v>
      </c>
      <c r="B369" s="19" t="s">
        <v>24</v>
      </c>
      <c r="C369" s="18" t="str">
        <f>"颜苗苗"</f>
        <v>颜苗苗</v>
      </c>
      <c r="D369" s="18" t="str">
        <f t="shared" si="47"/>
        <v>女</v>
      </c>
      <c r="E369" s="18" t="str">
        <f>"2022010802"</f>
        <v>2022010802</v>
      </c>
      <c r="F369" s="18">
        <v>0</v>
      </c>
      <c r="G369" s="18">
        <v>23</v>
      </c>
      <c r="H369" s="18" t="s">
        <v>13</v>
      </c>
      <c r="I369" s="18" t="s">
        <v>12</v>
      </c>
    </row>
    <row r="370" s="1" customFormat="1" customHeight="1" spans="1:9">
      <c r="A370" s="18" t="str">
        <f t="shared" si="45"/>
        <v>A3G</v>
      </c>
      <c r="B370" s="19" t="s">
        <v>24</v>
      </c>
      <c r="C370" s="18" t="str">
        <f>"罗雅倩"</f>
        <v>罗雅倩</v>
      </c>
      <c r="D370" s="18" t="str">
        <f t="shared" si="47"/>
        <v>女</v>
      </c>
      <c r="E370" s="18" t="str">
        <f>"2022010803"</f>
        <v>2022010803</v>
      </c>
      <c r="F370" s="18">
        <v>0</v>
      </c>
      <c r="G370" s="18">
        <v>23</v>
      </c>
      <c r="H370" s="18" t="s">
        <v>13</v>
      </c>
      <c r="I370" s="18" t="s">
        <v>12</v>
      </c>
    </row>
    <row r="371" s="1" customFormat="1" customHeight="1" spans="1:9">
      <c r="A371" s="18" t="str">
        <f t="shared" si="45"/>
        <v>A3G</v>
      </c>
      <c r="B371" s="19" t="s">
        <v>24</v>
      </c>
      <c r="C371" s="18" t="str">
        <f>"冒佩"</f>
        <v>冒佩</v>
      </c>
      <c r="D371" s="18" t="str">
        <f t="shared" si="47"/>
        <v>女</v>
      </c>
      <c r="E371" s="18" t="str">
        <f>"2022010805"</f>
        <v>2022010805</v>
      </c>
      <c r="F371" s="18">
        <v>0</v>
      </c>
      <c r="G371" s="18">
        <v>23</v>
      </c>
      <c r="H371" s="18" t="s">
        <v>13</v>
      </c>
      <c r="I371" s="18" t="s">
        <v>12</v>
      </c>
    </row>
    <row r="372" s="1" customFormat="1" customHeight="1" spans="1:9">
      <c r="A372" s="18" t="str">
        <f t="shared" si="45"/>
        <v>A3G</v>
      </c>
      <c r="B372" s="19" t="s">
        <v>24</v>
      </c>
      <c r="C372" s="18" t="str">
        <f>"雷银知"</f>
        <v>雷银知</v>
      </c>
      <c r="D372" s="18" t="str">
        <f t="shared" si="47"/>
        <v>女</v>
      </c>
      <c r="E372" s="18" t="str">
        <f>"2022010806"</f>
        <v>2022010806</v>
      </c>
      <c r="F372" s="18">
        <v>0</v>
      </c>
      <c r="G372" s="18">
        <v>23</v>
      </c>
      <c r="H372" s="18" t="s">
        <v>13</v>
      </c>
      <c r="I372" s="18" t="s">
        <v>12</v>
      </c>
    </row>
    <row r="373" s="1" customFormat="1" customHeight="1" spans="1:9">
      <c r="A373" s="18" t="str">
        <f t="shared" si="45"/>
        <v>A3G</v>
      </c>
      <c r="B373" s="19" t="s">
        <v>24</v>
      </c>
      <c r="C373" s="18" t="str">
        <f>"隆淑雅"</f>
        <v>隆淑雅</v>
      </c>
      <c r="D373" s="18" t="str">
        <f t="shared" si="47"/>
        <v>女</v>
      </c>
      <c r="E373" s="18" t="str">
        <f>"2022010808"</f>
        <v>2022010808</v>
      </c>
      <c r="F373" s="18">
        <v>0</v>
      </c>
      <c r="G373" s="18">
        <v>23</v>
      </c>
      <c r="H373" s="18" t="s">
        <v>13</v>
      </c>
      <c r="I373" s="18" t="s">
        <v>12</v>
      </c>
    </row>
    <row r="374" s="1" customFormat="1" customHeight="1" spans="1:9">
      <c r="A374" s="18" t="str">
        <f t="shared" si="45"/>
        <v>A3G</v>
      </c>
      <c r="B374" s="19" t="s">
        <v>24</v>
      </c>
      <c r="C374" s="18" t="str">
        <f>"张金林"</f>
        <v>张金林</v>
      </c>
      <c r="D374" s="18" t="str">
        <f t="shared" si="47"/>
        <v>女</v>
      </c>
      <c r="E374" s="18" t="str">
        <f>"2022010809"</f>
        <v>2022010809</v>
      </c>
      <c r="F374" s="18">
        <v>0</v>
      </c>
      <c r="G374" s="18">
        <v>23</v>
      </c>
      <c r="H374" s="18" t="s">
        <v>13</v>
      </c>
      <c r="I374" s="18" t="s">
        <v>12</v>
      </c>
    </row>
    <row r="375" s="1" customFormat="1" customHeight="1" spans="1:9">
      <c r="A375" s="18" t="str">
        <f t="shared" si="45"/>
        <v>A3G</v>
      </c>
      <c r="B375" s="19" t="s">
        <v>24</v>
      </c>
      <c r="C375" s="18" t="str">
        <f>"谭静"</f>
        <v>谭静</v>
      </c>
      <c r="D375" s="18" t="str">
        <f t="shared" si="47"/>
        <v>女</v>
      </c>
      <c r="E375" s="18" t="str">
        <f>"2022010811"</f>
        <v>2022010811</v>
      </c>
      <c r="F375" s="18">
        <v>0</v>
      </c>
      <c r="G375" s="18">
        <v>23</v>
      </c>
      <c r="H375" s="18" t="s">
        <v>13</v>
      </c>
      <c r="I375" s="18" t="s">
        <v>12</v>
      </c>
    </row>
    <row r="376" s="1" customFormat="1" customHeight="1" spans="1:9">
      <c r="A376" s="18" t="str">
        <f t="shared" si="45"/>
        <v>A3G</v>
      </c>
      <c r="B376" s="19" t="s">
        <v>24</v>
      </c>
      <c r="C376" s="18" t="str">
        <f>"佘霓"</f>
        <v>佘霓</v>
      </c>
      <c r="D376" s="18" t="str">
        <f t="shared" si="47"/>
        <v>女</v>
      </c>
      <c r="E376" s="18" t="str">
        <f>"2022010812"</f>
        <v>2022010812</v>
      </c>
      <c r="F376" s="18">
        <v>0</v>
      </c>
      <c r="G376" s="18">
        <v>23</v>
      </c>
      <c r="H376" s="18" t="s">
        <v>13</v>
      </c>
      <c r="I376" s="18" t="s">
        <v>12</v>
      </c>
    </row>
    <row r="377" s="1" customFormat="1" customHeight="1" spans="1:9">
      <c r="A377" s="18" t="str">
        <f t="shared" si="45"/>
        <v>A3G</v>
      </c>
      <c r="B377" s="19" t="s">
        <v>24</v>
      </c>
      <c r="C377" s="18" t="str">
        <f>"姚庆琳"</f>
        <v>姚庆琳</v>
      </c>
      <c r="D377" s="18" t="str">
        <f t="shared" si="47"/>
        <v>女</v>
      </c>
      <c r="E377" s="18" t="str">
        <f>"2022010815"</f>
        <v>2022010815</v>
      </c>
      <c r="F377" s="18">
        <v>0</v>
      </c>
      <c r="G377" s="18">
        <v>23</v>
      </c>
      <c r="H377" s="18" t="s">
        <v>13</v>
      </c>
      <c r="I377" s="18" t="s">
        <v>12</v>
      </c>
    </row>
    <row r="378" s="1" customFormat="1" customHeight="1" spans="1:9">
      <c r="A378" s="18" t="str">
        <f t="shared" si="45"/>
        <v>A3G</v>
      </c>
      <c r="B378" s="19" t="s">
        <v>24</v>
      </c>
      <c r="C378" s="18" t="str">
        <f>"黄越男"</f>
        <v>黄越男</v>
      </c>
      <c r="D378" s="18" t="str">
        <f t="shared" si="47"/>
        <v>女</v>
      </c>
      <c r="E378" s="18" t="str">
        <f>"2022010816"</f>
        <v>2022010816</v>
      </c>
      <c r="F378" s="18">
        <v>0</v>
      </c>
      <c r="G378" s="18">
        <v>23</v>
      </c>
      <c r="H378" s="18" t="s">
        <v>13</v>
      </c>
      <c r="I378" s="18" t="s">
        <v>12</v>
      </c>
    </row>
    <row r="379" s="1" customFormat="1" customHeight="1" spans="1:9">
      <c r="A379" s="18" t="str">
        <f t="shared" si="45"/>
        <v>A3G</v>
      </c>
      <c r="B379" s="19" t="s">
        <v>24</v>
      </c>
      <c r="C379" s="18" t="str">
        <f>"唐瑶"</f>
        <v>唐瑶</v>
      </c>
      <c r="D379" s="18" t="str">
        <f t="shared" si="47"/>
        <v>女</v>
      </c>
      <c r="E379" s="18" t="str">
        <f>"2022010817"</f>
        <v>2022010817</v>
      </c>
      <c r="F379" s="18">
        <v>0</v>
      </c>
      <c r="G379" s="18">
        <v>23</v>
      </c>
      <c r="H379" s="18" t="s">
        <v>13</v>
      </c>
      <c r="I379" s="18" t="s">
        <v>12</v>
      </c>
    </row>
    <row r="380" s="1" customFormat="1" customHeight="1" spans="1:9">
      <c r="A380" s="18" t="str">
        <f t="shared" si="45"/>
        <v>A3G</v>
      </c>
      <c r="B380" s="19" t="s">
        <v>24</v>
      </c>
      <c r="C380" s="18" t="str">
        <f>"尧晨薇"</f>
        <v>尧晨薇</v>
      </c>
      <c r="D380" s="18" t="str">
        <f t="shared" si="47"/>
        <v>女</v>
      </c>
      <c r="E380" s="18" t="str">
        <f>"2022010819"</f>
        <v>2022010819</v>
      </c>
      <c r="F380" s="18">
        <v>0</v>
      </c>
      <c r="G380" s="18">
        <v>23</v>
      </c>
      <c r="H380" s="18" t="s">
        <v>13</v>
      </c>
      <c r="I380" s="18" t="s">
        <v>12</v>
      </c>
    </row>
    <row r="381" s="1" customFormat="1" customHeight="1" spans="1:9">
      <c r="A381" s="18" t="str">
        <f t="shared" si="45"/>
        <v>A3G</v>
      </c>
      <c r="B381" s="19" t="s">
        <v>24</v>
      </c>
      <c r="C381" s="18" t="str">
        <f>"曾冬梅"</f>
        <v>曾冬梅</v>
      </c>
      <c r="D381" s="18" t="str">
        <f t="shared" si="47"/>
        <v>女</v>
      </c>
      <c r="E381" s="18" t="str">
        <f>"2022010821"</f>
        <v>2022010821</v>
      </c>
      <c r="F381" s="18">
        <v>0</v>
      </c>
      <c r="G381" s="18">
        <v>23</v>
      </c>
      <c r="H381" s="18" t="s">
        <v>13</v>
      </c>
      <c r="I381" s="18" t="s">
        <v>12</v>
      </c>
    </row>
    <row r="382" s="1" customFormat="1" customHeight="1" spans="1:9">
      <c r="A382" s="18" t="str">
        <f t="shared" si="45"/>
        <v>A3G</v>
      </c>
      <c r="B382" s="19" t="s">
        <v>24</v>
      </c>
      <c r="C382" s="18" t="str">
        <f>"石燕"</f>
        <v>石燕</v>
      </c>
      <c r="D382" s="18" t="str">
        <f t="shared" si="47"/>
        <v>女</v>
      </c>
      <c r="E382" s="18" t="str">
        <f>"2022010823"</f>
        <v>2022010823</v>
      </c>
      <c r="F382" s="18">
        <v>0</v>
      </c>
      <c r="G382" s="18">
        <v>23</v>
      </c>
      <c r="H382" s="18" t="s">
        <v>13</v>
      </c>
      <c r="I382" s="18" t="s">
        <v>12</v>
      </c>
    </row>
    <row r="383" s="1" customFormat="1" customHeight="1" spans="1:9">
      <c r="A383" s="18" t="str">
        <f t="shared" si="45"/>
        <v>A3G</v>
      </c>
      <c r="B383" s="19" t="s">
        <v>24</v>
      </c>
      <c r="C383" s="18" t="str">
        <f>"刘颖"</f>
        <v>刘颖</v>
      </c>
      <c r="D383" s="18" t="str">
        <f t="shared" si="47"/>
        <v>女</v>
      </c>
      <c r="E383" s="18" t="str">
        <f>"2022010827"</f>
        <v>2022010827</v>
      </c>
      <c r="F383" s="18">
        <v>0</v>
      </c>
      <c r="G383" s="18">
        <v>23</v>
      </c>
      <c r="H383" s="18" t="s">
        <v>13</v>
      </c>
      <c r="I383" s="18" t="s">
        <v>12</v>
      </c>
    </row>
    <row r="384" s="1" customFormat="1" customHeight="1" spans="1:9">
      <c r="A384" s="18" t="str">
        <f t="shared" si="45"/>
        <v>A3G</v>
      </c>
      <c r="B384" s="19" t="s">
        <v>24</v>
      </c>
      <c r="C384" s="18" t="str">
        <f>"罗娜"</f>
        <v>罗娜</v>
      </c>
      <c r="D384" s="18" t="str">
        <f t="shared" si="47"/>
        <v>女</v>
      </c>
      <c r="E384" s="18" t="str">
        <f>"2022010829"</f>
        <v>2022010829</v>
      </c>
      <c r="F384" s="18">
        <v>0</v>
      </c>
      <c r="G384" s="18">
        <v>23</v>
      </c>
      <c r="H384" s="18" t="s">
        <v>13</v>
      </c>
      <c r="I384" s="18" t="s">
        <v>12</v>
      </c>
    </row>
    <row r="385" s="1" customFormat="1" customHeight="1" spans="1:9">
      <c r="A385" s="18" t="str">
        <f t="shared" si="45"/>
        <v>A3G</v>
      </c>
      <c r="B385" s="19" t="s">
        <v>24</v>
      </c>
      <c r="C385" s="18" t="str">
        <f>"罗洁"</f>
        <v>罗洁</v>
      </c>
      <c r="D385" s="18" t="str">
        <f t="shared" si="47"/>
        <v>女</v>
      </c>
      <c r="E385" s="18" t="str">
        <f>"2022010832"</f>
        <v>2022010832</v>
      </c>
      <c r="F385" s="18">
        <v>0</v>
      </c>
      <c r="G385" s="18">
        <v>23</v>
      </c>
      <c r="H385" s="18" t="s">
        <v>13</v>
      </c>
      <c r="I385" s="18" t="s">
        <v>12</v>
      </c>
    </row>
    <row r="386" s="1" customFormat="1" customHeight="1" spans="1:9">
      <c r="A386" s="18" t="str">
        <f t="shared" si="45"/>
        <v>A3G</v>
      </c>
      <c r="B386" s="19" t="s">
        <v>24</v>
      </c>
      <c r="C386" s="18" t="str">
        <f>"胡光豪"</f>
        <v>胡光豪</v>
      </c>
      <c r="D386" s="18" t="str">
        <f t="shared" ref="D386:D389" si="48">"男"</f>
        <v>男</v>
      </c>
      <c r="E386" s="18" t="str">
        <f>"2022010835"</f>
        <v>2022010835</v>
      </c>
      <c r="F386" s="18">
        <v>0</v>
      </c>
      <c r="G386" s="18">
        <v>23</v>
      </c>
      <c r="H386" s="18" t="s">
        <v>13</v>
      </c>
      <c r="I386" s="18" t="s">
        <v>12</v>
      </c>
    </row>
    <row r="387" s="1" customFormat="1" customHeight="1" spans="1:9">
      <c r="A387" s="18" t="str">
        <f t="shared" ref="A387:A397" si="49">"A4F"</f>
        <v>A4F</v>
      </c>
      <c r="B387" s="19" t="s">
        <v>25</v>
      </c>
      <c r="C387" s="18" t="str">
        <f>"易立南"</f>
        <v>易立南</v>
      </c>
      <c r="D387" s="18" t="str">
        <f t="shared" si="48"/>
        <v>男</v>
      </c>
      <c r="E387" s="18" t="str">
        <f>"2022011227"</f>
        <v>2022011227</v>
      </c>
      <c r="F387" s="18">
        <v>96.5</v>
      </c>
      <c r="G387" s="18">
        <v>1</v>
      </c>
      <c r="H387" s="18"/>
      <c r="I387" s="28" t="s">
        <v>11</v>
      </c>
    </row>
    <row r="388" s="1" customFormat="1" customHeight="1" spans="1:9">
      <c r="A388" s="18" t="str">
        <f t="shared" si="49"/>
        <v>A4F</v>
      </c>
      <c r="B388" s="19" t="s">
        <v>25</v>
      </c>
      <c r="C388" s="18" t="str">
        <f>"马南茂"</f>
        <v>马南茂</v>
      </c>
      <c r="D388" s="18" t="str">
        <f t="shared" si="48"/>
        <v>男</v>
      </c>
      <c r="E388" s="18" t="str">
        <f>"2022011229"</f>
        <v>2022011229</v>
      </c>
      <c r="F388" s="18">
        <v>94.5</v>
      </c>
      <c r="G388" s="18">
        <v>2</v>
      </c>
      <c r="H388" s="18"/>
      <c r="I388" s="28" t="s">
        <v>11</v>
      </c>
    </row>
    <row r="389" s="1" customFormat="1" customHeight="1" spans="1:9">
      <c r="A389" s="18" t="str">
        <f t="shared" si="49"/>
        <v>A4F</v>
      </c>
      <c r="B389" s="19" t="s">
        <v>25</v>
      </c>
      <c r="C389" s="18" t="str">
        <f>"李石平"</f>
        <v>李石平</v>
      </c>
      <c r="D389" s="18" t="str">
        <f t="shared" si="48"/>
        <v>男</v>
      </c>
      <c r="E389" s="18" t="str">
        <f>"2022011222"</f>
        <v>2022011222</v>
      </c>
      <c r="F389" s="18">
        <v>93.5</v>
      </c>
      <c r="G389" s="18">
        <v>3</v>
      </c>
      <c r="H389" s="18"/>
      <c r="I389" s="18" t="s">
        <v>12</v>
      </c>
    </row>
    <row r="390" s="1" customFormat="1" customHeight="1" spans="1:9">
      <c r="A390" s="18" t="str">
        <f t="shared" si="49"/>
        <v>A4F</v>
      </c>
      <c r="B390" s="19" t="s">
        <v>25</v>
      </c>
      <c r="C390" s="18" t="str">
        <f>"朱淑瑜"</f>
        <v>朱淑瑜</v>
      </c>
      <c r="D390" s="18" t="str">
        <f>"女"</f>
        <v>女</v>
      </c>
      <c r="E390" s="18" t="str">
        <f>"2022011231"</f>
        <v>2022011231</v>
      </c>
      <c r="F390" s="18">
        <v>93.5</v>
      </c>
      <c r="G390" s="18">
        <v>3</v>
      </c>
      <c r="H390" s="18"/>
      <c r="I390" s="18" t="s">
        <v>12</v>
      </c>
    </row>
    <row r="391" s="1" customFormat="1" customHeight="1" spans="1:9">
      <c r="A391" s="18" t="str">
        <f t="shared" si="49"/>
        <v>A4F</v>
      </c>
      <c r="B391" s="19" t="s">
        <v>25</v>
      </c>
      <c r="C391" s="18" t="str">
        <f>"刘林"</f>
        <v>刘林</v>
      </c>
      <c r="D391" s="18" t="str">
        <f t="shared" ref="D391:D393" si="50">"男"</f>
        <v>男</v>
      </c>
      <c r="E391" s="18" t="str">
        <f>"2022011225"</f>
        <v>2022011225</v>
      </c>
      <c r="F391" s="18">
        <v>92.5</v>
      </c>
      <c r="G391" s="18">
        <v>5</v>
      </c>
      <c r="H391" s="18"/>
      <c r="I391" s="18" t="s">
        <v>12</v>
      </c>
    </row>
    <row r="392" s="1" customFormat="1" customHeight="1" spans="1:9">
      <c r="A392" s="18" t="str">
        <f t="shared" si="49"/>
        <v>A4F</v>
      </c>
      <c r="B392" s="19" t="s">
        <v>25</v>
      </c>
      <c r="C392" s="18" t="str">
        <f>"王增军"</f>
        <v>王增军</v>
      </c>
      <c r="D392" s="18" t="str">
        <f t="shared" si="50"/>
        <v>男</v>
      </c>
      <c r="E392" s="18" t="str">
        <f>"2022011221"</f>
        <v>2022011221</v>
      </c>
      <c r="F392" s="18">
        <v>90</v>
      </c>
      <c r="G392" s="18">
        <v>6</v>
      </c>
      <c r="H392" s="18"/>
      <c r="I392" s="18" t="s">
        <v>12</v>
      </c>
    </row>
    <row r="393" s="1" customFormat="1" customHeight="1" spans="1:9">
      <c r="A393" s="18" t="str">
        <f t="shared" si="49"/>
        <v>A4F</v>
      </c>
      <c r="B393" s="19" t="s">
        <v>25</v>
      </c>
      <c r="C393" s="18" t="str">
        <f>"肖志恒"</f>
        <v>肖志恒</v>
      </c>
      <c r="D393" s="18" t="str">
        <f t="shared" si="50"/>
        <v>男</v>
      </c>
      <c r="E393" s="18" t="str">
        <f>"2022011224"</f>
        <v>2022011224</v>
      </c>
      <c r="F393" s="18">
        <v>90</v>
      </c>
      <c r="G393" s="18">
        <v>6</v>
      </c>
      <c r="H393" s="18"/>
      <c r="I393" s="18" t="s">
        <v>12</v>
      </c>
    </row>
    <row r="394" s="1" customFormat="1" customHeight="1" spans="1:9">
      <c r="A394" s="18" t="str">
        <f t="shared" si="49"/>
        <v>A4F</v>
      </c>
      <c r="B394" s="19" t="s">
        <v>25</v>
      </c>
      <c r="C394" s="18" t="str">
        <f>"马丽琴"</f>
        <v>马丽琴</v>
      </c>
      <c r="D394" s="18" t="str">
        <f>"女"</f>
        <v>女</v>
      </c>
      <c r="E394" s="18" t="str">
        <f>"2022011226"</f>
        <v>2022011226</v>
      </c>
      <c r="F394" s="18">
        <v>85.5</v>
      </c>
      <c r="G394" s="18">
        <v>8</v>
      </c>
      <c r="H394" s="18"/>
      <c r="I394" s="18" t="s">
        <v>12</v>
      </c>
    </row>
    <row r="395" s="1" customFormat="1" customHeight="1" spans="1:9">
      <c r="A395" s="18" t="str">
        <f t="shared" si="49"/>
        <v>A4F</v>
      </c>
      <c r="B395" s="19" t="s">
        <v>25</v>
      </c>
      <c r="C395" s="18" t="str">
        <f>"戴香明"</f>
        <v>戴香明</v>
      </c>
      <c r="D395" s="18" t="str">
        <f t="shared" ref="D395:D399" si="51">"男"</f>
        <v>男</v>
      </c>
      <c r="E395" s="18" t="str">
        <f>"2022011223"</f>
        <v>2022011223</v>
      </c>
      <c r="F395" s="18">
        <v>82</v>
      </c>
      <c r="G395" s="18">
        <v>9</v>
      </c>
      <c r="H395" s="18"/>
      <c r="I395" s="18" t="s">
        <v>12</v>
      </c>
    </row>
    <row r="396" s="1" customFormat="1" customHeight="1" spans="1:9">
      <c r="A396" s="18" t="str">
        <f t="shared" si="49"/>
        <v>A4F</v>
      </c>
      <c r="B396" s="19" t="s">
        <v>25</v>
      </c>
      <c r="C396" s="18" t="str">
        <f>"刘照辉"</f>
        <v>刘照辉</v>
      </c>
      <c r="D396" s="18" t="str">
        <f t="shared" si="51"/>
        <v>男</v>
      </c>
      <c r="E396" s="18" t="str">
        <f>"2022011228"</f>
        <v>2022011228</v>
      </c>
      <c r="F396" s="18">
        <v>0</v>
      </c>
      <c r="G396" s="18">
        <v>10</v>
      </c>
      <c r="H396" s="18" t="s">
        <v>13</v>
      </c>
      <c r="I396" s="18" t="s">
        <v>12</v>
      </c>
    </row>
    <row r="397" s="1" customFormat="1" customHeight="1" spans="1:9">
      <c r="A397" s="18" t="str">
        <f t="shared" si="49"/>
        <v>A4F</v>
      </c>
      <c r="B397" s="19" t="s">
        <v>25</v>
      </c>
      <c r="C397" s="18" t="str">
        <f>"刘权"</f>
        <v>刘权</v>
      </c>
      <c r="D397" s="18" t="str">
        <f t="shared" si="51"/>
        <v>男</v>
      </c>
      <c r="E397" s="18" t="str">
        <f>"2022011230"</f>
        <v>2022011230</v>
      </c>
      <c r="F397" s="18">
        <v>0</v>
      </c>
      <c r="G397" s="18">
        <v>10</v>
      </c>
      <c r="H397" s="18" t="s">
        <v>13</v>
      </c>
      <c r="I397" s="18" t="s">
        <v>12</v>
      </c>
    </row>
    <row r="398" s="1" customFormat="1" customHeight="1" spans="1:9">
      <c r="A398" s="18" t="str">
        <f t="shared" ref="A398:A401" si="52">"A4G"</f>
        <v>A4G</v>
      </c>
      <c r="B398" s="19" t="s">
        <v>26</v>
      </c>
      <c r="C398" s="18" t="str">
        <f>"张仁哲"</f>
        <v>张仁哲</v>
      </c>
      <c r="D398" s="18" t="str">
        <f t="shared" si="51"/>
        <v>男</v>
      </c>
      <c r="E398" s="18" t="str">
        <f>"2022011233"</f>
        <v>2022011233</v>
      </c>
      <c r="F398" s="18">
        <v>86</v>
      </c>
      <c r="G398" s="18">
        <v>1</v>
      </c>
      <c r="H398" s="18"/>
      <c r="I398" s="28" t="s">
        <v>11</v>
      </c>
    </row>
    <row r="399" s="1" customFormat="1" customHeight="1" spans="1:9">
      <c r="A399" s="18" t="str">
        <f t="shared" si="52"/>
        <v>A4G</v>
      </c>
      <c r="B399" s="19" t="s">
        <v>26</v>
      </c>
      <c r="C399" s="18" t="str">
        <f>"王威"</f>
        <v>王威</v>
      </c>
      <c r="D399" s="18" t="str">
        <f t="shared" si="51"/>
        <v>男</v>
      </c>
      <c r="E399" s="18" t="str">
        <f>"2022011234"</f>
        <v>2022011234</v>
      </c>
      <c r="F399" s="18">
        <v>79.5</v>
      </c>
      <c r="G399" s="18">
        <v>2</v>
      </c>
      <c r="H399" s="18"/>
      <c r="I399" s="28" t="s">
        <v>11</v>
      </c>
    </row>
    <row r="400" s="1" customFormat="1" customHeight="1" spans="1:9">
      <c r="A400" s="18" t="str">
        <f t="shared" si="52"/>
        <v>A4G</v>
      </c>
      <c r="B400" s="19" t="s">
        <v>26</v>
      </c>
      <c r="C400" s="18" t="str">
        <f>"刘祺思"</f>
        <v>刘祺思</v>
      </c>
      <c r="D400" s="18" t="str">
        <f t="shared" ref="D400:D409" si="53">"女"</f>
        <v>女</v>
      </c>
      <c r="E400" s="18" t="str">
        <f>"2022011232"</f>
        <v>2022011232</v>
      </c>
      <c r="F400" s="18">
        <v>68</v>
      </c>
      <c r="G400" s="18">
        <v>3</v>
      </c>
      <c r="H400" s="18"/>
      <c r="I400" s="18" t="s">
        <v>12</v>
      </c>
    </row>
    <row r="401" s="1" customFormat="1" customHeight="1" spans="1:9">
      <c r="A401" s="18" t="str">
        <f t="shared" si="52"/>
        <v>A4G</v>
      </c>
      <c r="B401" s="19" t="s">
        <v>26</v>
      </c>
      <c r="C401" s="18" t="str">
        <f>"佘帮秀"</f>
        <v>佘帮秀</v>
      </c>
      <c r="D401" s="18" t="str">
        <f>"男"</f>
        <v>男</v>
      </c>
      <c r="E401" s="18" t="str">
        <f>"2022011235"</f>
        <v>2022011235</v>
      </c>
      <c r="F401" s="18">
        <v>66.5</v>
      </c>
      <c r="G401" s="18">
        <v>4</v>
      </c>
      <c r="H401" s="18"/>
      <c r="I401" s="18" t="s">
        <v>12</v>
      </c>
    </row>
    <row r="402" s="1" customFormat="1" customHeight="1" spans="1:9">
      <c r="A402" s="18" t="str">
        <f t="shared" ref="A402:A418" si="54">"A5F"</f>
        <v>A5F</v>
      </c>
      <c r="B402" s="19" t="s">
        <v>27</v>
      </c>
      <c r="C402" s="18" t="str">
        <f>"林靖文"</f>
        <v>林靖文</v>
      </c>
      <c r="D402" s="18" t="str">
        <f>"男"</f>
        <v>男</v>
      </c>
      <c r="E402" s="18" t="str">
        <f>"2022010906"</f>
        <v>2022010906</v>
      </c>
      <c r="F402" s="18">
        <v>72</v>
      </c>
      <c r="G402" s="18">
        <v>1</v>
      </c>
      <c r="H402" s="18"/>
      <c r="I402" s="28" t="s">
        <v>11</v>
      </c>
    </row>
    <row r="403" s="1" customFormat="1" customHeight="1" spans="1:9">
      <c r="A403" s="18" t="str">
        <f t="shared" si="54"/>
        <v>A5F</v>
      </c>
      <c r="B403" s="19" t="s">
        <v>27</v>
      </c>
      <c r="C403" s="18" t="str">
        <f>"梁秋雁"</f>
        <v>梁秋雁</v>
      </c>
      <c r="D403" s="18" t="str">
        <f t="shared" si="53"/>
        <v>女</v>
      </c>
      <c r="E403" s="18" t="str">
        <f>"2022010913"</f>
        <v>2022010913</v>
      </c>
      <c r="F403" s="18">
        <v>65</v>
      </c>
      <c r="G403" s="18">
        <v>2</v>
      </c>
      <c r="H403" s="18"/>
      <c r="I403" s="28" t="s">
        <v>11</v>
      </c>
    </row>
    <row r="404" s="1" customFormat="1" customHeight="1" spans="1:9">
      <c r="A404" s="18" t="str">
        <f t="shared" si="54"/>
        <v>A5F</v>
      </c>
      <c r="B404" s="19" t="s">
        <v>27</v>
      </c>
      <c r="C404" s="18" t="str">
        <f>"李梦望"</f>
        <v>李梦望</v>
      </c>
      <c r="D404" s="18" t="str">
        <f t="shared" si="53"/>
        <v>女</v>
      </c>
      <c r="E404" s="18" t="str">
        <f>"2022010917"</f>
        <v>2022010917</v>
      </c>
      <c r="F404" s="18">
        <v>64</v>
      </c>
      <c r="G404" s="18">
        <v>3</v>
      </c>
      <c r="H404" s="18"/>
      <c r="I404" s="18" t="s">
        <v>12</v>
      </c>
    </row>
    <row r="405" s="1" customFormat="1" customHeight="1" spans="1:9">
      <c r="A405" s="18" t="str">
        <f t="shared" si="54"/>
        <v>A5F</v>
      </c>
      <c r="B405" s="19" t="s">
        <v>27</v>
      </c>
      <c r="C405" s="18" t="str">
        <f>"朱艳芬"</f>
        <v>朱艳芬</v>
      </c>
      <c r="D405" s="18" t="str">
        <f t="shared" si="53"/>
        <v>女</v>
      </c>
      <c r="E405" s="18" t="str">
        <f>"2022010904"</f>
        <v>2022010904</v>
      </c>
      <c r="F405" s="18">
        <v>59</v>
      </c>
      <c r="G405" s="18">
        <v>4</v>
      </c>
      <c r="H405" s="18"/>
      <c r="I405" s="18" t="s">
        <v>12</v>
      </c>
    </row>
    <row r="406" s="1" customFormat="1" customHeight="1" spans="1:9">
      <c r="A406" s="18" t="str">
        <f t="shared" si="54"/>
        <v>A5F</v>
      </c>
      <c r="B406" s="19" t="s">
        <v>27</v>
      </c>
      <c r="C406" s="18" t="str">
        <f>"廖汝佳"</f>
        <v>廖汝佳</v>
      </c>
      <c r="D406" s="18" t="str">
        <f t="shared" si="53"/>
        <v>女</v>
      </c>
      <c r="E406" s="18" t="str">
        <f>"2022010901"</f>
        <v>2022010901</v>
      </c>
      <c r="F406" s="18">
        <v>0</v>
      </c>
      <c r="G406" s="18">
        <v>5</v>
      </c>
      <c r="H406" s="18" t="s">
        <v>13</v>
      </c>
      <c r="I406" s="18" t="s">
        <v>12</v>
      </c>
    </row>
    <row r="407" s="1" customFormat="1" customHeight="1" spans="1:9">
      <c r="A407" s="18" t="str">
        <f t="shared" si="54"/>
        <v>A5F</v>
      </c>
      <c r="B407" s="19" t="s">
        <v>27</v>
      </c>
      <c r="C407" s="18" t="str">
        <f>"王琴"</f>
        <v>王琴</v>
      </c>
      <c r="D407" s="18" t="str">
        <f t="shared" si="53"/>
        <v>女</v>
      </c>
      <c r="E407" s="18" t="str">
        <f>"2022010902"</f>
        <v>2022010902</v>
      </c>
      <c r="F407" s="18">
        <v>0</v>
      </c>
      <c r="G407" s="18">
        <v>5</v>
      </c>
      <c r="H407" s="18" t="s">
        <v>13</v>
      </c>
      <c r="I407" s="18" t="s">
        <v>12</v>
      </c>
    </row>
    <row r="408" s="1" customFormat="1" customHeight="1" spans="1:9">
      <c r="A408" s="18" t="str">
        <f t="shared" si="54"/>
        <v>A5F</v>
      </c>
      <c r="B408" s="19" t="s">
        <v>27</v>
      </c>
      <c r="C408" s="18" t="str">
        <f>"舒译莹"</f>
        <v>舒译莹</v>
      </c>
      <c r="D408" s="18" t="str">
        <f t="shared" si="53"/>
        <v>女</v>
      </c>
      <c r="E408" s="18" t="str">
        <f>"2022010903"</f>
        <v>2022010903</v>
      </c>
      <c r="F408" s="18">
        <v>0</v>
      </c>
      <c r="G408" s="18">
        <v>5</v>
      </c>
      <c r="H408" s="18" t="s">
        <v>13</v>
      </c>
      <c r="I408" s="18" t="s">
        <v>12</v>
      </c>
    </row>
    <row r="409" s="1" customFormat="1" customHeight="1" spans="1:9">
      <c r="A409" s="18" t="str">
        <f t="shared" si="54"/>
        <v>A5F</v>
      </c>
      <c r="B409" s="19" t="s">
        <v>27</v>
      </c>
      <c r="C409" s="18" t="str">
        <f>"涂志敏"</f>
        <v>涂志敏</v>
      </c>
      <c r="D409" s="18" t="str">
        <f t="shared" si="53"/>
        <v>女</v>
      </c>
      <c r="E409" s="18" t="str">
        <f>"2022010905"</f>
        <v>2022010905</v>
      </c>
      <c r="F409" s="18">
        <v>0</v>
      </c>
      <c r="G409" s="18">
        <v>5</v>
      </c>
      <c r="H409" s="18" t="s">
        <v>13</v>
      </c>
      <c r="I409" s="18" t="s">
        <v>12</v>
      </c>
    </row>
    <row r="410" s="1" customFormat="1" customHeight="1" spans="1:9">
      <c r="A410" s="18" t="str">
        <f t="shared" si="54"/>
        <v>A5F</v>
      </c>
      <c r="B410" s="19" t="s">
        <v>27</v>
      </c>
      <c r="C410" s="18" t="str">
        <f>"贾远保"</f>
        <v>贾远保</v>
      </c>
      <c r="D410" s="18" t="str">
        <f t="shared" ref="D410:D412" si="55">"男"</f>
        <v>男</v>
      </c>
      <c r="E410" s="18" t="str">
        <f>"2022010907"</f>
        <v>2022010907</v>
      </c>
      <c r="F410" s="18">
        <v>0</v>
      </c>
      <c r="G410" s="18">
        <v>5</v>
      </c>
      <c r="H410" s="18" t="s">
        <v>13</v>
      </c>
      <c r="I410" s="18" t="s">
        <v>12</v>
      </c>
    </row>
    <row r="411" s="1" customFormat="1" customHeight="1" spans="1:9">
      <c r="A411" s="18" t="str">
        <f t="shared" si="54"/>
        <v>A5F</v>
      </c>
      <c r="B411" s="19" t="s">
        <v>27</v>
      </c>
      <c r="C411" s="18" t="str">
        <f>"杨祯"</f>
        <v>杨祯</v>
      </c>
      <c r="D411" s="18" t="str">
        <f t="shared" si="55"/>
        <v>男</v>
      </c>
      <c r="E411" s="18" t="str">
        <f>"2022010908"</f>
        <v>2022010908</v>
      </c>
      <c r="F411" s="18">
        <v>0</v>
      </c>
      <c r="G411" s="18">
        <v>5</v>
      </c>
      <c r="H411" s="18" t="s">
        <v>13</v>
      </c>
      <c r="I411" s="18" t="s">
        <v>12</v>
      </c>
    </row>
    <row r="412" s="1" customFormat="1" customHeight="1" spans="1:9">
      <c r="A412" s="18" t="str">
        <f t="shared" si="54"/>
        <v>A5F</v>
      </c>
      <c r="B412" s="19" t="s">
        <v>27</v>
      </c>
      <c r="C412" s="18" t="str">
        <f>"林伟"</f>
        <v>林伟</v>
      </c>
      <c r="D412" s="18" t="str">
        <f t="shared" si="55"/>
        <v>男</v>
      </c>
      <c r="E412" s="18" t="str">
        <f>"2022010909"</f>
        <v>2022010909</v>
      </c>
      <c r="F412" s="18">
        <v>0</v>
      </c>
      <c r="G412" s="18">
        <v>5</v>
      </c>
      <c r="H412" s="18" t="s">
        <v>13</v>
      </c>
      <c r="I412" s="18" t="s">
        <v>12</v>
      </c>
    </row>
    <row r="413" s="1" customFormat="1" customHeight="1" spans="1:9">
      <c r="A413" s="18" t="str">
        <f t="shared" si="54"/>
        <v>A5F</v>
      </c>
      <c r="B413" s="19" t="s">
        <v>27</v>
      </c>
      <c r="C413" s="18" t="str">
        <f>"张玉"</f>
        <v>张玉</v>
      </c>
      <c r="D413" s="18" t="str">
        <f t="shared" ref="D413:D415" si="56">"女"</f>
        <v>女</v>
      </c>
      <c r="E413" s="18" t="str">
        <f>"2022010910"</f>
        <v>2022010910</v>
      </c>
      <c r="F413" s="18">
        <v>0</v>
      </c>
      <c r="G413" s="18">
        <v>5</v>
      </c>
      <c r="H413" s="18" t="s">
        <v>13</v>
      </c>
      <c r="I413" s="18" t="s">
        <v>12</v>
      </c>
    </row>
    <row r="414" s="1" customFormat="1" customHeight="1" spans="1:9">
      <c r="A414" s="18" t="str">
        <f t="shared" si="54"/>
        <v>A5F</v>
      </c>
      <c r="B414" s="19" t="s">
        <v>27</v>
      </c>
      <c r="C414" s="18" t="str">
        <f>"郑田留"</f>
        <v>郑田留</v>
      </c>
      <c r="D414" s="18" t="str">
        <f t="shared" si="56"/>
        <v>女</v>
      </c>
      <c r="E414" s="18" t="str">
        <f>"2022010911"</f>
        <v>2022010911</v>
      </c>
      <c r="F414" s="18">
        <v>0</v>
      </c>
      <c r="G414" s="18">
        <v>5</v>
      </c>
      <c r="H414" s="18" t="s">
        <v>13</v>
      </c>
      <c r="I414" s="18" t="s">
        <v>12</v>
      </c>
    </row>
    <row r="415" s="1" customFormat="1" customHeight="1" spans="1:9">
      <c r="A415" s="18" t="str">
        <f t="shared" si="54"/>
        <v>A5F</v>
      </c>
      <c r="B415" s="19" t="s">
        <v>27</v>
      </c>
      <c r="C415" s="18" t="str">
        <f>"阳艳青"</f>
        <v>阳艳青</v>
      </c>
      <c r="D415" s="18" t="str">
        <f t="shared" si="56"/>
        <v>女</v>
      </c>
      <c r="E415" s="18" t="str">
        <f>"2022010912"</f>
        <v>2022010912</v>
      </c>
      <c r="F415" s="18">
        <v>0</v>
      </c>
      <c r="G415" s="18">
        <v>5</v>
      </c>
      <c r="H415" s="18" t="s">
        <v>13</v>
      </c>
      <c r="I415" s="18" t="s">
        <v>12</v>
      </c>
    </row>
    <row r="416" s="1" customFormat="1" customHeight="1" spans="1:9">
      <c r="A416" s="18" t="str">
        <f t="shared" si="54"/>
        <v>A5F</v>
      </c>
      <c r="B416" s="19" t="s">
        <v>27</v>
      </c>
      <c r="C416" s="18" t="str">
        <f>"符江斌"</f>
        <v>符江斌</v>
      </c>
      <c r="D416" s="18" t="str">
        <f>"男"</f>
        <v>男</v>
      </c>
      <c r="E416" s="18" t="str">
        <f>"2022010914"</f>
        <v>2022010914</v>
      </c>
      <c r="F416" s="18">
        <v>0</v>
      </c>
      <c r="G416" s="18">
        <v>5</v>
      </c>
      <c r="H416" s="18" t="s">
        <v>13</v>
      </c>
      <c r="I416" s="18" t="s">
        <v>12</v>
      </c>
    </row>
    <row r="417" s="1" customFormat="1" customHeight="1" spans="1:9">
      <c r="A417" s="18" t="str">
        <f t="shared" si="54"/>
        <v>A5F</v>
      </c>
      <c r="B417" s="19" t="s">
        <v>27</v>
      </c>
      <c r="C417" s="18" t="str">
        <f>"廖丁云"</f>
        <v>廖丁云</v>
      </c>
      <c r="D417" s="18" t="str">
        <f t="shared" ref="D417:D431" si="57">"女"</f>
        <v>女</v>
      </c>
      <c r="E417" s="18" t="str">
        <f>"2022010915"</f>
        <v>2022010915</v>
      </c>
      <c r="F417" s="18">
        <v>0</v>
      </c>
      <c r="G417" s="18">
        <v>5</v>
      </c>
      <c r="H417" s="18" t="s">
        <v>13</v>
      </c>
      <c r="I417" s="18" t="s">
        <v>12</v>
      </c>
    </row>
    <row r="418" s="1" customFormat="1" customHeight="1" spans="1:9">
      <c r="A418" s="18" t="str">
        <f t="shared" si="54"/>
        <v>A5F</v>
      </c>
      <c r="B418" s="19" t="s">
        <v>27</v>
      </c>
      <c r="C418" s="18" t="str">
        <f>"袁小碧"</f>
        <v>袁小碧</v>
      </c>
      <c r="D418" s="18" t="str">
        <f t="shared" si="57"/>
        <v>女</v>
      </c>
      <c r="E418" s="18" t="str">
        <f>"2022010916"</f>
        <v>2022010916</v>
      </c>
      <c r="F418" s="18">
        <v>0</v>
      </c>
      <c r="G418" s="18">
        <v>5</v>
      </c>
      <c r="H418" s="18" t="s">
        <v>13</v>
      </c>
      <c r="I418" s="18" t="s">
        <v>12</v>
      </c>
    </row>
    <row r="419" s="1" customFormat="1" customHeight="1" spans="1:9">
      <c r="A419" s="18" t="str">
        <f t="shared" ref="A419:A435" si="58">"A5G"</f>
        <v>A5G</v>
      </c>
      <c r="B419" s="19" t="s">
        <v>28</v>
      </c>
      <c r="C419" s="18" t="str">
        <f>"伍宇成"</f>
        <v>伍宇成</v>
      </c>
      <c r="D419" s="18" t="str">
        <f>"男"</f>
        <v>男</v>
      </c>
      <c r="E419" s="18" t="str">
        <f>"2022010928"</f>
        <v>2022010928</v>
      </c>
      <c r="F419" s="18">
        <v>66</v>
      </c>
      <c r="G419" s="18">
        <v>1</v>
      </c>
      <c r="H419" s="18"/>
      <c r="I419" s="28" t="s">
        <v>11</v>
      </c>
    </row>
    <row r="420" s="1" customFormat="1" customHeight="1" spans="1:9">
      <c r="A420" s="18" t="str">
        <f t="shared" si="58"/>
        <v>A5G</v>
      </c>
      <c r="B420" s="19" t="s">
        <v>28</v>
      </c>
      <c r="C420" s="18" t="str">
        <f>"李吉"</f>
        <v>李吉</v>
      </c>
      <c r="D420" s="18" t="str">
        <f t="shared" si="57"/>
        <v>女</v>
      </c>
      <c r="E420" s="18" t="str">
        <f>"2022010918"</f>
        <v>2022010918</v>
      </c>
      <c r="F420" s="18">
        <v>65</v>
      </c>
      <c r="G420" s="18">
        <v>2</v>
      </c>
      <c r="H420" s="18"/>
      <c r="I420" s="28" t="s">
        <v>11</v>
      </c>
    </row>
    <row r="421" s="1" customFormat="1" customHeight="1" spans="1:9">
      <c r="A421" s="18" t="str">
        <f t="shared" si="58"/>
        <v>A5G</v>
      </c>
      <c r="B421" s="19" t="s">
        <v>28</v>
      </c>
      <c r="C421" s="18" t="str">
        <f>"熊婷"</f>
        <v>熊婷</v>
      </c>
      <c r="D421" s="18" t="str">
        <f t="shared" si="57"/>
        <v>女</v>
      </c>
      <c r="E421" s="18" t="str">
        <f>"2022010922"</f>
        <v>2022010922</v>
      </c>
      <c r="F421" s="18">
        <v>63</v>
      </c>
      <c r="G421" s="18">
        <v>3</v>
      </c>
      <c r="H421" s="18"/>
      <c r="I421" s="18" t="s">
        <v>12</v>
      </c>
    </row>
    <row r="422" s="1" customFormat="1" customHeight="1" spans="1:9">
      <c r="A422" s="18" t="str">
        <f t="shared" si="58"/>
        <v>A5G</v>
      </c>
      <c r="B422" s="19" t="s">
        <v>28</v>
      </c>
      <c r="C422" s="18" t="str">
        <f>"雷倩"</f>
        <v>雷倩</v>
      </c>
      <c r="D422" s="18" t="str">
        <f t="shared" si="57"/>
        <v>女</v>
      </c>
      <c r="E422" s="18" t="str">
        <f>"2022010931"</f>
        <v>2022010931</v>
      </c>
      <c r="F422" s="18">
        <v>63</v>
      </c>
      <c r="G422" s="18">
        <v>3</v>
      </c>
      <c r="H422" s="18"/>
      <c r="I422" s="18" t="s">
        <v>12</v>
      </c>
    </row>
    <row r="423" s="1" customFormat="1" customHeight="1" spans="1:9">
      <c r="A423" s="18" t="str">
        <f t="shared" si="58"/>
        <v>A5G</v>
      </c>
      <c r="B423" s="19" t="s">
        <v>28</v>
      </c>
      <c r="C423" s="18" t="str">
        <f>"戴文琛"</f>
        <v>戴文琛</v>
      </c>
      <c r="D423" s="18" t="str">
        <f t="shared" si="57"/>
        <v>女</v>
      </c>
      <c r="E423" s="18" t="str">
        <f>"2022010923"</f>
        <v>2022010923</v>
      </c>
      <c r="F423" s="18">
        <v>58</v>
      </c>
      <c r="G423" s="18">
        <v>5</v>
      </c>
      <c r="H423" s="18"/>
      <c r="I423" s="18" t="s">
        <v>12</v>
      </c>
    </row>
    <row r="424" s="1" customFormat="1" customHeight="1" spans="1:9">
      <c r="A424" s="18" t="str">
        <f t="shared" si="58"/>
        <v>A5G</v>
      </c>
      <c r="B424" s="19" t="s">
        <v>28</v>
      </c>
      <c r="C424" s="18" t="str">
        <f>"夏慧玲"</f>
        <v>夏慧玲</v>
      </c>
      <c r="D424" s="18" t="str">
        <f t="shared" si="57"/>
        <v>女</v>
      </c>
      <c r="E424" s="18" t="str">
        <f>"2022010932"</f>
        <v>2022010932</v>
      </c>
      <c r="F424" s="18">
        <v>58</v>
      </c>
      <c r="G424" s="18">
        <v>5</v>
      </c>
      <c r="H424" s="18"/>
      <c r="I424" s="18" t="s">
        <v>12</v>
      </c>
    </row>
    <row r="425" s="1" customFormat="1" customHeight="1" spans="1:9">
      <c r="A425" s="18" t="str">
        <f t="shared" si="58"/>
        <v>A5G</v>
      </c>
      <c r="B425" s="19" t="s">
        <v>28</v>
      </c>
      <c r="C425" s="18" t="str">
        <f>"杨梦蓝"</f>
        <v>杨梦蓝</v>
      </c>
      <c r="D425" s="18" t="str">
        <f t="shared" si="57"/>
        <v>女</v>
      </c>
      <c r="E425" s="18" t="str">
        <f>"2022010934"</f>
        <v>2022010934</v>
      </c>
      <c r="F425" s="18">
        <v>55</v>
      </c>
      <c r="G425" s="18">
        <v>7</v>
      </c>
      <c r="H425" s="18"/>
      <c r="I425" s="18" t="s">
        <v>12</v>
      </c>
    </row>
    <row r="426" s="1" customFormat="1" customHeight="1" spans="1:9">
      <c r="A426" s="18" t="str">
        <f t="shared" si="58"/>
        <v>A5G</v>
      </c>
      <c r="B426" s="19" t="s">
        <v>28</v>
      </c>
      <c r="C426" s="18" t="str">
        <f>"余奇凤"</f>
        <v>余奇凤</v>
      </c>
      <c r="D426" s="18" t="str">
        <f t="shared" si="57"/>
        <v>女</v>
      </c>
      <c r="E426" s="18" t="str">
        <f>"2022010924"</f>
        <v>2022010924</v>
      </c>
      <c r="F426" s="18">
        <v>48</v>
      </c>
      <c r="G426" s="18">
        <v>8</v>
      </c>
      <c r="H426" s="18"/>
      <c r="I426" s="18" t="s">
        <v>12</v>
      </c>
    </row>
    <row r="427" s="1" customFormat="1" customHeight="1" spans="1:9">
      <c r="A427" s="18" t="str">
        <f t="shared" si="58"/>
        <v>A5G</v>
      </c>
      <c r="B427" s="19" t="s">
        <v>28</v>
      </c>
      <c r="C427" s="18" t="str">
        <f>"姚尧"</f>
        <v>姚尧</v>
      </c>
      <c r="D427" s="18" t="str">
        <f t="shared" si="57"/>
        <v>女</v>
      </c>
      <c r="E427" s="18" t="str">
        <f>"2022010929"</f>
        <v>2022010929</v>
      </c>
      <c r="F427" s="18">
        <v>34</v>
      </c>
      <c r="G427" s="18">
        <v>9</v>
      </c>
      <c r="H427" s="18"/>
      <c r="I427" s="18" t="s">
        <v>12</v>
      </c>
    </row>
    <row r="428" s="1" customFormat="1" customHeight="1" spans="1:9">
      <c r="A428" s="18" t="str">
        <f t="shared" si="58"/>
        <v>A5G</v>
      </c>
      <c r="B428" s="19" t="s">
        <v>28</v>
      </c>
      <c r="C428" s="18" t="str">
        <f>"宋佳玲"</f>
        <v>宋佳玲</v>
      </c>
      <c r="D428" s="18" t="str">
        <f t="shared" si="57"/>
        <v>女</v>
      </c>
      <c r="E428" s="18" t="str">
        <f>"2022010919"</f>
        <v>2022010919</v>
      </c>
      <c r="F428" s="18">
        <v>0</v>
      </c>
      <c r="G428" s="18">
        <v>10</v>
      </c>
      <c r="H428" s="18" t="s">
        <v>13</v>
      </c>
      <c r="I428" s="18" t="s">
        <v>12</v>
      </c>
    </row>
    <row r="429" s="1" customFormat="1" customHeight="1" spans="1:9">
      <c r="A429" s="18" t="str">
        <f t="shared" si="58"/>
        <v>A5G</v>
      </c>
      <c r="B429" s="19" t="s">
        <v>28</v>
      </c>
      <c r="C429" s="18" t="str">
        <f>"曾宜春"</f>
        <v>曾宜春</v>
      </c>
      <c r="D429" s="18" t="str">
        <f t="shared" si="57"/>
        <v>女</v>
      </c>
      <c r="E429" s="18" t="str">
        <f>"2022010920"</f>
        <v>2022010920</v>
      </c>
      <c r="F429" s="18">
        <v>0</v>
      </c>
      <c r="G429" s="18">
        <v>10</v>
      </c>
      <c r="H429" s="18" t="s">
        <v>13</v>
      </c>
      <c r="I429" s="18" t="s">
        <v>12</v>
      </c>
    </row>
    <row r="430" s="1" customFormat="1" customHeight="1" spans="1:9">
      <c r="A430" s="18" t="str">
        <f t="shared" si="58"/>
        <v>A5G</v>
      </c>
      <c r="B430" s="19" t="s">
        <v>28</v>
      </c>
      <c r="C430" s="18" t="str">
        <f>"李诗婷"</f>
        <v>李诗婷</v>
      </c>
      <c r="D430" s="18" t="str">
        <f t="shared" si="57"/>
        <v>女</v>
      </c>
      <c r="E430" s="18" t="str">
        <f>"2022010921"</f>
        <v>2022010921</v>
      </c>
      <c r="F430" s="18">
        <v>0</v>
      </c>
      <c r="G430" s="18">
        <v>10</v>
      </c>
      <c r="H430" s="18" t="s">
        <v>13</v>
      </c>
      <c r="I430" s="18" t="s">
        <v>12</v>
      </c>
    </row>
    <row r="431" s="1" customFormat="1" customHeight="1" spans="1:9">
      <c r="A431" s="18" t="str">
        <f t="shared" si="58"/>
        <v>A5G</v>
      </c>
      <c r="B431" s="19" t="s">
        <v>28</v>
      </c>
      <c r="C431" s="18" t="str">
        <f>"罗盈"</f>
        <v>罗盈</v>
      </c>
      <c r="D431" s="18" t="str">
        <f t="shared" si="57"/>
        <v>女</v>
      </c>
      <c r="E431" s="18" t="str">
        <f>"2022010925"</f>
        <v>2022010925</v>
      </c>
      <c r="F431" s="18">
        <v>0</v>
      </c>
      <c r="G431" s="18">
        <v>10</v>
      </c>
      <c r="H431" s="18" t="s">
        <v>13</v>
      </c>
      <c r="I431" s="18" t="s">
        <v>12</v>
      </c>
    </row>
    <row r="432" s="1" customFormat="1" customHeight="1" spans="1:9">
      <c r="A432" s="18" t="str">
        <f t="shared" si="58"/>
        <v>A5G</v>
      </c>
      <c r="B432" s="19" t="s">
        <v>28</v>
      </c>
      <c r="C432" s="18" t="str">
        <f>"卢维"</f>
        <v>卢维</v>
      </c>
      <c r="D432" s="18" t="str">
        <f>"男"</f>
        <v>男</v>
      </c>
      <c r="E432" s="18" t="str">
        <f>"2022010926"</f>
        <v>2022010926</v>
      </c>
      <c r="F432" s="18">
        <v>0</v>
      </c>
      <c r="G432" s="18">
        <v>10</v>
      </c>
      <c r="H432" s="18" t="s">
        <v>13</v>
      </c>
      <c r="I432" s="18" t="s">
        <v>12</v>
      </c>
    </row>
    <row r="433" s="1" customFormat="1" customHeight="1" spans="1:9">
      <c r="A433" s="18" t="str">
        <f t="shared" si="58"/>
        <v>A5G</v>
      </c>
      <c r="B433" s="19" t="s">
        <v>28</v>
      </c>
      <c r="C433" s="18" t="str">
        <f>"刘紫怡"</f>
        <v>刘紫怡</v>
      </c>
      <c r="D433" s="18" t="str">
        <f t="shared" ref="D433:D439" si="59">"女"</f>
        <v>女</v>
      </c>
      <c r="E433" s="18" t="str">
        <f>"2022010927"</f>
        <v>2022010927</v>
      </c>
      <c r="F433" s="18">
        <v>0</v>
      </c>
      <c r="G433" s="18">
        <v>10</v>
      </c>
      <c r="H433" s="18" t="s">
        <v>13</v>
      </c>
      <c r="I433" s="18" t="s">
        <v>12</v>
      </c>
    </row>
    <row r="434" s="1" customFormat="1" customHeight="1" spans="1:9">
      <c r="A434" s="18" t="str">
        <f t="shared" si="58"/>
        <v>A5G</v>
      </c>
      <c r="B434" s="19" t="s">
        <v>28</v>
      </c>
      <c r="C434" s="18" t="str">
        <f>"刘琪"</f>
        <v>刘琪</v>
      </c>
      <c r="D434" s="18" t="str">
        <f t="shared" si="59"/>
        <v>女</v>
      </c>
      <c r="E434" s="18" t="str">
        <f>"2022010930"</f>
        <v>2022010930</v>
      </c>
      <c r="F434" s="18">
        <v>0</v>
      </c>
      <c r="G434" s="18">
        <v>10</v>
      </c>
      <c r="H434" s="18" t="s">
        <v>13</v>
      </c>
      <c r="I434" s="18" t="s">
        <v>12</v>
      </c>
    </row>
    <row r="435" s="1" customFormat="1" customHeight="1" spans="1:9">
      <c r="A435" s="18" t="str">
        <f t="shared" si="58"/>
        <v>A5G</v>
      </c>
      <c r="B435" s="19" t="s">
        <v>28</v>
      </c>
      <c r="C435" s="18" t="str">
        <f>"陈鸣"</f>
        <v>陈鸣</v>
      </c>
      <c r="D435" s="18" t="str">
        <f t="shared" si="59"/>
        <v>女</v>
      </c>
      <c r="E435" s="18" t="str">
        <f>"2022010933"</f>
        <v>2022010933</v>
      </c>
      <c r="F435" s="18">
        <v>0</v>
      </c>
      <c r="G435" s="18">
        <v>10</v>
      </c>
      <c r="H435" s="18" t="s">
        <v>13</v>
      </c>
      <c r="I435" s="18" t="s">
        <v>12</v>
      </c>
    </row>
    <row r="436" s="1" customFormat="1" customHeight="1" spans="1:9">
      <c r="A436" s="18" t="str">
        <f t="shared" ref="A436:A449" si="60">"A6F"</f>
        <v>A6F</v>
      </c>
      <c r="B436" s="19" t="s">
        <v>29</v>
      </c>
      <c r="C436" s="18" t="str">
        <f>"李文倩"</f>
        <v>李文倩</v>
      </c>
      <c r="D436" s="18" t="str">
        <f t="shared" si="59"/>
        <v>女</v>
      </c>
      <c r="E436" s="18" t="str">
        <f>"2022011005"</f>
        <v>2022011005</v>
      </c>
      <c r="F436" s="18">
        <v>90.6</v>
      </c>
      <c r="G436" s="18">
        <v>1</v>
      </c>
      <c r="H436" s="18"/>
      <c r="I436" s="28" t="s">
        <v>11</v>
      </c>
    </row>
    <row r="437" s="1" customFormat="1" customHeight="1" spans="1:9">
      <c r="A437" s="18" t="str">
        <f t="shared" si="60"/>
        <v>A6F</v>
      </c>
      <c r="B437" s="19" t="s">
        <v>29</v>
      </c>
      <c r="C437" s="18" t="str">
        <f>"孔水连"</f>
        <v>孔水连</v>
      </c>
      <c r="D437" s="18" t="str">
        <f t="shared" si="59"/>
        <v>女</v>
      </c>
      <c r="E437" s="18" t="str">
        <f>"2022011003"</f>
        <v>2022011003</v>
      </c>
      <c r="F437" s="18">
        <v>89.6</v>
      </c>
      <c r="G437" s="18">
        <v>2</v>
      </c>
      <c r="H437" s="18"/>
      <c r="I437" s="28" t="s">
        <v>11</v>
      </c>
    </row>
    <row r="438" s="1" customFormat="1" customHeight="1" spans="1:9">
      <c r="A438" s="18" t="str">
        <f t="shared" si="60"/>
        <v>A6F</v>
      </c>
      <c r="B438" s="19" t="s">
        <v>29</v>
      </c>
      <c r="C438" s="18" t="str">
        <f>"刘艳阳"</f>
        <v>刘艳阳</v>
      </c>
      <c r="D438" s="18" t="str">
        <f t="shared" si="59"/>
        <v>女</v>
      </c>
      <c r="E438" s="18" t="str">
        <f>"2022011009"</f>
        <v>2022011009</v>
      </c>
      <c r="F438" s="18">
        <v>89</v>
      </c>
      <c r="G438" s="18">
        <v>3</v>
      </c>
      <c r="H438" s="18"/>
      <c r="I438" s="18" t="s">
        <v>12</v>
      </c>
    </row>
    <row r="439" s="1" customFormat="1" customHeight="1" spans="1:9">
      <c r="A439" s="18" t="str">
        <f t="shared" si="60"/>
        <v>A6F</v>
      </c>
      <c r="B439" s="19" t="s">
        <v>29</v>
      </c>
      <c r="C439" s="18" t="str">
        <f>"李灵立"</f>
        <v>李灵立</v>
      </c>
      <c r="D439" s="18" t="str">
        <f t="shared" si="59"/>
        <v>女</v>
      </c>
      <c r="E439" s="18" t="str">
        <f>"2022011011"</f>
        <v>2022011011</v>
      </c>
      <c r="F439" s="18">
        <v>89</v>
      </c>
      <c r="G439" s="18">
        <v>3</v>
      </c>
      <c r="H439" s="18"/>
      <c r="I439" s="18" t="s">
        <v>12</v>
      </c>
    </row>
    <row r="440" s="1" customFormat="1" customHeight="1" spans="1:9">
      <c r="A440" s="18" t="str">
        <f t="shared" si="60"/>
        <v>A6F</v>
      </c>
      <c r="B440" s="19" t="s">
        <v>29</v>
      </c>
      <c r="C440" s="18" t="str">
        <f>"李梦龙"</f>
        <v>李梦龙</v>
      </c>
      <c r="D440" s="18" t="str">
        <f>"男"</f>
        <v>男</v>
      </c>
      <c r="E440" s="18" t="str">
        <f>"2022011004"</f>
        <v>2022011004</v>
      </c>
      <c r="F440" s="18">
        <v>88.8</v>
      </c>
      <c r="G440" s="18">
        <v>5</v>
      </c>
      <c r="H440" s="18"/>
      <c r="I440" s="18" t="s">
        <v>12</v>
      </c>
    </row>
    <row r="441" s="1" customFormat="1" customHeight="1" spans="1:9">
      <c r="A441" s="18" t="str">
        <f t="shared" si="60"/>
        <v>A6F</v>
      </c>
      <c r="B441" s="19" t="s">
        <v>29</v>
      </c>
      <c r="C441" s="18" t="str">
        <f>"卢红"</f>
        <v>卢红</v>
      </c>
      <c r="D441" s="18" t="str">
        <f t="shared" ref="D441:D445" si="61">"女"</f>
        <v>女</v>
      </c>
      <c r="E441" s="18" t="str">
        <f>"2022011008"</f>
        <v>2022011008</v>
      </c>
      <c r="F441" s="18">
        <v>86.8</v>
      </c>
      <c r="G441" s="18">
        <v>6</v>
      </c>
      <c r="H441" s="18"/>
      <c r="I441" s="18" t="s">
        <v>12</v>
      </c>
    </row>
    <row r="442" s="1" customFormat="1" customHeight="1" spans="1:9">
      <c r="A442" s="18" t="str">
        <f t="shared" si="60"/>
        <v>A6F</v>
      </c>
      <c r="B442" s="19" t="s">
        <v>29</v>
      </c>
      <c r="C442" s="18" t="str">
        <f>"杜巧缘"</f>
        <v>杜巧缘</v>
      </c>
      <c r="D442" s="18" t="str">
        <f t="shared" si="61"/>
        <v>女</v>
      </c>
      <c r="E442" s="18" t="str">
        <f>"2022011013"</f>
        <v>2022011013</v>
      </c>
      <c r="F442" s="18">
        <v>85.4</v>
      </c>
      <c r="G442" s="18">
        <v>7</v>
      </c>
      <c r="H442" s="18"/>
      <c r="I442" s="18" t="s">
        <v>12</v>
      </c>
    </row>
    <row r="443" s="1" customFormat="1" customHeight="1" spans="1:9">
      <c r="A443" s="18" t="str">
        <f t="shared" si="60"/>
        <v>A6F</v>
      </c>
      <c r="B443" s="19" t="s">
        <v>29</v>
      </c>
      <c r="C443" s="18" t="str">
        <f>"熊思"</f>
        <v>熊思</v>
      </c>
      <c r="D443" s="18" t="str">
        <f t="shared" si="61"/>
        <v>女</v>
      </c>
      <c r="E443" s="18" t="str">
        <f>"2022011014"</f>
        <v>2022011014</v>
      </c>
      <c r="F443" s="18">
        <v>73</v>
      </c>
      <c r="G443" s="18">
        <v>8</v>
      </c>
      <c r="H443" s="18"/>
      <c r="I443" s="18" t="s">
        <v>12</v>
      </c>
    </row>
    <row r="444" s="1" customFormat="1" customHeight="1" spans="1:9">
      <c r="A444" s="18" t="str">
        <f t="shared" si="60"/>
        <v>A6F</v>
      </c>
      <c r="B444" s="19" t="s">
        <v>29</v>
      </c>
      <c r="C444" s="18" t="str">
        <f>"宋婧慧"</f>
        <v>宋婧慧</v>
      </c>
      <c r="D444" s="18" t="str">
        <f t="shared" si="61"/>
        <v>女</v>
      </c>
      <c r="E444" s="18" t="str">
        <f>"2022011002"</f>
        <v>2022011002</v>
      </c>
      <c r="F444" s="18">
        <v>64</v>
      </c>
      <c r="G444" s="18">
        <v>9</v>
      </c>
      <c r="H444" s="18"/>
      <c r="I444" s="18" t="s">
        <v>12</v>
      </c>
    </row>
    <row r="445" s="1" customFormat="1" customHeight="1" spans="1:9">
      <c r="A445" s="18" t="str">
        <f t="shared" si="60"/>
        <v>A6F</v>
      </c>
      <c r="B445" s="19" t="s">
        <v>29</v>
      </c>
      <c r="C445" s="18" t="str">
        <f>"汤国珍"</f>
        <v>汤国珍</v>
      </c>
      <c r="D445" s="18" t="str">
        <f t="shared" si="61"/>
        <v>女</v>
      </c>
      <c r="E445" s="18" t="str">
        <f>"2022011001"</f>
        <v>2022011001</v>
      </c>
      <c r="F445" s="18">
        <v>0</v>
      </c>
      <c r="G445" s="18">
        <v>10</v>
      </c>
      <c r="H445" s="18" t="s">
        <v>13</v>
      </c>
      <c r="I445" s="18" t="s">
        <v>12</v>
      </c>
    </row>
    <row r="446" s="1" customFormat="1" customHeight="1" spans="1:9">
      <c r="A446" s="18" t="str">
        <f t="shared" si="60"/>
        <v>A6F</v>
      </c>
      <c r="B446" s="19" t="s">
        <v>29</v>
      </c>
      <c r="C446" s="18" t="str">
        <f>"唐飞"</f>
        <v>唐飞</v>
      </c>
      <c r="D446" s="18" t="str">
        <f t="shared" ref="D446:D449" si="62">"男"</f>
        <v>男</v>
      </c>
      <c r="E446" s="18" t="str">
        <f>"2022011006"</f>
        <v>2022011006</v>
      </c>
      <c r="F446" s="18">
        <v>0</v>
      </c>
      <c r="G446" s="18">
        <v>10</v>
      </c>
      <c r="H446" s="18" t="s">
        <v>13</v>
      </c>
      <c r="I446" s="18" t="s">
        <v>12</v>
      </c>
    </row>
    <row r="447" s="1" customFormat="1" customHeight="1" spans="1:9">
      <c r="A447" s="18" t="str">
        <f t="shared" si="60"/>
        <v>A6F</v>
      </c>
      <c r="B447" s="19" t="s">
        <v>29</v>
      </c>
      <c r="C447" s="18" t="str">
        <f>"阳倩"</f>
        <v>阳倩</v>
      </c>
      <c r="D447" s="18" t="str">
        <f t="shared" ref="D447:D451" si="63">"女"</f>
        <v>女</v>
      </c>
      <c r="E447" s="18" t="str">
        <f>"2022011007"</f>
        <v>2022011007</v>
      </c>
      <c r="F447" s="18">
        <v>0</v>
      </c>
      <c r="G447" s="18">
        <v>10</v>
      </c>
      <c r="H447" s="18" t="s">
        <v>13</v>
      </c>
      <c r="I447" s="18" t="s">
        <v>12</v>
      </c>
    </row>
    <row r="448" s="1" customFormat="1" customHeight="1" spans="1:9">
      <c r="A448" s="18" t="str">
        <f t="shared" si="60"/>
        <v>A6F</v>
      </c>
      <c r="B448" s="19" t="s">
        <v>29</v>
      </c>
      <c r="C448" s="18" t="str">
        <f>"白明星"</f>
        <v>白明星</v>
      </c>
      <c r="D448" s="18" t="str">
        <f t="shared" si="62"/>
        <v>男</v>
      </c>
      <c r="E448" s="18" t="str">
        <f>"2022011010"</f>
        <v>2022011010</v>
      </c>
      <c r="F448" s="18">
        <v>0</v>
      </c>
      <c r="G448" s="18">
        <v>10</v>
      </c>
      <c r="H448" s="18" t="s">
        <v>13</v>
      </c>
      <c r="I448" s="18" t="s">
        <v>12</v>
      </c>
    </row>
    <row r="449" s="1" customFormat="1" customHeight="1" spans="1:9">
      <c r="A449" s="18" t="str">
        <f t="shared" si="60"/>
        <v>A6F</v>
      </c>
      <c r="B449" s="19" t="s">
        <v>29</v>
      </c>
      <c r="C449" s="18" t="str">
        <f>"刘佩文"</f>
        <v>刘佩文</v>
      </c>
      <c r="D449" s="18" t="str">
        <f t="shared" si="62"/>
        <v>男</v>
      </c>
      <c r="E449" s="18" t="str">
        <f>"2022011012"</f>
        <v>2022011012</v>
      </c>
      <c r="F449" s="18">
        <v>0</v>
      </c>
      <c r="G449" s="18">
        <v>10</v>
      </c>
      <c r="H449" s="18" t="s">
        <v>13</v>
      </c>
      <c r="I449" s="18" t="s">
        <v>12</v>
      </c>
    </row>
    <row r="450" s="1" customFormat="1" customHeight="1" spans="1:9">
      <c r="A450" s="18" t="str">
        <f t="shared" ref="A450:A463" si="64">"A6G"</f>
        <v>A6G</v>
      </c>
      <c r="B450" s="19" t="s">
        <v>30</v>
      </c>
      <c r="C450" s="18" t="str">
        <f>"李慧"</f>
        <v>李慧</v>
      </c>
      <c r="D450" s="18" t="str">
        <f t="shared" si="63"/>
        <v>女</v>
      </c>
      <c r="E450" s="18" t="str">
        <f>"2022011018"</f>
        <v>2022011018</v>
      </c>
      <c r="F450" s="18">
        <v>94.2</v>
      </c>
      <c r="G450" s="18">
        <v>1</v>
      </c>
      <c r="H450" s="18"/>
      <c r="I450" s="28" t="s">
        <v>11</v>
      </c>
    </row>
    <row r="451" s="1" customFormat="1" customHeight="1" spans="1:9">
      <c r="A451" s="18" t="str">
        <f t="shared" si="64"/>
        <v>A6G</v>
      </c>
      <c r="B451" s="19" t="s">
        <v>30</v>
      </c>
      <c r="C451" s="18" t="str">
        <f>"杨锬花"</f>
        <v>杨锬花</v>
      </c>
      <c r="D451" s="18" t="str">
        <f t="shared" si="63"/>
        <v>女</v>
      </c>
      <c r="E451" s="18" t="str">
        <f>"2022011028"</f>
        <v>2022011028</v>
      </c>
      <c r="F451" s="18">
        <v>93.6</v>
      </c>
      <c r="G451" s="18">
        <v>2</v>
      </c>
      <c r="H451" s="18"/>
      <c r="I451" s="28" t="s">
        <v>11</v>
      </c>
    </row>
    <row r="452" s="1" customFormat="1" customHeight="1" spans="1:9">
      <c r="A452" s="18" t="str">
        <f t="shared" si="64"/>
        <v>A6G</v>
      </c>
      <c r="B452" s="19" t="s">
        <v>30</v>
      </c>
      <c r="C452" s="18" t="str">
        <f>"杨少成"</f>
        <v>杨少成</v>
      </c>
      <c r="D452" s="18" t="str">
        <f>"男"</f>
        <v>男</v>
      </c>
      <c r="E452" s="18" t="str">
        <f>"2022011016"</f>
        <v>2022011016</v>
      </c>
      <c r="F452" s="18">
        <v>85.2</v>
      </c>
      <c r="G452" s="18">
        <v>3</v>
      </c>
      <c r="H452" s="18"/>
      <c r="I452" s="18" t="s">
        <v>12</v>
      </c>
    </row>
    <row r="453" s="1" customFormat="1" customHeight="1" spans="1:9">
      <c r="A453" s="18" t="str">
        <f t="shared" si="64"/>
        <v>A6G</v>
      </c>
      <c r="B453" s="19" t="s">
        <v>30</v>
      </c>
      <c r="C453" s="18" t="str">
        <f>"尹红玲"</f>
        <v>尹红玲</v>
      </c>
      <c r="D453" s="18" t="str">
        <f t="shared" ref="D453:D455" si="65">"女"</f>
        <v>女</v>
      </c>
      <c r="E453" s="18" t="str">
        <f>"2022011026"</f>
        <v>2022011026</v>
      </c>
      <c r="F453" s="18">
        <v>83</v>
      </c>
      <c r="G453" s="18">
        <v>4</v>
      </c>
      <c r="H453" s="18"/>
      <c r="I453" s="18" t="s">
        <v>12</v>
      </c>
    </row>
    <row r="454" s="1" customFormat="1" customHeight="1" spans="1:9">
      <c r="A454" s="18" t="str">
        <f t="shared" si="64"/>
        <v>A6G</v>
      </c>
      <c r="B454" s="19" t="s">
        <v>30</v>
      </c>
      <c r="C454" s="18" t="str">
        <f>"左心慧"</f>
        <v>左心慧</v>
      </c>
      <c r="D454" s="18" t="str">
        <f t="shared" si="65"/>
        <v>女</v>
      </c>
      <c r="E454" s="18" t="str">
        <f>"2022011023"</f>
        <v>2022011023</v>
      </c>
      <c r="F454" s="18">
        <v>82.2</v>
      </c>
      <c r="G454" s="18">
        <v>5</v>
      </c>
      <c r="H454" s="18"/>
      <c r="I454" s="18" t="s">
        <v>12</v>
      </c>
    </row>
    <row r="455" s="1" customFormat="1" customHeight="1" spans="1:9">
      <c r="A455" s="18" t="str">
        <f t="shared" si="64"/>
        <v>A6G</v>
      </c>
      <c r="B455" s="19" t="s">
        <v>30</v>
      </c>
      <c r="C455" s="18" t="str">
        <f>"李洁"</f>
        <v>李洁</v>
      </c>
      <c r="D455" s="18" t="str">
        <f t="shared" si="65"/>
        <v>女</v>
      </c>
      <c r="E455" s="18" t="str">
        <f>"2022011017"</f>
        <v>2022011017</v>
      </c>
      <c r="F455" s="18">
        <v>80.8</v>
      </c>
      <c r="G455" s="18">
        <v>6</v>
      </c>
      <c r="H455" s="18"/>
      <c r="I455" s="18" t="s">
        <v>12</v>
      </c>
    </row>
    <row r="456" s="1" customFormat="1" customHeight="1" spans="1:9">
      <c r="A456" s="18" t="str">
        <f t="shared" si="64"/>
        <v>A6G</v>
      </c>
      <c r="B456" s="19" t="s">
        <v>30</v>
      </c>
      <c r="C456" s="18" t="str">
        <f>"陈兴"</f>
        <v>陈兴</v>
      </c>
      <c r="D456" s="18" t="str">
        <f>"男"</f>
        <v>男</v>
      </c>
      <c r="E456" s="18" t="str">
        <f>"2022011024"</f>
        <v>2022011024</v>
      </c>
      <c r="F456" s="18">
        <v>76.6</v>
      </c>
      <c r="G456" s="18">
        <v>7</v>
      </c>
      <c r="H456" s="18"/>
      <c r="I456" s="18" t="s">
        <v>12</v>
      </c>
    </row>
    <row r="457" s="1" customFormat="1" customHeight="1" spans="1:9">
      <c r="A457" s="18" t="str">
        <f t="shared" si="64"/>
        <v>A6G</v>
      </c>
      <c r="B457" s="19" t="s">
        <v>30</v>
      </c>
      <c r="C457" s="18" t="str">
        <f>"蒋必建"</f>
        <v>蒋必建</v>
      </c>
      <c r="D457" s="18" t="str">
        <f t="shared" ref="D457:D463" si="66">"女"</f>
        <v>女</v>
      </c>
      <c r="E457" s="18" t="str">
        <f>"2022011021"</f>
        <v>2022011021</v>
      </c>
      <c r="F457" s="18">
        <v>76.2</v>
      </c>
      <c r="G457" s="18">
        <v>8</v>
      </c>
      <c r="H457" s="18"/>
      <c r="I457" s="18" t="s">
        <v>12</v>
      </c>
    </row>
    <row r="458" s="1" customFormat="1" customHeight="1" spans="1:9">
      <c r="A458" s="18" t="str">
        <f t="shared" si="64"/>
        <v>A6G</v>
      </c>
      <c r="B458" s="19" t="s">
        <v>30</v>
      </c>
      <c r="C458" s="18" t="str">
        <f>"刘璐妮"</f>
        <v>刘璐妮</v>
      </c>
      <c r="D458" s="18" t="str">
        <f t="shared" si="66"/>
        <v>女</v>
      </c>
      <c r="E458" s="18" t="str">
        <f>"2022011022"</f>
        <v>2022011022</v>
      </c>
      <c r="F458" s="18">
        <v>70.8</v>
      </c>
      <c r="G458" s="18">
        <v>9</v>
      </c>
      <c r="H458" s="18"/>
      <c r="I458" s="18" t="s">
        <v>12</v>
      </c>
    </row>
    <row r="459" s="1" customFormat="1" customHeight="1" spans="1:9">
      <c r="A459" s="18" t="str">
        <f t="shared" si="64"/>
        <v>A6G</v>
      </c>
      <c r="B459" s="19" t="s">
        <v>30</v>
      </c>
      <c r="C459" s="18" t="str">
        <f>"周蕙情"</f>
        <v>周蕙情</v>
      </c>
      <c r="D459" s="18" t="str">
        <f t="shared" si="66"/>
        <v>女</v>
      </c>
      <c r="E459" s="18" t="str">
        <f>"2022011015"</f>
        <v>2022011015</v>
      </c>
      <c r="F459" s="18">
        <v>0</v>
      </c>
      <c r="G459" s="18">
        <v>10</v>
      </c>
      <c r="H459" s="18" t="s">
        <v>13</v>
      </c>
      <c r="I459" s="18" t="s">
        <v>12</v>
      </c>
    </row>
    <row r="460" s="1" customFormat="1" customHeight="1" spans="1:9">
      <c r="A460" s="18" t="str">
        <f t="shared" si="64"/>
        <v>A6G</v>
      </c>
      <c r="B460" s="19" t="s">
        <v>30</v>
      </c>
      <c r="C460" s="18" t="str">
        <f>"李忆"</f>
        <v>李忆</v>
      </c>
      <c r="D460" s="18" t="str">
        <f t="shared" si="66"/>
        <v>女</v>
      </c>
      <c r="E460" s="18" t="str">
        <f>"2022011019"</f>
        <v>2022011019</v>
      </c>
      <c r="F460" s="18">
        <v>0</v>
      </c>
      <c r="G460" s="18">
        <v>10</v>
      </c>
      <c r="H460" s="18" t="s">
        <v>13</v>
      </c>
      <c r="I460" s="18" t="s">
        <v>12</v>
      </c>
    </row>
    <row r="461" s="1" customFormat="1" customHeight="1" spans="1:9">
      <c r="A461" s="18" t="str">
        <f t="shared" si="64"/>
        <v>A6G</v>
      </c>
      <c r="B461" s="19" t="s">
        <v>30</v>
      </c>
      <c r="C461" s="18" t="str">
        <f>"李延沅"</f>
        <v>李延沅</v>
      </c>
      <c r="D461" s="18" t="str">
        <f t="shared" si="66"/>
        <v>女</v>
      </c>
      <c r="E461" s="18" t="str">
        <f>"2022011020"</f>
        <v>2022011020</v>
      </c>
      <c r="F461" s="18">
        <v>0</v>
      </c>
      <c r="G461" s="18">
        <v>10</v>
      </c>
      <c r="H461" s="18" t="s">
        <v>13</v>
      </c>
      <c r="I461" s="18" t="s">
        <v>12</v>
      </c>
    </row>
    <row r="462" s="1" customFormat="1" customHeight="1" spans="1:9">
      <c r="A462" s="18" t="str">
        <f t="shared" si="64"/>
        <v>A6G</v>
      </c>
      <c r="B462" s="19" t="s">
        <v>30</v>
      </c>
      <c r="C462" s="18" t="str">
        <f>"汤玉婷"</f>
        <v>汤玉婷</v>
      </c>
      <c r="D462" s="18" t="str">
        <f t="shared" si="66"/>
        <v>女</v>
      </c>
      <c r="E462" s="18" t="str">
        <f>"2022011025"</f>
        <v>2022011025</v>
      </c>
      <c r="F462" s="18">
        <v>0</v>
      </c>
      <c r="G462" s="18">
        <v>10</v>
      </c>
      <c r="H462" s="18" t="s">
        <v>13</v>
      </c>
      <c r="I462" s="18" t="s">
        <v>12</v>
      </c>
    </row>
    <row r="463" s="1" customFormat="1" customHeight="1" spans="1:9">
      <c r="A463" s="18" t="str">
        <f t="shared" si="64"/>
        <v>A6G</v>
      </c>
      <c r="B463" s="19" t="s">
        <v>30</v>
      </c>
      <c r="C463" s="18" t="str">
        <f>"陈莹莹"</f>
        <v>陈莹莹</v>
      </c>
      <c r="D463" s="18" t="str">
        <f t="shared" si="66"/>
        <v>女</v>
      </c>
      <c r="E463" s="18" t="str">
        <f>"2022011027"</f>
        <v>2022011027</v>
      </c>
      <c r="F463" s="18">
        <v>0</v>
      </c>
      <c r="G463" s="18">
        <v>10</v>
      </c>
      <c r="H463" s="18" t="s">
        <v>13</v>
      </c>
      <c r="I463" s="18" t="s">
        <v>12</v>
      </c>
    </row>
    <row r="464" s="1" customFormat="1" customHeight="1" spans="1:9">
      <c r="A464" s="18" t="str">
        <f t="shared" ref="A464:A477" si="67">"A7F"</f>
        <v>A7F</v>
      </c>
      <c r="B464" s="19" t="s">
        <v>31</v>
      </c>
      <c r="C464" s="18" t="str">
        <f>"幸俊桦"</f>
        <v>幸俊桦</v>
      </c>
      <c r="D464" s="18" t="str">
        <f>"男"</f>
        <v>男</v>
      </c>
      <c r="E464" s="18" t="str">
        <f>"2022011108"</f>
        <v>2022011108</v>
      </c>
      <c r="F464" s="18">
        <v>87.8</v>
      </c>
      <c r="G464" s="18">
        <v>1</v>
      </c>
      <c r="H464" s="18"/>
      <c r="I464" s="28" t="s">
        <v>11</v>
      </c>
    </row>
    <row r="465" s="1" customFormat="1" customHeight="1" spans="1:9">
      <c r="A465" s="18" t="str">
        <f t="shared" si="67"/>
        <v>A7F</v>
      </c>
      <c r="B465" s="19" t="s">
        <v>31</v>
      </c>
      <c r="C465" s="18" t="str">
        <f>"袁敏"</f>
        <v>袁敏</v>
      </c>
      <c r="D465" s="18" t="str">
        <f t="shared" ref="D465:D468" si="68">"女"</f>
        <v>女</v>
      </c>
      <c r="E465" s="18" t="str">
        <f>"2022011110"</f>
        <v>2022011110</v>
      </c>
      <c r="F465" s="20">
        <v>87.2</v>
      </c>
      <c r="G465" s="20">
        <v>2</v>
      </c>
      <c r="H465" s="21"/>
      <c r="I465" s="28" t="s">
        <v>11</v>
      </c>
    </row>
    <row r="466" s="1" customFormat="1" customHeight="1" spans="1:9">
      <c r="A466" s="18" t="str">
        <f t="shared" si="67"/>
        <v>A7F</v>
      </c>
      <c r="B466" s="19" t="s">
        <v>31</v>
      </c>
      <c r="C466" s="18" t="str">
        <f>"陆婷"</f>
        <v>陆婷</v>
      </c>
      <c r="D466" s="18" t="str">
        <f t="shared" si="68"/>
        <v>女</v>
      </c>
      <c r="E466" s="18" t="str">
        <f>"2022011112"</f>
        <v>2022011112</v>
      </c>
      <c r="F466" s="18">
        <v>85.8</v>
      </c>
      <c r="G466" s="18">
        <v>3</v>
      </c>
      <c r="H466" s="18"/>
      <c r="I466" s="18" t="s">
        <v>12</v>
      </c>
    </row>
    <row r="467" s="1" customFormat="1" customHeight="1" spans="1:9">
      <c r="A467" s="18" t="str">
        <f t="shared" si="67"/>
        <v>A7F</v>
      </c>
      <c r="B467" s="19" t="s">
        <v>31</v>
      </c>
      <c r="C467" s="18" t="str">
        <f>"黄玮芳"</f>
        <v>黄玮芳</v>
      </c>
      <c r="D467" s="18" t="str">
        <f t="shared" si="68"/>
        <v>女</v>
      </c>
      <c r="E467" s="18" t="str">
        <f>"2022011102"</f>
        <v>2022011102</v>
      </c>
      <c r="F467" s="18">
        <v>83.3</v>
      </c>
      <c r="G467" s="20">
        <v>4</v>
      </c>
      <c r="H467" s="18"/>
      <c r="I467" s="18" t="s">
        <v>12</v>
      </c>
    </row>
    <row r="468" s="1" customFormat="1" customHeight="1" spans="1:9">
      <c r="A468" s="18" t="str">
        <f t="shared" si="67"/>
        <v>A7F</v>
      </c>
      <c r="B468" s="19" t="s">
        <v>31</v>
      </c>
      <c r="C468" s="18" t="str">
        <f>"杨南秋"</f>
        <v>杨南秋</v>
      </c>
      <c r="D468" s="18" t="str">
        <f t="shared" si="68"/>
        <v>女</v>
      </c>
      <c r="E468" s="18" t="str">
        <f>"2022011107"</f>
        <v>2022011107</v>
      </c>
      <c r="F468" s="18">
        <v>82.7</v>
      </c>
      <c r="G468" s="18">
        <v>5</v>
      </c>
      <c r="H468" s="18"/>
      <c r="I468" s="18" t="s">
        <v>12</v>
      </c>
    </row>
    <row r="469" s="1" customFormat="1" customHeight="1" spans="1:9">
      <c r="A469" s="18" t="str">
        <f t="shared" si="67"/>
        <v>A7F</v>
      </c>
      <c r="B469" s="19" t="s">
        <v>31</v>
      </c>
      <c r="C469" s="18" t="str">
        <f>"李青山"</f>
        <v>李青山</v>
      </c>
      <c r="D469" s="18" t="str">
        <f>"男"</f>
        <v>男</v>
      </c>
      <c r="E469" s="18" t="str">
        <f>"2022011106"</f>
        <v>2022011106</v>
      </c>
      <c r="F469" s="22">
        <v>82.6</v>
      </c>
      <c r="G469" s="20">
        <v>6</v>
      </c>
      <c r="H469" s="23"/>
      <c r="I469" s="18" t="s">
        <v>12</v>
      </c>
    </row>
    <row r="470" s="1" customFormat="1" customHeight="1" spans="1:9">
      <c r="A470" s="18" t="str">
        <f t="shared" si="67"/>
        <v>A7F</v>
      </c>
      <c r="B470" s="19" t="s">
        <v>31</v>
      </c>
      <c r="C470" s="18" t="str">
        <f>"马丹凤"</f>
        <v>马丹凤</v>
      </c>
      <c r="D470" s="18" t="str">
        <f t="shared" ref="D470:D481" si="69">"女"</f>
        <v>女</v>
      </c>
      <c r="E470" s="18" t="str">
        <f>"2022011113"</f>
        <v>2022011113</v>
      </c>
      <c r="F470" s="24">
        <v>80.9</v>
      </c>
      <c r="G470" s="18">
        <v>7</v>
      </c>
      <c r="H470" s="18"/>
      <c r="I470" s="18" t="s">
        <v>12</v>
      </c>
    </row>
    <row r="471" s="1" customFormat="1" customHeight="1" spans="1:9">
      <c r="A471" s="18" t="str">
        <f t="shared" si="67"/>
        <v>A7F</v>
      </c>
      <c r="B471" s="19" t="s">
        <v>31</v>
      </c>
      <c r="C471" s="18" t="str">
        <f>"杨丹"</f>
        <v>杨丹</v>
      </c>
      <c r="D471" s="18" t="str">
        <f t="shared" si="69"/>
        <v>女</v>
      </c>
      <c r="E471" s="18" t="str">
        <f>"2022011101"</f>
        <v>2022011101</v>
      </c>
      <c r="F471" s="25">
        <v>0</v>
      </c>
      <c r="G471" s="20">
        <v>8</v>
      </c>
      <c r="H471" s="26" t="s">
        <v>13</v>
      </c>
      <c r="I471" s="18" t="s">
        <v>12</v>
      </c>
    </row>
    <row r="472" s="1" customFormat="1" customHeight="1" spans="1:9">
      <c r="A472" s="18" t="str">
        <f t="shared" si="67"/>
        <v>A7F</v>
      </c>
      <c r="B472" s="19" t="s">
        <v>31</v>
      </c>
      <c r="C472" s="18" t="str">
        <f>"余曾"</f>
        <v>余曾</v>
      </c>
      <c r="D472" s="18" t="str">
        <f t="shared" si="69"/>
        <v>女</v>
      </c>
      <c r="E472" s="18" t="str">
        <f>"2022011103"</f>
        <v>2022011103</v>
      </c>
      <c r="F472" s="18">
        <v>0</v>
      </c>
      <c r="G472" s="18">
        <v>8</v>
      </c>
      <c r="H472" s="18" t="s">
        <v>13</v>
      </c>
      <c r="I472" s="18" t="s">
        <v>12</v>
      </c>
    </row>
    <row r="473" s="1" customFormat="1" customHeight="1" spans="1:9">
      <c r="A473" s="18" t="str">
        <f t="shared" si="67"/>
        <v>A7F</v>
      </c>
      <c r="B473" s="19" t="s">
        <v>31</v>
      </c>
      <c r="C473" s="18" t="str">
        <f>"尹雅丽"</f>
        <v>尹雅丽</v>
      </c>
      <c r="D473" s="18" t="str">
        <f t="shared" si="69"/>
        <v>女</v>
      </c>
      <c r="E473" s="18" t="str">
        <f>"2022011104"</f>
        <v>2022011104</v>
      </c>
      <c r="F473" s="20">
        <v>0</v>
      </c>
      <c r="G473" s="20">
        <v>8</v>
      </c>
      <c r="H473" s="21" t="s">
        <v>13</v>
      </c>
      <c r="I473" s="18" t="s">
        <v>12</v>
      </c>
    </row>
    <row r="474" s="1" customFormat="1" customHeight="1" spans="1:9">
      <c r="A474" s="18" t="str">
        <f t="shared" si="67"/>
        <v>A7F</v>
      </c>
      <c r="B474" s="19" t="s">
        <v>31</v>
      </c>
      <c r="C474" s="18" t="str">
        <f>"姚媛"</f>
        <v>姚媛</v>
      </c>
      <c r="D474" s="18" t="str">
        <f t="shared" si="69"/>
        <v>女</v>
      </c>
      <c r="E474" s="18" t="str">
        <f>"2022011105"</f>
        <v>2022011105</v>
      </c>
      <c r="F474" s="18">
        <v>0</v>
      </c>
      <c r="G474" s="18">
        <v>8</v>
      </c>
      <c r="H474" s="18" t="s">
        <v>13</v>
      </c>
      <c r="I474" s="18" t="s">
        <v>12</v>
      </c>
    </row>
    <row r="475" s="1" customFormat="1" customHeight="1" spans="1:9">
      <c r="A475" s="18" t="str">
        <f t="shared" si="67"/>
        <v>A7F</v>
      </c>
      <c r="B475" s="19" t="s">
        <v>31</v>
      </c>
      <c r="C475" s="18" t="str">
        <f>"邓维维"</f>
        <v>邓维维</v>
      </c>
      <c r="D475" s="18" t="str">
        <f t="shared" si="69"/>
        <v>女</v>
      </c>
      <c r="E475" s="18" t="str">
        <f>"2022011109"</f>
        <v>2022011109</v>
      </c>
      <c r="F475" s="22">
        <v>0</v>
      </c>
      <c r="G475" s="20">
        <v>8</v>
      </c>
      <c r="H475" s="23" t="s">
        <v>13</v>
      </c>
      <c r="I475" s="18" t="s">
        <v>12</v>
      </c>
    </row>
    <row r="476" s="1" customFormat="1" customHeight="1" spans="1:9">
      <c r="A476" s="18" t="str">
        <f t="shared" si="67"/>
        <v>A7F</v>
      </c>
      <c r="B476" s="19" t="s">
        <v>31</v>
      </c>
      <c r="C476" s="18" t="str">
        <f>"李芳"</f>
        <v>李芳</v>
      </c>
      <c r="D476" s="18" t="str">
        <f t="shared" si="69"/>
        <v>女</v>
      </c>
      <c r="E476" s="18" t="str">
        <f>"2022011111"</f>
        <v>2022011111</v>
      </c>
      <c r="F476" s="25">
        <v>0</v>
      </c>
      <c r="G476" s="18">
        <v>8</v>
      </c>
      <c r="H476" s="26" t="s">
        <v>13</v>
      </c>
      <c r="I476" s="18" t="s">
        <v>12</v>
      </c>
    </row>
    <row r="477" s="1" customFormat="1" customHeight="1" spans="1:9">
      <c r="A477" s="18" t="str">
        <f t="shared" si="67"/>
        <v>A7F</v>
      </c>
      <c r="B477" s="19" t="s">
        <v>31</v>
      </c>
      <c r="C477" s="18" t="str">
        <f>"苏芳兰"</f>
        <v>苏芳兰</v>
      </c>
      <c r="D477" s="18" t="str">
        <f t="shared" si="69"/>
        <v>女</v>
      </c>
      <c r="E477" s="18" t="str">
        <f>"2022011114"</f>
        <v>2022011114</v>
      </c>
      <c r="F477" s="18">
        <v>0</v>
      </c>
      <c r="G477" s="20">
        <v>8</v>
      </c>
      <c r="H477" s="18" t="s">
        <v>13</v>
      </c>
      <c r="I477" s="18" t="s">
        <v>12</v>
      </c>
    </row>
    <row r="478" s="1" customFormat="1" customHeight="1" spans="1:9">
      <c r="A478" s="18" t="str">
        <f t="shared" ref="A478:A484" si="70">"A7G"</f>
        <v>A7G</v>
      </c>
      <c r="B478" s="19" t="s">
        <v>32</v>
      </c>
      <c r="C478" s="18" t="str">
        <f>"徐萍"</f>
        <v>徐萍</v>
      </c>
      <c r="D478" s="18" t="str">
        <f t="shared" si="69"/>
        <v>女</v>
      </c>
      <c r="E478" s="18" t="str">
        <f>"2022011121"</f>
        <v>2022011121</v>
      </c>
      <c r="F478" s="18">
        <v>86.2</v>
      </c>
      <c r="G478" s="18">
        <v>1</v>
      </c>
      <c r="H478" s="18"/>
      <c r="I478" s="28" t="s">
        <v>11</v>
      </c>
    </row>
    <row r="479" s="1" customFormat="1" customHeight="1" spans="1:9">
      <c r="A479" s="18" t="str">
        <f t="shared" si="70"/>
        <v>A7G</v>
      </c>
      <c r="B479" s="19" t="s">
        <v>32</v>
      </c>
      <c r="C479" s="18" t="str">
        <f>"尹海霞"</f>
        <v>尹海霞</v>
      </c>
      <c r="D479" s="18" t="str">
        <f t="shared" si="69"/>
        <v>女</v>
      </c>
      <c r="E479" s="18" t="str">
        <f>"2022011115"</f>
        <v>2022011115</v>
      </c>
      <c r="F479" s="24">
        <v>82.5</v>
      </c>
      <c r="G479" s="24">
        <v>2</v>
      </c>
      <c r="H479" s="18"/>
      <c r="I479" s="28" t="s">
        <v>11</v>
      </c>
    </row>
    <row r="480" s="1" customFormat="1" customHeight="1" spans="1:9">
      <c r="A480" s="18" t="str">
        <f t="shared" si="70"/>
        <v>A7G</v>
      </c>
      <c r="B480" s="19" t="s">
        <v>32</v>
      </c>
      <c r="C480" s="18" t="str">
        <f>"肖恬甜"</f>
        <v>肖恬甜</v>
      </c>
      <c r="D480" s="18" t="str">
        <f t="shared" si="69"/>
        <v>女</v>
      </c>
      <c r="E480" s="18" t="str">
        <f>"2022011116"</f>
        <v>2022011116</v>
      </c>
      <c r="F480" s="24">
        <v>81.9</v>
      </c>
      <c r="G480" s="22">
        <v>3</v>
      </c>
      <c r="H480" s="18"/>
      <c r="I480" s="18" t="s">
        <v>12</v>
      </c>
    </row>
    <row r="481" s="1" customFormat="1" customHeight="1" spans="1:9">
      <c r="A481" s="18" t="str">
        <f t="shared" si="70"/>
        <v>A7G</v>
      </c>
      <c r="B481" s="19" t="s">
        <v>32</v>
      </c>
      <c r="C481" s="18" t="str">
        <f>"杨荔娟"</f>
        <v>杨荔娟</v>
      </c>
      <c r="D481" s="18" t="str">
        <f t="shared" si="69"/>
        <v>女</v>
      </c>
      <c r="E481" s="18" t="str">
        <f>"2022011117"</f>
        <v>2022011117</v>
      </c>
      <c r="F481" s="25">
        <v>80</v>
      </c>
      <c r="G481" s="24">
        <v>4</v>
      </c>
      <c r="H481" s="26"/>
      <c r="I481" s="18" t="s">
        <v>12</v>
      </c>
    </row>
    <row r="482" s="1" customFormat="1" customHeight="1" spans="1:9">
      <c r="A482" s="18" t="str">
        <f t="shared" si="70"/>
        <v>A7G</v>
      </c>
      <c r="B482" s="19" t="s">
        <v>32</v>
      </c>
      <c r="C482" s="18" t="str">
        <f>"杨壹朝"</f>
        <v>杨壹朝</v>
      </c>
      <c r="D482" s="18" t="str">
        <f>"男"</f>
        <v>男</v>
      </c>
      <c r="E482" s="18" t="str">
        <f>"2022011118"</f>
        <v>2022011118</v>
      </c>
      <c r="F482" s="18">
        <v>77.9</v>
      </c>
      <c r="G482" s="22">
        <v>5</v>
      </c>
      <c r="H482" s="18"/>
      <c r="I482" s="18" t="s">
        <v>12</v>
      </c>
    </row>
    <row r="483" s="1" customFormat="1" customHeight="1" spans="1:9">
      <c r="A483" s="18" t="str">
        <f t="shared" si="70"/>
        <v>A7G</v>
      </c>
      <c r="B483" s="19" t="s">
        <v>32</v>
      </c>
      <c r="C483" s="18" t="str">
        <f>"李仟"</f>
        <v>李仟</v>
      </c>
      <c r="D483" s="18" t="str">
        <f t="shared" ref="D483:D486" si="71">"女"</f>
        <v>女</v>
      </c>
      <c r="E483" s="18" t="str">
        <f>"2022011120"</f>
        <v>2022011120</v>
      </c>
      <c r="F483" s="22">
        <v>75.5</v>
      </c>
      <c r="G483" s="24">
        <v>6</v>
      </c>
      <c r="H483" s="23"/>
      <c r="I483" s="18" t="s">
        <v>12</v>
      </c>
    </row>
    <row r="484" s="1" customFormat="1" customHeight="1" spans="1:9">
      <c r="A484" s="18" t="str">
        <f t="shared" si="70"/>
        <v>A7G</v>
      </c>
      <c r="B484" s="19" t="s">
        <v>32</v>
      </c>
      <c r="C484" s="18" t="str">
        <f>"兰慧美"</f>
        <v>兰慧美</v>
      </c>
      <c r="D484" s="18" t="str">
        <f t="shared" si="71"/>
        <v>女</v>
      </c>
      <c r="E484" s="18" t="str">
        <f>"2022011119"</f>
        <v>2022011119</v>
      </c>
      <c r="F484" s="24">
        <v>0</v>
      </c>
      <c r="G484" s="22">
        <v>7</v>
      </c>
      <c r="H484" s="18" t="s">
        <v>13</v>
      </c>
      <c r="I484" s="18" t="s">
        <v>12</v>
      </c>
    </row>
    <row r="485" s="1" customFormat="1" customHeight="1" spans="1:9">
      <c r="A485" s="18" t="str">
        <f t="shared" ref="A485:A504" si="72">"A8F"</f>
        <v>A8F</v>
      </c>
      <c r="B485" s="19" t="s">
        <v>33</v>
      </c>
      <c r="C485" s="18" t="str">
        <f>"刘佳"</f>
        <v>刘佳</v>
      </c>
      <c r="D485" s="18" t="str">
        <f t="shared" si="71"/>
        <v>女</v>
      </c>
      <c r="E485" s="18" t="str">
        <f>"2022011210"</f>
        <v>2022011210</v>
      </c>
      <c r="F485" s="18">
        <v>83.3</v>
      </c>
      <c r="G485" s="18">
        <v>1</v>
      </c>
      <c r="H485" s="18"/>
      <c r="I485" s="28" t="s">
        <v>11</v>
      </c>
    </row>
    <row r="486" s="1" customFormat="1" customHeight="1" spans="1:9">
      <c r="A486" s="18" t="str">
        <f t="shared" si="72"/>
        <v>A8F</v>
      </c>
      <c r="B486" s="19" t="s">
        <v>33</v>
      </c>
      <c r="C486" s="18" t="str">
        <f>"方艺桦"</f>
        <v>方艺桦</v>
      </c>
      <c r="D486" s="18" t="str">
        <f t="shared" si="71"/>
        <v>女</v>
      </c>
      <c r="E486" s="18" t="str">
        <f>"2022011207"</f>
        <v>2022011207</v>
      </c>
      <c r="F486" s="18">
        <v>81.7</v>
      </c>
      <c r="G486" s="18">
        <v>2</v>
      </c>
      <c r="H486" s="18"/>
      <c r="I486" s="28" t="s">
        <v>11</v>
      </c>
    </row>
    <row r="487" s="1" customFormat="1" customHeight="1" spans="1:9">
      <c r="A487" s="18" t="str">
        <f t="shared" si="72"/>
        <v>A8F</v>
      </c>
      <c r="B487" s="19" t="s">
        <v>33</v>
      </c>
      <c r="C487" s="18" t="str">
        <f>"王冰"</f>
        <v>王冰</v>
      </c>
      <c r="D487" s="18" t="str">
        <f>"男"</f>
        <v>男</v>
      </c>
      <c r="E487" s="18" t="str">
        <f>"2022011220"</f>
        <v>2022011220</v>
      </c>
      <c r="F487" s="18">
        <v>77.6</v>
      </c>
      <c r="G487" s="20">
        <v>3</v>
      </c>
      <c r="H487" s="18"/>
      <c r="I487" s="18" t="s">
        <v>12</v>
      </c>
    </row>
    <row r="488" s="1" customFormat="1" customHeight="1" spans="1:9">
      <c r="A488" s="18" t="str">
        <f t="shared" si="72"/>
        <v>A8F</v>
      </c>
      <c r="B488" s="19" t="s">
        <v>33</v>
      </c>
      <c r="C488" s="18" t="str">
        <f>"周立群"</f>
        <v>周立群</v>
      </c>
      <c r="D488" s="18" t="str">
        <f t="shared" ref="D488:D498" si="73">"女"</f>
        <v>女</v>
      </c>
      <c r="E488" s="18" t="str">
        <f>"2022011204"</f>
        <v>2022011204</v>
      </c>
      <c r="F488" s="22">
        <v>75.6</v>
      </c>
      <c r="G488" s="18">
        <v>4</v>
      </c>
      <c r="H488" s="23"/>
      <c r="I488" s="18" t="s">
        <v>12</v>
      </c>
    </row>
    <row r="489" s="1" customFormat="1" customHeight="1" spans="1:9">
      <c r="A489" s="18" t="str">
        <f t="shared" si="72"/>
        <v>A8F</v>
      </c>
      <c r="B489" s="19" t="s">
        <v>33</v>
      </c>
      <c r="C489" s="18" t="str">
        <f>"唐晓丽"</f>
        <v>唐晓丽</v>
      </c>
      <c r="D489" s="18" t="str">
        <f t="shared" si="73"/>
        <v>女</v>
      </c>
      <c r="E489" s="18" t="str">
        <f>"2022011215"</f>
        <v>2022011215</v>
      </c>
      <c r="F489" s="24">
        <v>73.5</v>
      </c>
      <c r="G489" s="20">
        <v>5</v>
      </c>
      <c r="H489" s="18"/>
      <c r="I489" s="18" t="s">
        <v>12</v>
      </c>
    </row>
    <row r="490" s="1" customFormat="1" customHeight="1" spans="1:9">
      <c r="A490" s="18" t="str">
        <f t="shared" si="72"/>
        <v>A8F</v>
      </c>
      <c r="B490" s="19" t="s">
        <v>33</v>
      </c>
      <c r="C490" s="18" t="str">
        <f>"尹华良"</f>
        <v>尹华良</v>
      </c>
      <c r="D490" s="18" t="str">
        <f>"男"</f>
        <v>男</v>
      </c>
      <c r="E490" s="18" t="str">
        <f>"2022011201"</f>
        <v>2022011201</v>
      </c>
      <c r="F490" s="24">
        <v>73.2</v>
      </c>
      <c r="G490" s="18">
        <v>6</v>
      </c>
      <c r="H490" s="18"/>
      <c r="I490" s="18" t="s">
        <v>12</v>
      </c>
    </row>
    <row r="491" s="1" customFormat="1" customHeight="1" spans="1:9">
      <c r="A491" s="18" t="str">
        <f t="shared" si="72"/>
        <v>A8F</v>
      </c>
      <c r="B491" s="19" t="s">
        <v>33</v>
      </c>
      <c r="C491" s="18" t="str">
        <f>"陈爱英"</f>
        <v>陈爱英</v>
      </c>
      <c r="D491" s="18" t="str">
        <f t="shared" si="73"/>
        <v>女</v>
      </c>
      <c r="E491" s="18" t="str">
        <f>"2022011213"</f>
        <v>2022011213</v>
      </c>
      <c r="F491" s="25">
        <v>73.1</v>
      </c>
      <c r="G491" s="20">
        <v>7</v>
      </c>
      <c r="H491" s="26"/>
      <c r="I491" s="18" t="s">
        <v>12</v>
      </c>
    </row>
    <row r="492" s="1" customFormat="1" customHeight="1" spans="1:9">
      <c r="A492" s="18" t="str">
        <f t="shared" si="72"/>
        <v>A8F</v>
      </c>
      <c r="B492" s="19" t="s">
        <v>33</v>
      </c>
      <c r="C492" s="18" t="str">
        <f>"刘敏"</f>
        <v>刘敏</v>
      </c>
      <c r="D492" s="18" t="str">
        <f t="shared" si="73"/>
        <v>女</v>
      </c>
      <c r="E492" s="18" t="str">
        <f>"2022011206"</f>
        <v>2022011206</v>
      </c>
      <c r="F492" s="18">
        <v>72.8</v>
      </c>
      <c r="G492" s="18">
        <v>8</v>
      </c>
      <c r="H492" s="18"/>
      <c r="I492" s="18" t="s">
        <v>12</v>
      </c>
    </row>
    <row r="493" s="1" customFormat="1" customHeight="1" spans="1:9">
      <c r="A493" s="18" t="str">
        <f t="shared" si="72"/>
        <v>A8F</v>
      </c>
      <c r="B493" s="19" t="s">
        <v>33</v>
      </c>
      <c r="C493" s="18" t="str">
        <f>"陈湘"</f>
        <v>陈湘</v>
      </c>
      <c r="D493" s="18" t="str">
        <f t="shared" si="73"/>
        <v>女</v>
      </c>
      <c r="E493" s="18" t="str">
        <f>"2022011205"</f>
        <v>2022011205</v>
      </c>
      <c r="F493" s="18">
        <v>71.9</v>
      </c>
      <c r="G493" s="20">
        <v>9</v>
      </c>
      <c r="H493" s="18"/>
      <c r="I493" s="18" t="s">
        <v>12</v>
      </c>
    </row>
    <row r="494" s="1" customFormat="1" customHeight="1" spans="1:9">
      <c r="A494" s="18" t="str">
        <f t="shared" si="72"/>
        <v>A8F</v>
      </c>
      <c r="B494" s="19" t="s">
        <v>33</v>
      </c>
      <c r="C494" s="18" t="str">
        <f>"谢彤"</f>
        <v>谢彤</v>
      </c>
      <c r="D494" s="18" t="str">
        <f t="shared" si="73"/>
        <v>女</v>
      </c>
      <c r="E494" s="18" t="str">
        <f>"2022011219"</f>
        <v>2022011219</v>
      </c>
      <c r="F494" s="22">
        <v>71</v>
      </c>
      <c r="G494" s="18">
        <v>10</v>
      </c>
      <c r="H494" s="23"/>
      <c r="I494" s="18" t="s">
        <v>12</v>
      </c>
    </row>
    <row r="495" s="1" customFormat="1" customHeight="1" spans="1:9">
      <c r="A495" s="18" t="str">
        <f t="shared" si="72"/>
        <v>A8F</v>
      </c>
      <c r="B495" s="19" t="s">
        <v>33</v>
      </c>
      <c r="C495" s="18" t="str">
        <f>"冉友芳"</f>
        <v>冉友芳</v>
      </c>
      <c r="D495" s="18" t="str">
        <f t="shared" si="73"/>
        <v>女</v>
      </c>
      <c r="E495" s="18" t="str">
        <f>"2022011211"</f>
        <v>2022011211</v>
      </c>
      <c r="F495" s="24">
        <v>69.8</v>
      </c>
      <c r="G495" s="20">
        <v>11</v>
      </c>
      <c r="H495" s="18"/>
      <c r="I495" s="18" t="s">
        <v>12</v>
      </c>
    </row>
    <row r="496" s="1" customFormat="1" customHeight="1" spans="1:9">
      <c r="A496" s="18" t="str">
        <f t="shared" si="72"/>
        <v>A8F</v>
      </c>
      <c r="B496" s="19" t="s">
        <v>33</v>
      </c>
      <c r="C496" s="18" t="str">
        <f>"郑雪兰"</f>
        <v>郑雪兰</v>
      </c>
      <c r="D496" s="18" t="str">
        <f t="shared" si="73"/>
        <v>女</v>
      </c>
      <c r="E496" s="18" t="str">
        <f>"2022011212"</f>
        <v>2022011212</v>
      </c>
      <c r="F496" s="24">
        <v>64</v>
      </c>
      <c r="G496" s="18">
        <v>12</v>
      </c>
      <c r="H496" s="18"/>
      <c r="I496" s="18" t="s">
        <v>12</v>
      </c>
    </row>
    <row r="497" s="1" customFormat="1" customHeight="1" spans="1:9">
      <c r="A497" s="18" t="str">
        <f t="shared" si="72"/>
        <v>A8F</v>
      </c>
      <c r="B497" s="19" t="s">
        <v>33</v>
      </c>
      <c r="C497" s="18" t="str">
        <f>"尹雅林"</f>
        <v>尹雅林</v>
      </c>
      <c r="D497" s="18" t="str">
        <f t="shared" si="73"/>
        <v>女</v>
      </c>
      <c r="E497" s="18" t="str">
        <f>"2022011216"</f>
        <v>2022011216</v>
      </c>
      <c r="F497" s="25">
        <v>56.9</v>
      </c>
      <c r="G497" s="20">
        <v>13</v>
      </c>
      <c r="H497" s="26"/>
      <c r="I497" s="18" t="s">
        <v>12</v>
      </c>
    </row>
    <row r="498" s="1" customFormat="1" customHeight="1" spans="1:9">
      <c r="A498" s="18" t="str">
        <f t="shared" si="72"/>
        <v>A8F</v>
      </c>
      <c r="B498" s="19" t="s">
        <v>33</v>
      </c>
      <c r="C498" s="18" t="str">
        <f>"杨萍"</f>
        <v>杨萍</v>
      </c>
      <c r="D498" s="18" t="str">
        <f t="shared" si="73"/>
        <v>女</v>
      </c>
      <c r="E498" s="18" t="str">
        <f>"2022011202"</f>
        <v>2022011202</v>
      </c>
      <c r="F498" s="18">
        <v>0</v>
      </c>
      <c r="G498" s="18">
        <v>14</v>
      </c>
      <c r="H498" s="18" t="s">
        <v>13</v>
      </c>
      <c r="I498" s="18" t="s">
        <v>12</v>
      </c>
    </row>
    <row r="499" s="1" customFormat="1" customHeight="1" spans="1:9">
      <c r="A499" s="18" t="str">
        <f t="shared" si="72"/>
        <v>A8F</v>
      </c>
      <c r="B499" s="19" t="s">
        <v>33</v>
      </c>
      <c r="C499" s="18" t="str">
        <f>"袁武"</f>
        <v>袁武</v>
      </c>
      <c r="D499" s="18" t="str">
        <f>"男"</f>
        <v>男</v>
      </c>
      <c r="E499" s="18" t="str">
        <f>"2022011203"</f>
        <v>2022011203</v>
      </c>
      <c r="F499" s="22">
        <v>0</v>
      </c>
      <c r="G499" s="20">
        <v>14</v>
      </c>
      <c r="H499" s="23" t="s">
        <v>13</v>
      </c>
      <c r="I499" s="18" t="s">
        <v>12</v>
      </c>
    </row>
    <row r="500" s="1" customFormat="1" customHeight="1" spans="1:9">
      <c r="A500" s="18" t="str">
        <f t="shared" si="72"/>
        <v>A8F</v>
      </c>
      <c r="B500" s="19" t="s">
        <v>33</v>
      </c>
      <c r="C500" s="18" t="str">
        <f>"邓海玲"</f>
        <v>邓海玲</v>
      </c>
      <c r="D500" s="18" t="str">
        <f t="shared" ref="D500:D504" si="74">"女"</f>
        <v>女</v>
      </c>
      <c r="E500" s="18" t="str">
        <f>"2022011208"</f>
        <v>2022011208</v>
      </c>
      <c r="F500" s="25">
        <v>0</v>
      </c>
      <c r="G500" s="18">
        <v>14</v>
      </c>
      <c r="H500" s="26" t="s">
        <v>13</v>
      </c>
      <c r="I500" s="18" t="s">
        <v>12</v>
      </c>
    </row>
    <row r="501" s="1" customFormat="1" customHeight="1" spans="1:9">
      <c r="A501" s="18" t="str">
        <f t="shared" si="72"/>
        <v>A8F</v>
      </c>
      <c r="B501" s="19" t="s">
        <v>33</v>
      </c>
      <c r="C501" s="18" t="str">
        <f>"胡倩宇"</f>
        <v>胡倩宇</v>
      </c>
      <c r="D501" s="18" t="str">
        <f t="shared" si="74"/>
        <v>女</v>
      </c>
      <c r="E501" s="18" t="str">
        <f>"2022011209"</f>
        <v>2022011209</v>
      </c>
      <c r="F501" s="18">
        <v>0</v>
      </c>
      <c r="G501" s="20">
        <v>14</v>
      </c>
      <c r="H501" s="18" t="s">
        <v>13</v>
      </c>
      <c r="I501" s="18" t="s">
        <v>12</v>
      </c>
    </row>
    <row r="502" s="1" customFormat="1" customHeight="1" spans="1:9">
      <c r="A502" s="18" t="str">
        <f t="shared" si="72"/>
        <v>A8F</v>
      </c>
      <c r="B502" s="19" t="s">
        <v>33</v>
      </c>
      <c r="C502" s="18" t="str">
        <f>"杨阳"</f>
        <v>杨阳</v>
      </c>
      <c r="D502" s="18" t="str">
        <f t="shared" si="74"/>
        <v>女</v>
      </c>
      <c r="E502" s="18" t="str">
        <f>"2022011214"</f>
        <v>2022011214</v>
      </c>
      <c r="F502" s="18">
        <v>0</v>
      </c>
      <c r="G502" s="18">
        <v>14</v>
      </c>
      <c r="H502" s="18" t="s">
        <v>13</v>
      </c>
      <c r="I502" s="18" t="s">
        <v>12</v>
      </c>
    </row>
    <row r="503" s="1" customFormat="1" customHeight="1" spans="1:9">
      <c r="A503" s="18" t="str">
        <f t="shared" si="72"/>
        <v>A8F</v>
      </c>
      <c r="B503" s="19" t="s">
        <v>33</v>
      </c>
      <c r="C503" s="18" t="str">
        <f>"周冰月"</f>
        <v>周冰月</v>
      </c>
      <c r="D503" s="18" t="str">
        <f t="shared" si="74"/>
        <v>女</v>
      </c>
      <c r="E503" s="18" t="str">
        <f>"2022011217"</f>
        <v>2022011217</v>
      </c>
      <c r="F503" s="22">
        <v>0</v>
      </c>
      <c r="G503" s="20">
        <v>14</v>
      </c>
      <c r="H503" s="23" t="s">
        <v>13</v>
      </c>
      <c r="I503" s="18" t="s">
        <v>12</v>
      </c>
    </row>
    <row r="504" s="1" customFormat="1" customHeight="1" spans="1:9">
      <c r="A504" s="18" t="str">
        <f t="shared" si="72"/>
        <v>A8F</v>
      </c>
      <c r="B504" s="19" t="s">
        <v>33</v>
      </c>
      <c r="C504" s="18" t="str">
        <f>"陈仪惠"</f>
        <v>陈仪惠</v>
      </c>
      <c r="D504" s="18" t="str">
        <f t="shared" si="74"/>
        <v>女</v>
      </c>
      <c r="E504" s="18" t="str">
        <f>"2022011218"</f>
        <v>2022011218</v>
      </c>
      <c r="F504" s="24">
        <v>0</v>
      </c>
      <c r="G504" s="18">
        <v>14</v>
      </c>
      <c r="H504" s="18" t="s">
        <v>13</v>
      </c>
      <c r="I504" s="18" t="s">
        <v>12</v>
      </c>
    </row>
    <row r="505" s="1" customFormat="1" customHeight="1" spans="1:9">
      <c r="A505" s="18" t="str">
        <f t="shared" ref="A505:A517" si="75">"A9F"</f>
        <v>A9F</v>
      </c>
      <c r="B505" s="19" t="s">
        <v>34</v>
      </c>
      <c r="C505" s="18" t="str">
        <f>"肖灿"</f>
        <v>肖灿</v>
      </c>
      <c r="D505" s="18" t="str">
        <f t="shared" ref="D505:D508" si="76">"男"</f>
        <v>男</v>
      </c>
      <c r="E505" s="18" t="str">
        <f>"2022016115"</f>
        <v>2022016115</v>
      </c>
      <c r="F505" s="24">
        <v>81.8</v>
      </c>
      <c r="G505" s="24">
        <v>1</v>
      </c>
      <c r="H505" s="18"/>
      <c r="I505" s="28" t="s">
        <v>11</v>
      </c>
    </row>
    <row r="506" s="1" customFormat="1" customHeight="1" spans="1:9">
      <c r="A506" s="18" t="str">
        <f t="shared" si="75"/>
        <v>A9F</v>
      </c>
      <c r="B506" s="19" t="s">
        <v>34</v>
      </c>
      <c r="C506" s="18" t="str">
        <f>"谢斌斌"</f>
        <v>谢斌斌</v>
      </c>
      <c r="D506" s="18" t="str">
        <f t="shared" si="76"/>
        <v>男</v>
      </c>
      <c r="E506" s="18" t="str">
        <f>"2022016117"</f>
        <v>2022016117</v>
      </c>
      <c r="F506" s="24">
        <v>76.5</v>
      </c>
      <c r="G506" s="24">
        <v>2</v>
      </c>
      <c r="H506" s="18"/>
      <c r="I506" s="28" t="s">
        <v>11</v>
      </c>
    </row>
    <row r="507" s="1" customFormat="1" customHeight="1" spans="1:9">
      <c r="A507" s="18" t="str">
        <f t="shared" si="75"/>
        <v>A9F</v>
      </c>
      <c r="B507" s="19" t="s">
        <v>34</v>
      </c>
      <c r="C507" s="18" t="str">
        <f>"刘鹏"</f>
        <v>刘鹏</v>
      </c>
      <c r="D507" s="18" t="str">
        <f t="shared" si="76"/>
        <v>男</v>
      </c>
      <c r="E507" s="18" t="str">
        <f>"2022016119"</f>
        <v>2022016119</v>
      </c>
      <c r="F507" s="24">
        <v>76.5</v>
      </c>
      <c r="G507" s="24">
        <v>2</v>
      </c>
      <c r="H507" s="18"/>
      <c r="I507" s="28" t="s">
        <v>11</v>
      </c>
    </row>
    <row r="508" s="1" customFormat="1" customHeight="1" spans="1:9">
      <c r="A508" s="18" t="str">
        <f t="shared" si="75"/>
        <v>A9F</v>
      </c>
      <c r="B508" s="19" t="s">
        <v>34</v>
      </c>
      <c r="C508" s="18" t="str">
        <f>"游志鹏"</f>
        <v>游志鹏</v>
      </c>
      <c r="D508" s="18" t="str">
        <f t="shared" si="76"/>
        <v>男</v>
      </c>
      <c r="E508" s="18" t="str">
        <f>"2022016112"</f>
        <v>2022016112</v>
      </c>
      <c r="F508" s="24">
        <v>76.2</v>
      </c>
      <c r="G508" s="24">
        <v>4</v>
      </c>
      <c r="H508" s="18"/>
      <c r="I508" s="28" t="s">
        <v>11</v>
      </c>
    </row>
    <row r="509" s="1" customFormat="1" customHeight="1" spans="1:9">
      <c r="A509" s="18" t="str">
        <f t="shared" si="75"/>
        <v>A9F</v>
      </c>
      <c r="B509" s="19" t="s">
        <v>34</v>
      </c>
      <c r="C509" s="18" t="str">
        <f>"罗靖"</f>
        <v>罗靖</v>
      </c>
      <c r="D509" s="18" t="str">
        <f t="shared" ref="D509:D513" si="77">"女"</f>
        <v>女</v>
      </c>
      <c r="E509" s="18" t="str">
        <f>"2022016113"</f>
        <v>2022016113</v>
      </c>
      <c r="F509" s="24">
        <v>69.1</v>
      </c>
      <c r="G509" s="24">
        <v>5</v>
      </c>
      <c r="H509" s="18"/>
      <c r="I509" s="18" t="s">
        <v>12</v>
      </c>
    </row>
    <row r="510" s="1" customFormat="1" customHeight="1" spans="1:9">
      <c r="A510" s="18" t="str">
        <f t="shared" si="75"/>
        <v>A9F</v>
      </c>
      <c r="B510" s="19" t="s">
        <v>34</v>
      </c>
      <c r="C510" s="18" t="str">
        <f>"刘海"</f>
        <v>刘海</v>
      </c>
      <c r="D510" s="18" t="str">
        <f t="shared" ref="D510:D516" si="78">"男"</f>
        <v>男</v>
      </c>
      <c r="E510" s="18" t="str">
        <f>"2022016114"</f>
        <v>2022016114</v>
      </c>
      <c r="F510" s="25">
        <v>67.9</v>
      </c>
      <c r="G510" s="24">
        <v>6</v>
      </c>
      <c r="H510" s="26"/>
      <c r="I510" s="18" t="s">
        <v>12</v>
      </c>
    </row>
    <row r="511" s="1" customFormat="1" customHeight="1" spans="1:9">
      <c r="A511" s="18" t="str">
        <f t="shared" si="75"/>
        <v>A9F</v>
      </c>
      <c r="B511" s="19" t="s">
        <v>34</v>
      </c>
      <c r="C511" s="18" t="str">
        <f>"杨辉"</f>
        <v>杨辉</v>
      </c>
      <c r="D511" s="18" t="str">
        <f t="shared" si="78"/>
        <v>男</v>
      </c>
      <c r="E511" s="18" t="str">
        <f>"2022016124"</f>
        <v>2022016124</v>
      </c>
      <c r="F511" s="18">
        <v>66.8</v>
      </c>
      <c r="G511" s="24">
        <v>7</v>
      </c>
      <c r="H511" s="18"/>
      <c r="I511" s="18" t="s">
        <v>12</v>
      </c>
    </row>
    <row r="512" s="1" customFormat="1" customHeight="1" spans="1:9">
      <c r="A512" s="18" t="str">
        <f t="shared" si="75"/>
        <v>A9F</v>
      </c>
      <c r="B512" s="19" t="s">
        <v>34</v>
      </c>
      <c r="C512" s="18" t="str">
        <f>"刘桂菊"</f>
        <v>刘桂菊</v>
      </c>
      <c r="D512" s="18" t="str">
        <f t="shared" si="77"/>
        <v>女</v>
      </c>
      <c r="E512" s="18" t="str">
        <f>"2022016122"</f>
        <v>2022016122</v>
      </c>
      <c r="F512" s="20">
        <v>64.5</v>
      </c>
      <c r="G512" s="24">
        <v>8</v>
      </c>
      <c r="H512" s="21"/>
      <c r="I512" s="18" t="s">
        <v>12</v>
      </c>
    </row>
    <row r="513" s="1" customFormat="1" customHeight="1" spans="1:9">
      <c r="A513" s="18" t="str">
        <f t="shared" si="75"/>
        <v>A9F</v>
      </c>
      <c r="B513" s="19" t="s">
        <v>34</v>
      </c>
      <c r="C513" s="18" t="str">
        <f>"田粒"</f>
        <v>田粒</v>
      </c>
      <c r="D513" s="18" t="str">
        <f t="shared" si="77"/>
        <v>女</v>
      </c>
      <c r="E513" s="18" t="str">
        <f>"2022016116"</f>
        <v>2022016116</v>
      </c>
      <c r="F513" s="18">
        <v>56</v>
      </c>
      <c r="G513" s="24">
        <v>9</v>
      </c>
      <c r="H513" s="18"/>
      <c r="I513" s="18" t="s">
        <v>12</v>
      </c>
    </row>
    <row r="514" s="1" customFormat="1" customHeight="1" spans="1:9">
      <c r="A514" s="18" t="str">
        <f t="shared" si="75"/>
        <v>A9F</v>
      </c>
      <c r="B514" s="19" t="s">
        <v>34</v>
      </c>
      <c r="C514" s="18" t="str">
        <f>"姚敏"</f>
        <v>姚敏</v>
      </c>
      <c r="D514" s="18" t="str">
        <f t="shared" si="78"/>
        <v>男</v>
      </c>
      <c r="E514" s="18" t="str">
        <f>"2022016121"</f>
        <v>2022016121</v>
      </c>
      <c r="F514" s="22">
        <v>52.7</v>
      </c>
      <c r="G514" s="24">
        <v>10</v>
      </c>
      <c r="H514" s="23"/>
      <c r="I514" s="18" t="s">
        <v>12</v>
      </c>
    </row>
    <row r="515" s="1" customFormat="1" customHeight="1" spans="1:9">
      <c r="A515" s="18" t="str">
        <f t="shared" si="75"/>
        <v>A9F</v>
      </c>
      <c r="B515" s="19" t="s">
        <v>34</v>
      </c>
      <c r="C515" s="18" t="str">
        <f>"蒋格"</f>
        <v>蒋格</v>
      </c>
      <c r="D515" s="18" t="str">
        <f t="shared" si="78"/>
        <v>男</v>
      </c>
      <c r="E515" s="18" t="str">
        <f>"2022016118"</f>
        <v>2022016118</v>
      </c>
      <c r="F515" s="25">
        <v>0</v>
      </c>
      <c r="G515" s="24">
        <v>11</v>
      </c>
      <c r="H515" s="26" t="s">
        <v>13</v>
      </c>
      <c r="I515" s="18" t="s">
        <v>12</v>
      </c>
    </row>
    <row r="516" s="1" customFormat="1" customHeight="1" spans="1:9">
      <c r="A516" s="18" t="str">
        <f t="shared" si="75"/>
        <v>A9F</v>
      </c>
      <c r="B516" s="19" t="s">
        <v>34</v>
      </c>
      <c r="C516" s="18" t="str">
        <f>"吴晓龙"</f>
        <v>吴晓龙</v>
      </c>
      <c r="D516" s="18" t="str">
        <f t="shared" si="78"/>
        <v>男</v>
      </c>
      <c r="E516" s="18" t="str">
        <f>"2022016120"</f>
        <v>2022016120</v>
      </c>
      <c r="F516" s="18">
        <v>0</v>
      </c>
      <c r="G516" s="24">
        <v>11</v>
      </c>
      <c r="H516" s="18" t="s">
        <v>13</v>
      </c>
      <c r="I516" s="18" t="s">
        <v>12</v>
      </c>
    </row>
    <row r="517" s="1" customFormat="1" customHeight="1" spans="1:9">
      <c r="A517" s="18" t="str">
        <f t="shared" si="75"/>
        <v>A9F</v>
      </c>
      <c r="B517" s="19" t="s">
        <v>34</v>
      </c>
      <c r="C517" s="18" t="str">
        <f>"唐媚"</f>
        <v>唐媚</v>
      </c>
      <c r="D517" s="18" t="str">
        <f>"女"</f>
        <v>女</v>
      </c>
      <c r="E517" s="18" t="str">
        <f>"2022016123"</f>
        <v>2022016123</v>
      </c>
      <c r="F517" s="22">
        <v>0</v>
      </c>
      <c r="G517" s="24">
        <v>11</v>
      </c>
      <c r="H517" s="23" t="s">
        <v>13</v>
      </c>
      <c r="I517" s="18" t="s">
        <v>12</v>
      </c>
    </row>
    <row r="518" s="1" customFormat="1" customHeight="1" spans="1:9">
      <c r="A518" s="18" t="str">
        <f t="shared" ref="A518:A525" si="79">"A9G"</f>
        <v>A9G</v>
      </c>
      <c r="B518" s="19" t="s">
        <v>35</v>
      </c>
      <c r="C518" s="18" t="str">
        <f>"陈汪洋"</f>
        <v>陈汪洋</v>
      </c>
      <c r="D518" s="18" t="str">
        <f t="shared" ref="D518:D520" si="80">"男"</f>
        <v>男</v>
      </c>
      <c r="E518" s="18" t="str">
        <f>"2022016125"</f>
        <v>2022016125</v>
      </c>
      <c r="F518" s="18">
        <v>70.5</v>
      </c>
      <c r="G518" s="18">
        <v>1</v>
      </c>
      <c r="H518" s="18"/>
      <c r="I518" s="28" t="s">
        <v>11</v>
      </c>
    </row>
    <row r="519" s="1" customFormat="1" customHeight="1" spans="1:9">
      <c r="A519" s="18" t="str">
        <f t="shared" si="79"/>
        <v>A9G</v>
      </c>
      <c r="B519" s="19" t="s">
        <v>35</v>
      </c>
      <c r="C519" s="18" t="str">
        <f>"刘其林"</f>
        <v>刘其林</v>
      </c>
      <c r="D519" s="18" t="str">
        <f t="shared" si="80"/>
        <v>男</v>
      </c>
      <c r="E519" s="18" t="str">
        <f>"2022016127"</f>
        <v>2022016127</v>
      </c>
      <c r="F519" s="18">
        <v>62.1</v>
      </c>
      <c r="G519" s="18">
        <v>2</v>
      </c>
      <c r="H519" s="18"/>
      <c r="I519" s="28" t="s">
        <v>11</v>
      </c>
    </row>
    <row r="520" s="1" customFormat="1" customHeight="1" spans="1:9">
      <c r="A520" s="18" t="str">
        <f t="shared" si="79"/>
        <v>A9G</v>
      </c>
      <c r="B520" s="19" t="s">
        <v>35</v>
      </c>
      <c r="C520" s="18" t="str">
        <f>"范磊"</f>
        <v>范磊</v>
      </c>
      <c r="D520" s="18" t="str">
        <f t="shared" si="80"/>
        <v>男</v>
      </c>
      <c r="E520" s="18" t="str">
        <f>"2022016126"</f>
        <v>2022016126</v>
      </c>
      <c r="F520" s="18">
        <v>59.4</v>
      </c>
      <c r="G520" s="18">
        <v>3</v>
      </c>
      <c r="H520" s="18"/>
      <c r="I520" s="18" t="s">
        <v>12</v>
      </c>
    </row>
    <row r="521" s="1" customFormat="1" customHeight="1" spans="1:9">
      <c r="A521" s="18" t="str">
        <f t="shared" si="79"/>
        <v>A9G</v>
      </c>
      <c r="B521" s="19" t="s">
        <v>35</v>
      </c>
      <c r="C521" s="18" t="str">
        <f>"隆佳佳"</f>
        <v>隆佳佳</v>
      </c>
      <c r="D521" s="18" t="str">
        <f>"女"</f>
        <v>女</v>
      </c>
      <c r="E521" s="18" t="str">
        <f>"2022016131"</f>
        <v>2022016131</v>
      </c>
      <c r="F521" s="18">
        <v>59.3</v>
      </c>
      <c r="G521" s="18">
        <v>4</v>
      </c>
      <c r="H521" s="18"/>
      <c r="I521" s="18" t="s">
        <v>12</v>
      </c>
    </row>
    <row r="522" s="1" customFormat="1" customHeight="1" spans="1:9">
      <c r="A522" s="18" t="str">
        <f t="shared" si="79"/>
        <v>A9G</v>
      </c>
      <c r="B522" s="19" t="s">
        <v>35</v>
      </c>
      <c r="C522" s="18" t="str">
        <f>"王子俊源"</f>
        <v>王子俊源</v>
      </c>
      <c r="D522" s="18" t="str">
        <f t="shared" ref="D522:D525" si="81">"男"</f>
        <v>男</v>
      </c>
      <c r="E522" s="18" t="str">
        <f>"2022016132"</f>
        <v>2022016132</v>
      </c>
      <c r="F522" s="18">
        <v>32.3</v>
      </c>
      <c r="G522" s="18">
        <v>5</v>
      </c>
      <c r="H522" s="18"/>
      <c r="I522" s="18" t="s">
        <v>12</v>
      </c>
    </row>
    <row r="523" s="1" customFormat="1" customHeight="1" spans="1:9">
      <c r="A523" s="18" t="str">
        <f t="shared" si="79"/>
        <v>A9G</v>
      </c>
      <c r="B523" s="19" t="s">
        <v>35</v>
      </c>
      <c r="C523" s="18" t="str">
        <f>"于曜铭"</f>
        <v>于曜铭</v>
      </c>
      <c r="D523" s="18" t="str">
        <f t="shared" si="81"/>
        <v>男</v>
      </c>
      <c r="E523" s="18" t="str">
        <f>"2022016128"</f>
        <v>2022016128</v>
      </c>
      <c r="F523" s="18">
        <v>0</v>
      </c>
      <c r="G523" s="18">
        <v>6</v>
      </c>
      <c r="H523" s="18" t="s">
        <v>13</v>
      </c>
      <c r="I523" s="18" t="s">
        <v>12</v>
      </c>
    </row>
    <row r="524" s="1" customFormat="1" customHeight="1" spans="1:9">
      <c r="A524" s="18" t="str">
        <f t="shared" si="79"/>
        <v>A9G</v>
      </c>
      <c r="B524" s="19" t="s">
        <v>35</v>
      </c>
      <c r="C524" s="18" t="str">
        <f>"石烈华"</f>
        <v>石烈华</v>
      </c>
      <c r="D524" s="18" t="str">
        <f t="shared" si="81"/>
        <v>男</v>
      </c>
      <c r="E524" s="18" t="str">
        <f>"2022016129"</f>
        <v>2022016129</v>
      </c>
      <c r="F524" s="18">
        <v>0</v>
      </c>
      <c r="G524" s="18">
        <v>6</v>
      </c>
      <c r="H524" s="18" t="s">
        <v>13</v>
      </c>
      <c r="I524" s="18" t="s">
        <v>12</v>
      </c>
    </row>
    <row r="525" s="1" customFormat="1" customHeight="1" spans="1:9">
      <c r="A525" s="18" t="str">
        <f t="shared" si="79"/>
        <v>A9G</v>
      </c>
      <c r="B525" s="19" t="s">
        <v>35</v>
      </c>
      <c r="C525" s="18" t="str">
        <f>"曹元富"</f>
        <v>曹元富</v>
      </c>
      <c r="D525" s="18" t="str">
        <f t="shared" si="81"/>
        <v>男</v>
      </c>
      <c r="E525" s="18" t="str">
        <f>"2022016130"</f>
        <v>2022016130</v>
      </c>
      <c r="F525" s="18">
        <v>0</v>
      </c>
      <c r="G525" s="18">
        <v>6</v>
      </c>
      <c r="H525" s="18" t="s">
        <v>13</v>
      </c>
      <c r="I525" s="18" t="s">
        <v>12</v>
      </c>
    </row>
    <row r="526" s="1" customFormat="1" customHeight="1" spans="1:9">
      <c r="A526" s="18" t="str">
        <f t="shared" ref="A526:A543" si="82">"B10F"</f>
        <v>B10F</v>
      </c>
      <c r="B526" s="19" t="s">
        <v>36</v>
      </c>
      <c r="C526" s="18" t="str">
        <f>"付家辉"</f>
        <v>付家辉</v>
      </c>
      <c r="D526" s="18" t="str">
        <f t="shared" ref="D526:D530" si="83">"女"</f>
        <v>女</v>
      </c>
      <c r="E526" s="18" t="str">
        <f>"2022015012"</f>
        <v>2022015012</v>
      </c>
      <c r="F526" s="25">
        <v>78.5</v>
      </c>
      <c r="G526" s="25">
        <v>1</v>
      </c>
      <c r="H526" s="26"/>
      <c r="I526" s="28" t="s">
        <v>11</v>
      </c>
    </row>
    <row r="527" s="1" customFormat="1" customHeight="1" spans="1:9">
      <c r="A527" s="18" t="str">
        <f t="shared" si="82"/>
        <v>B10F</v>
      </c>
      <c r="B527" s="19" t="s">
        <v>36</v>
      </c>
      <c r="C527" s="18" t="str">
        <f>"肖心雨"</f>
        <v>肖心雨</v>
      </c>
      <c r="D527" s="18" t="str">
        <f t="shared" si="83"/>
        <v>女</v>
      </c>
      <c r="E527" s="18" t="str">
        <f>"2022015007"</f>
        <v>2022015007</v>
      </c>
      <c r="F527" s="18">
        <v>75</v>
      </c>
      <c r="G527" s="18">
        <v>2</v>
      </c>
      <c r="H527" s="18"/>
      <c r="I527" s="28" t="s">
        <v>11</v>
      </c>
    </row>
    <row r="528" s="1" customFormat="1" customHeight="1" spans="1:9">
      <c r="A528" s="18" t="str">
        <f t="shared" si="82"/>
        <v>B10F</v>
      </c>
      <c r="B528" s="19" t="s">
        <v>36</v>
      </c>
      <c r="C528" s="18" t="str">
        <f>"王琼"</f>
        <v>王琼</v>
      </c>
      <c r="D528" s="18" t="str">
        <f t="shared" si="83"/>
        <v>女</v>
      </c>
      <c r="E528" s="18" t="str">
        <f>"2022015017"</f>
        <v>2022015017</v>
      </c>
      <c r="F528" s="18">
        <v>70.5</v>
      </c>
      <c r="G528" s="25">
        <v>3</v>
      </c>
      <c r="H528" s="18"/>
      <c r="I528" s="18" t="s">
        <v>12</v>
      </c>
    </row>
    <row r="529" s="1" customFormat="1" customHeight="1" spans="1:9">
      <c r="A529" s="18" t="str">
        <f t="shared" si="82"/>
        <v>B10F</v>
      </c>
      <c r="B529" s="19" t="s">
        <v>36</v>
      </c>
      <c r="C529" s="18" t="str">
        <f>"陈艳娟"</f>
        <v>陈艳娟</v>
      </c>
      <c r="D529" s="18" t="str">
        <f t="shared" si="83"/>
        <v>女</v>
      </c>
      <c r="E529" s="18" t="str">
        <f>"2022015018"</f>
        <v>2022015018</v>
      </c>
      <c r="F529" s="18">
        <v>69</v>
      </c>
      <c r="G529" s="18">
        <v>4</v>
      </c>
      <c r="H529" s="18"/>
      <c r="I529" s="18" t="s">
        <v>12</v>
      </c>
    </row>
    <row r="530" s="1" customFormat="1" customHeight="1" spans="1:9">
      <c r="A530" s="18" t="str">
        <f t="shared" si="82"/>
        <v>B10F</v>
      </c>
      <c r="B530" s="19" t="s">
        <v>36</v>
      </c>
      <c r="C530" s="18" t="str">
        <f>"江梦园"</f>
        <v>江梦园</v>
      </c>
      <c r="D530" s="18" t="str">
        <f t="shared" si="83"/>
        <v>女</v>
      </c>
      <c r="E530" s="18" t="str">
        <f>"2022015005"</f>
        <v>2022015005</v>
      </c>
      <c r="F530" s="22">
        <v>66</v>
      </c>
      <c r="G530" s="25">
        <v>5</v>
      </c>
      <c r="H530" s="23"/>
      <c r="I530" s="18" t="s">
        <v>12</v>
      </c>
    </row>
    <row r="531" s="1" customFormat="1" customHeight="1" spans="1:9">
      <c r="A531" s="18" t="str">
        <f t="shared" si="82"/>
        <v>B10F</v>
      </c>
      <c r="B531" s="19" t="s">
        <v>36</v>
      </c>
      <c r="C531" s="18" t="str">
        <f>"齐湖杰"</f>
        <v>齐湖杰</v>
      </c>
      <c r="D531" s="18" t="str">
        <f>"男"</f>
        <v>男</v>
      </c>
      <c r="E531" s="18" t="str">
        <f>"2022015006"</f>
        <v>2022015006</v>
      </c>
      <c r="F531" s="24">
        <v>63</v>
      </c>
      <c r="G531" s="18">
        <v>6</v>
      </c>
      <c r="H531" s="18"/>
      <c r="I531" s="18" t="s">
        <v>12</v>
      </c>
    </row>
    <row r="532" s="1" customFormat="1" customHeight="1" spans="1:9">
      <c r="A532" s="18" t="str">
        <f t="shared" si="82"/>
        <v>B10F</v>
      </c>
      <c r="B532" s="19" t="s">
        <v>36</v>
      </c>
      <c r="C532" s="18" t="str">
        <f>"欧阳林"</f>
        <v>欧阳林</v>
      </c>
      <c r="D532" s="18" t="str">
        <f>"男"</f>
        <v>男</v>
      </c>
      <c r="E532" s="18" t="str">
        <f>"2022015001"</f>
        <v>2022015001</v>
      </c>
      <c r="F532" s="24">
        <v>62.5</v>
      </c>
      <c r="G532" s="25">
        <v>7</v>
      </c>
      <c r="H532" s="18"/>
      <c r="I532" s="18" t="s">
        <v>12</v>
      </c>
    </row>
    <row r="533" s="1" customFormat="1" customHeight="1" spans="1:9">
      <c r="A533" s="18" t="str">
        <f t="shared" si="82"/>
        <v>B10F</v>
      </c>
      <c r="B533" s="19" t="s">
        <v>36</v>
      </c>
      <c r="C533" s="18" t="str">
        <f>"曾玲"</f>
        <v>曾玲</v>
      </c>
      <c r="D533" s="18" t="str">
        <f t="shared" ref="D533:D541" si="84">"女"</f>
        <v>女</v>
      </c>
      <c r="E533" s="18" t="str">
        <f>"2022015016"</f>
        <v>2022015016</v>
      </c>
      <c r="F533" s="24">
        <v>62.5</v>
      </c>
      <c r="G533" s="18">
        <v>7</v>
      </c>
      <c r="H533" s="18"/>
      <c r="I533" s="18" t="s">
        <v>12</v>
      </c>
    </row>
    <row r="534" s="1" customFormat="1" customHeight="1" spans="1:9">
      <c r="A534" s="18" t="str">
        <f t="shared" si="82"/>
        <v>B10F</v>
      </c>
      <c r="B534" s="19" t="s">
        <v>36</v>
      </c>
      <c r="C534" s="18" t="str">
        <f>"杨彩凤"</f>
        <v>杨彩凤</v>
      </c>
      <c r="D534" s="18" t="str">
        <f t="shared" si="84"/>
        <v>女</v>
      </c>
      <c r="E534" s="18" t="str">
        <f>"2022015011"</f>
        <v>2022015011</v>
      </c>
      <c r="F534" s="24">
        <v>62</v>
      </c>
      <c r="G534" s="25">
        <v>9</v>
      </c>
      <c r="H534" s="18"/>
      <c r="I534" s="18" t="s">
        <v>12</v>
      </c>
    </row>
    <row r="535" s="1" customFormat="1" customHeight="1" spans="1:9">
      <c r="A535" s="18" t="str">
        <f t="shared" si="82"/>
        <v>B10F</v>
      </c>
      <c r="B535" s="19" t="s">
        <v>36</v>
      </c>
      <c r="C535" s="18" t="str">
        <f>"肖洁"</f>
        <v>肖洁</v>
      </c>
      <c r="D535" s="18" t="str">
        <f t="shared" si="84"/>
        <v>女</v>
      </c>
      <c r="E535" s="18" t="str">
        <f>"2022015009"</f>
        <v>2022015009</v>
      </c>
      <c r="F535" s="24">
        <v>61</v>
      </c>
      <c r="G535" s="18">
        <v>10</v>
      </c>
      <c r="H535" s="18"/>
      <c r="I535" s="18" t="s">
        <v>12</v>
      </c>
    </row>
    <row r="536" s="1" customFormat="1" customHeight="1" spans="1:9">
      <c r="A536" s="18" t="str">
        <f t="shared" si="82"/>
        <v>B10F</v>
      </c>
      <c r="B536" s="19" t="s">
        <v>36</v>
      </c>
      <c r="C536" s="18" t="str">
        <f>"林娜"</f>
        <v>林娜</v>
      </c>
      <c r="D536" s="18" t="str">
        <f t="shared" si="84"/>
        <v>女</v>
      </c>
      <c r="E536" s="18" t="str">
        <f>"2022015010"</f>
        <v>2022015010</v>
      </c>
      <c r="F536" s="24">
        <v>60</v>
      </c>
      <c r="G536" s="25">
        <v>11</v>
      </c>
      <c r="H536" s="18"/>
      <c r="I536" s="18" t="s">
        <v>12</v>
      </c>
    </row>
    <row r="537" s="1" customFormat="1" customHeight="1" spans="1:9">
      <c r="A537" s="18" t="str">
        <f t="shared" si="82"/>
        <v>B10F</v>
      </c>
      <c r="B537" s="19" t="s">
        <v>36</v>
      </c>
      <c r="C537" s="18" t="str">
        <f>"贺青英"</f>
        <v>贺青英</v>
      </c>
      <c r="D537" s="18" t="str">
        <f t="shared" si="84"/>
        <v>女</v>
      </c>
      <c r="E537" s="18" t="str">
        <f>"2022015015"</f>
        <v>2022015015</v>
      </c>
      <c r="F537" s="25">
        <v>59</v>
      </c>
      <c r="G537" s="18">
        <v>12</v>
      </c>
      <c r="H537" s="26"/>
      <c r="I537" s="18" t="s">
        <v>12</v>
      </c>
    </row>
    <row r="538" s="1" customFormat="1" customHeight="1" spans="1:9">
      <c r="A538" s="18" t="str">
        <f t="shared" si="82"/>
        <v>B10F</v>
      </c>
      <c r="B538" s="19" t="s">
        <v>36</v>
      </c>
      <c r="C538" s="18" t="str">
        <f>"刘琴"</f>
        <v>刘琴</v>
      </c>
      <c r="D538" s="18" t="str">
        <f t="shared" si="84"/>
        <v>女</v>
      </c>
      <c r="E538" s="18" t="str">
        <f>"2022015008"</f>
        <v>2022015008</v>
      </c>
      <c r="F538" s="18">
        <v>41</v>
      </c>
      <c r="G538" s="25">
        <v>13</v>
      </c>
      <c r="H538" s="18"/>
      <c r="I538" s="18" t="s">
        <v>12</v>
      </c>
    </row>
    <row r="539" s="1" customFormat="1" customHeight="1" spans="1:9">
      <c r="A539" s="18" t="str">
        <f t="shared" si="82"/>
        <v>B10F</v>
      </c>
      <c r="B539" s="19" t="s">
        <v>36</v>
      </c>
      <c r="C539" s="18" t="str">
        <f>"王芳"</f>
        <v>王芳</v>
      </c>
      <c r="D539" s="18" t="str">
        <f t="shared" si="84"/>
        <v>女</v>
      </c>
      <c r="E539" s="18" t="str">
        <f>"2022015014"</f>
        <v>2022015014</v>
      </c>
      <c r="F539" s="22">
        <v>39</v>
      </c>
      <c r="G539" s="18">
        <v>14</v>
      </c>
      <c r="H539" s="23"/>
      <c r="I539" s="18" t="s">
        <v>12</v>
      </c>
    </row>
    <row r="540" s="1" customFormat="1" customHeight="1" spans="1:9">
      <c r="A540" s="18" t="str">
        <f t="shared" si="82"/>
        <v>B10F</v>
      </c>
      <c r="B540" s="19" t="s">
        <v>36</v>
      </c>
      <c r="C540" s="18" t="str">
        <f>"李安琪"</f>
        <v>李安琪</v>
      </c>
      <c r="D540" s="18" t="str">
        <f t="shared" si="84"/>
        <v>女</v>
      </c>
      <c r="E540" s="18" t="str">
        <f>"2022015002"</f>
        <v>2022015002</v>
      </c>
      <c r="F540" s="24">
        <v>0</v>
      </c>
      <c r="G540" s="25">
        <v>15</v>
      </c>
      <c r="H540" s="18" t="s">
        <v>13</v>
      </c>
      <c r="I540" s="18" t="s">
        <v>12</v>
      </c>
    </row>
    <row r="541" s="1" customFormat="1" customHeight="1" spans="1:9">
      <c r="A541" s="18" t="str">
        <f t="shared" si="82"/>
        <v>B10F</v>
      </c>
      <c r="B541" s="19" t="s">
        <v>36</v>
      </c>
      <c r="C541" s="18" t="str">
        <f>"吴柔雨"</f>
        <v>吴柔雨</v>
      </c>
      <c r="D541" s="18" t="str">
        <f t="shared" si="84"/>
        <v>女</v>
      </c>
      <c r="E541" s="18" t="str">
        <f>"2022015003"</f>
        <v>2022015003</v>
      </c>
      <c r="F541" s="24">
        <v>0</v>
      </c>
      <c r="G541" s="18">
        <v>15</v>
      </c>
      <c r="H541" s="18" t="s">
        <v>13</v>
      </c>
      <c r="I541" s="18" t="s">
        <v>12</v>
      </c>
    </row>
    <row r="542" s="1" customFormat="1" customHeight="1" spans="1:9">
      <c r="A542" s="18" t="str">
        <f t="shared" si="82"/>
        <v>B10F</v>
      </c>
      <c r="B542" s="19" t="s">
        <v>36</v>
      </c>
      <c r="C542" s="18" t="str">
        <f>"郑登辉"</f>
        <v>郑登辉</v>
      </c>
      <c r="D542" s="18" t="str">
        <f t="shared" ref="D542:D547" si="85">"男"</f>
        <v>男</v>
      </c>
      <c r="E542" s="18" t="str">
        <f>"2022015004"</f>
        <v>2022015004</v>
      </c>
      <c r="F542" s="24">
        <v>0</v>
      </c>
      <c r="G542" s="25">
        <v>15</v>
      </c>
      <c r="H542" s="18" t="s">
        <v>13</v>
      </c>
      <c r="I542" s="18" t="s">
        <v>12</v>
      </c>
    </row>
    <row r="543" s="1" customFormat="1" customHeight="1" spans="1:9">
      <c r="A543" s="18" t="str">
        <f t="shared" si="82"/>
        <v>B10F</v>
      </c>
      <c r="B543" s="19" t="s">
        <v>36</v>
      </c>
      <c r="C543" s="18" t="str">
        <f>"戴宁钢"</f>
        <v>戴宁钢</v>
      </c>
      <c r="D543" s="18" t="str">
        <f t="shared" si="85"/>
        <v>男</v>
      </c>
      <c r="E543" s="18" t="str">
        <f>"2022015013"</f>
        <v>2022015013</v>
      </c>
      <c r="F543" s="24">
        <v>0</v>
      </c>
      <c r="G543" s="18">
        <v>15</v>
      </c>
      <c r="H543" s="18" t="s">
        <v>13</v>
      </c>
      <c r="I543" s="18" t="s">
        <v>12</v>
      </c>
    </row>
    <row r="544" s="1" customFormat="1" customHeight="1" spans="1:9">
      <c r="A544" s="18" t="str">
        <f t="shared" ref="A544:A562" si="86">"B10G"</f>
        <v>B10G</v>
      </c>
      <c r="B544" s="19" t="s">
        <v>37</v>
      </c>
      <c r="C544" s="18" t="str">
        <f>"罗钰琪"</f>
        <v>罗钰琪</v>
      </c>
      <c r="D544" s="18" t="str">
        <f t="shared" ref="D544:D546" si="87">"女"</f>
        <v>女</v>
      </c>
      <c r="E544" s="18" t="str">
        <f>"2022015026"</f>
        <v>2022015026</v>
      </c>
      <c r="F544" s="18">
        <v>73</v>
      </c>
      <c r="G544" s="18">
        <v>1</v>
      </c>
      <c r="H544" s="18"/>
      <c r="I544" s="28" t="s">
        <v>11</v>
      </c>
    </row>
    <row r="545" s="1" customFormat="1" customHeight="1" spans="1:9">
      <c r="A545" s="18" t="str">
        <f t="shared" si="86"/>
        <v>B10G</v>
      </c>
      <c r="B545" s="19" t="s">
        <v>37</v>
      </c>
      <c r="C545" s="18" t="str">
        <f>"沈婷"</f>
        <v>沈婷</v>
      </c>
      <c r="D545" s="18" t="str">
        <f t="shared" si="87"/>
        <v>女</v>
      </c>
      <c r="E545" s="18" t="str">
        <f>"2022015101"</f>
        <v>2022015101</v>
      </c>
      <c r="F545" s="18">
        <v>71.5</v>
      </c>
      <c r="G545" s="18">
        <v>2</v>
      </c>
      <c r="H545" s="18"/>
      <c r="I545" s="28" t="s">
        <v>11</v>
      </c>
    </row>
    <row r="546" s="1" customFormat="1" customHeight="1" spans="1:9">
      <c r="A546" s="18" t="str">
        <f t="shared" si="86"/>
        <v>B10G</v>
      </c>
      <c r="B546" s="19" t="s">
        <v>37</v>
      </c>
      <c r="C546" s="18" t="str">
        <f>"姜清烨"</f>
        <v>姜清烨</v>
      </c>
      <c r="D546" s="18" t="str">
        <f t="shared" si="87"/>
        <v>女</v>
      </c>
      <c r="E546" s="18" t="str">
        <f>"2022015107"</f>
        <v>2022015107</v>
      </c>
      <c r="F546" s="18">
        <v>70.5</v>
      </c>
      <c r="G546" s="18">
        <v>3</v>
      </c>
      <c r="H546" s="18"/>
      <c r="I546" s="18" t="s">
        <v>12</v>
      </c>
    </row>
    <row r="547" s="1" customFormat="1" customHeight="1" spans="1:9">
      <c r="A547" s="18" t="str">
        <f t="shared" si="86"/>
        <v>B10G</v>
      </c>
      <c r="B547" s="19" t="s">
        <v>37</v>
      </c>
      <c r="C547" s="18" t="str">
        <f>"李玉奥"</f>
        <v>李玉奥</v>
      </c>
      <c r="D547" s="18" t="str">
        <f t="shared" si="85"/>
        <v>男</v>
      </c>
      <c r="E547" s="18" t="str">
        <f>"2022015029"</f>
        <v>2022015029</v>
      </c>
      <c r="F547" s="18">
        <v>66</v>
      </c>
      <c r="G547" s="18">
        <v>4</v>
      </c>
      <c r="H547" s="18"/>
      <c r="I547" s="18" t="s">
        <v>12</v>
      </c>
    </row>
    <row r="548" s="1" customFormat="1" customHeight="1" spans="1:9">
      <c r="A548" s="18" t="str">
        <f t="shared" si="86"/>
        <v>B10G</v>
      </c>
      <c r="B548" s="19" t="s">
        <v>37</v>
      </c>
      <c r="C548" s="18" t="str">
        <f>"彭君"</f>
        <v>彭君</v>
      </c>
      <c r="D548" s="18" t="str">
        <f t="shared" ref="D548:D550" si="88">"女"</f>
        <v>女</v>
      </c>
      <c r="E548" s="18" t="str">
        <f>"2022015021"</f>
        <v>2022015021</v>
      </c>
      <c r="F548" s="18">
        <v>65</v>
      </c>
      <c r="G548" s="18">
        <v>5</v>
      </c>
      <c r="H548" s="18"/>
      <c r="I548" s="18" t="s">
        <v>12</v>
      </c>
    </row>
    <row r="549" s="1" customFormat="1" customHeight="1" spans="1:9">
      <c r="A549" s="18" t="str">
        <f t="shared" si="86"/>
        <v>B10G</v>
      </c>
      <c r="B549" s="19" t="s">
        <v>37</v>
      </c>
      <c r="C549" s="18" t="str">
        <f>"郭倩"</f>
        <v>郭倩</v>
      </c>
      <c r="D549" s="18" t="str">
        <f t="shared" si="88"/>
        <v>女</v>
      </c>
      <c r="E549" s="18" t="str">
        <f>"2022015027"</f>
        <v>2022015027</v>
      </c>
      <c r="F549" s="18">
        <v>60</v>
      </c>
      <c r="G549" s="18">
        <v>6</v>
      </c>
      <c r="H549" s="18"/>
      <c r="I549" s="18" t="s">
        <v>12</v>
      </c>
    </row>
    <row r="550" s="1" customFormat="1" customHeight="1" spans="1:9">
      <c r="A550" s="18" t="str">
        <f t="shared" si="86"/>
        <v>B10G</v>
      </c>
      <c r="B550" s="19" t="s">
        <v>37</v>
      </c>
      <c r="C550" s="18" t="str">
        <f>"邹瑶"</f>
        <v>邹瑶</v>
      </c>
      <c r="D550" s="18" t="str">
        <f t="shared" si="88"/>
        <v>女</v>
      </c>
      <c r="E550" s="18" t="str">
        <f>"2022015103"</f>
        <v>2022015103</v>
      </c>
      <c r="F550" s="18">
        <v>60</v>
      </c>
      <c r="G550" s="18">
        <v>6</v>
      </c>
      <c r="H550" s="18"/>
      <c r="I550" s="18" t="s">
        <v>12</v>
      </c>
    </row>
    <row r="551" s="1" customFormat="1" customHeight="1" spans="1:9">
      <c r="A551" s="18" t="str">
        <f t="shared" si="86"/>
        <v>B10G</v>
      </c>
      <c r="B551" s="19" t="s">
        <v>37</v>
      </c>
      <c r="C551" s="18" t="str">
        <f>"朱灿敏"</f>
        <v>朱灿敏</v>
      </c>
      <c r="D551" s="18" t="str">
        <f>"男"</f>
        <v>男</v>
      </c>
      <c r="E551" s="18" t="str">
        <f>"2022015025"</f>
        <v>2022015025</v>
      </c>
      <c r="F551" s="18">
        <v>59</v>
      </c>
      <c r="G551" s="18">
        <v>8</v>
      </c>
      <c r="H551" s="18"/>
      <c r="I551" s="18" t="s">
        <v>12</v>
      </c>
    </row>
    <row r="552" s="1" customFormat="1" customHeight="1" spans="1:9">
      <c r="A552" s="18" t="str">
        <f t="shared" si="86"/>
        <v>B10G</v>
      </c>
      <c r="B552" s="19" t="s">
        <v>37</v>
      </c>
      <c r="C552" s="18" t="str">
        <f>"陶娟"</f>
        <v>陶娟</v>
      </c>
      <c r="D552" s="18" t="str">
        <f t="shared" ref="D552:D581" si="89">"女"</f>
        <v>女</v>
      </c>
      <c r="E552" s="18" t="str">
        <f>"2022015019"</f>
        <v>2022015019</v>
      </c>
      <c r="F552" s="18">
        <v>57.5</v>
      </c>
      <c r="G552" s="18">
        <v>9</v>
      </c>
      <c r="H552" s="18"/>
      <c r="I552" s="18" t="s">
        <v>12</v>
      </c>
    </row>
    <row r="553" s="1" customFormat="1" customHeight="1" spans="1:9">
      <c r="A553" s="18" t="str">
        <f t="shared" si="86"/>
        <v>B10G</v>
      </c>
      <c r="B553" s="19" t="s">
        <v>37</v>
      </c>
      <c r="C553" s="18" t="str">
        <f>"吴金霖"</f>
        <v>吴金霖</v>
      </c>
      <c r="D553" s="18" t="str">
        <f t="shared" si="89"/>
        <v>女</v>
      </c>
      <c r="E553" s="18" t="str">
        <f>"2022015022"</f>
        <v>2022015022</v>
      </c>
      <c r="F553" s="18">
        <v>51</v>
      </c>
      <c r="G553" s="18">
        <v>10</v>
      </c>
      <c r="H553" s="18"/>
      <c r="I553" s="18" t="s">
        <v>12</v>
      </c>
    </row>
    <row r="554" s="1" customFormat="1" customHeight="1" spans="1:9">
      <c r="A554" s="18" t="str">
        <f t="shared" si="86"/>
        <v>B10G</v>
      </c>
      <c r="B554" s="19" t="s">
        <v>37</v>
      </c>
      <c r="C554" s="18" t="str">
        <f>"肖奇雍"</f>
        <v>肖奇雍</v>
      </c>
      <c r="D554" s="18" t="str">
        <f>"男"</f>
        <v>男</v>
      </c>
      <c r="E554" s="18" t="str">
        <f>"2022015104"</f>
        <v>2022015104</v>
      </c>
      <c r="F554" s="18">
        <v>46.5</v>
      </c>
      <c r="G554" s="18">
        <v>11</v>
      </c>
      <c r="H554" s="18"/>
      <c r="I554" s="18" t="s">
        <v>12</v>
      </c>
    </row>
    <row r="555" s="1" customFormat="1" customHeight="1" spans="1:9">
      <c r="A555" s="18" t="str">
        <f t="shared" si="86"/>
        <v>B10G</v>
      </c>
      <c r="B555" s="19" t="s">
        <v>37</v>
      </c>
      <c r="C555" s="18" t="str">
        <f>"王颖"</f>
        <v>王颖</v>
      </c>
      <c r="D555" s="18" t="str">
        <f t="shared" si="89"/>
        <v>女</v>
      </c>
      <c r="E555" s="18" t="str">
        <f>"2022015028"</f>
        <v>2022015028</v>
      </c>
      <c r="F555" s="18">
        <v>45</v>
      </c>
      <c r="G555" s="18">
        <v>12</v>
      </c>
      <c r="H555" s="18"/>
      <c r="I555" s="18" t="s">
        <v>12</v>
      </c>
    </row>
    <row r="556" s="1" customFormat="1" customHeight="1" spans="1:9">
      <c r="A556" s="18" t="str">
        <f t="shared" si="86"/>
        <v>B10G</v>
      </c>
      <c r="B556" s="19" t="s">
        <v>37</v>
      </c>
      <c r="C556" s="18" t="str">
        <f>"陈丽君"</f>
        <v>陈丽君</v>
      </c>
      <c r="D556" s="18" t="str">
        <f t="shared" si="89"/>
        <v>女</v>
      </c>
      <c r="E556" s="18" t="str">
        <f>"2022015024"</f>
        <v>2022015024</v>
      </c>
      <c r="F556" s="18">
        <v>41.5</v>
      </c>
      <c r="G556" s="18">
        <v>13</v>
      </c>
      <c r="H556" s="18"/>
      <c r="I556" s="18" t="s">
        <v>12</v>
      </c>
    </row>
    <row r="557" s="1" customFormat="1" customHeight="1" spans="1:9">
      <c r="A557" s="18" t="str">
        <f t="shared" si="86"/>
        <v>B10G</v>
      </c>
      <c r="B557" s="19" t="s">
        <v>37</v>
      </c>
      <c r="C557" s="18" t="str">
        <f>"柏佳露"</f>
        <v>柏佳露</v>
      </c>
      <c r="D557" s="18" t="str">
        <f t="shared" si="89"/>
        <v>女</v>
      </c>
      <c r="E557" s="18" t="str">
        <f>"2022015023"</f>
        <v>2022015023</v>
      </c>
      <c r="F557" s="18">
        <v>24</v>
      </c>
      <c r="G557" s="18">
        <v>14</v>
      </c>
      <c r="H557" s="18"/>
      <c r="I557" s="18" t="s">
        <v>12</v>
      </c>
    </row>
    <row r="558" s="1" customFormat="1" customHeight="1" spans="1:9">
      <c r="A558" s="18" t="str">
        <f t="shared" si="86"/>
        <v>B10G</v>
      </c>
      <c r="B558" s="19" t="s">
        <v>37</v>
      </c>
      <c r="C558" s="18" t="str">
        <f>"杜昀"</f>
        <v>杜昀</v>
      </c>
      <c r="D558" s="18" t="str">
        <f t="shared" si="89"/>
        <v>女</v>
      </c>
      <c r="E558" s="18" t="str">
        <f>"2022015020"</f>
        <v>2022015020</v>
      </c>
      <c r="F558" s="18">
        <v>0</v>
      </c>
      <c r="G558" s="18">
        <v>15</v>
      </c>
      <c r="H558" s="18" t="s">
        <v>13</v>
      </c>
      <c r="I558" s="18" t="s">
        <v>12</v>
      </c>
    </row>
    <row r="559" s="1" customFormat="1" customHeight="1" spans="1:9">
      <c r="A559" s="18" t="str">
        <f t="shared" si="86"/>
        <v>B10G</v>
      </c>
      <c r="B559" s="19" t="s">
        <v>37</v>
      </c>
      <c r="C559" s="18" t="str">
        <f>"阳思雅"</f>
        <v>阳思雅</v>
      </c>
      <c r="D559" s="18" t="str">
        <f t="shared" si="89"/>
        <v>女</v>
      </c>
      <c r="E559" s="18" t="str">
        <f>"2022015030"</f>
        <v>2022015030</v>
      </c>
      <c r="F559" s="18">
        <v>0</v>
      </c>
      <c r="G559" s="18">
        <v>15</v>
      </c>
      <c r="H559" s="18" t="s">
        <v>13</v>
      </c>
      <c r="I559" s="18" t="s">
        <v>12</v>
      </c>
    </row>
    <row r="560" s="1" customFormat="1" customHeight="1" spans="1:9">
      <c r="A560" s="18" t="str">
        <f t="shared" si="86"/>
        <v>B10G</v>
      </c>
      <c r="B560" s="19" t="s">
        <v>37</v>
      </c>
      <c r="C560" s="18" t="str">
        <f>"蒋明珍"</f>
        <v>蒋明珍</v>
      </c>
      <c r="D560" s="18" t="str">
        <f t="shared" si="89"/>
        <v>女</v>
      </c>
      <c r="E560" s="18" t="str">
        <f>"2022015102"</f>
        <v>2022015102</v>
      </c>
      <c r="F560" s="18">
        <v>0</v>
      </c>
      <c r="G560" s="18">
        <v>15</v>
      </c>
      <c r="H560" s="18" t="s">
        <v>13</v>
      </c>
      <c r="I560" s="18" t="s">
        <v>12</v>
      </c>
    </row>
    <row r="561" s="1" customFormat="1" customHeight="1" spans="1:9">
      <c r="A561" s="18" t="str">
        <f t="shared" si="86"/>
        <v>B10G</v>
      </c>
      <c r="B561" s="19" t="s">
        <v>37</v>
      </c>
      <c r="C561" s="18" t="str">
        <f>"刘嘉妮"</f>
        <v>刘嘉妮</v>
      </c>
      <c r="D561" s="18" t="str">
        <f t="shared" si="89"/>
        <v>女</v>
      </c>
      <c r="E561" s="18" t="str">
        <f>"2022015105"</f>
        <v>2022015105</v>
      </c>
      <c r="F561" s="18">
        <v>0</v>
      </c>
      <c r="G561" s="18">
        <v>15</v>
      </c>
      <c r="H561" s="18" t="s">
        <v>13</v>
      </c>
      <c r="I561" s="18" t="s">
        <v>12</v>
      </c>
    </row>
    <row r="562" s="1" customFormat="1" customHeight="1" spans="1:9">
      <c r="A562" s="18" t="str">
        <f t="shared" si="86"/>
        <v>B10G</v>
      </c>
      <c r="B562" s="19" t="s">
        <v>37</v>
      </c>
      <c r="C562" s="18" t="str">
        <f>"曹蓓"</f>
        <v>曹蓓</v>
      </c>
      <c r="D562" s="18" t="str">
        <f t="shared" si="89"/>
        <v>女</v>
      </c>
      <c r="E562" s="18" t="str">
        <f>"2022015106"</f>
        <v>2022015106</v>
      </c>
      <c r="F562" s="18">
        <v>0</v>
      </c>
      <c r="G562" s="18">
        <v>15</v>
      </c>
      <c r="H562" s="18" t="s">
        <v>13</v>
      </c>
      <c r="I562" s="18" t="s">
        <v>12</v>
      </c>
    </row>
    <row r="563" s="1" customFormat="1" customHeight="1" spans="1:9">
      <c r="A563" s="18" t="str">
        <f t="shared" ref="A563:A626" si="90">"B11F"</f>
        <v>B11F</v>
      </c>
      <c r="B563" s="19" t="s">
        <v>38</v>
      </c>
      <c r="C563" s="18" t="str">
        <f>"刘志扬"</f>
        <v>刘志扬</v>
      </c>
      <c r="D563" s="18" t="str">
        <f t="shared" si="89"/>
        <v>女</v>
      </c>
      <c r="E563" s="18" t="str">
        <f>"2022015418"</f>
        <v>2022015418</v>
      </c>
      <c r="F563" s="18">
        <v>81.7</v>
      </c>
      <c r="G563" s="18">
        <v>1</v>
      </c>
      <c r="H563" s="18"/>
      <c r="I563" s="28" t="s">
        <v>11</v>
      </c>
    </row>
    <row r="564" s="1" customFormat="1" customHeight="1" spans="1:9">
      <c r="A564" s="18" t="str">
        <f t="shared" si="90"/>
        <v>B11F</v>
      </c>
      <c r="B564" s="19" t="s">
        <v>38</v>
      </c>
      <c r="C564" s="18" t="str">
        <f>"龙欣怡"</f>
        <v>龙欣怡</v>
      </c>
      <c r="D564" s="18" t="str">
        <f t="shared" si="89"/>
        <v>女</v>
      </c>
      <c r="E564" s="18" t="str">
        <f>"2022015425"</f>
        <v>2022015425</v>
      </c>
      <c r="F564" s="18">
        <v>80.5</v>
      </c>
      <c r="G564" s="18">
        <v>2</v>
      </c>
      <c r="H564" s="18"/>
      <c r="I564" s="28" t="s">
        <v>11</v>
      </c>
    </row>
    <row r="565" s="1" customFormat="1" customHeight="1" spans="1:9">
      <c r="A565" s="18" t="str">
        <f t="shared" si="90"/>
        <v>B11F</v>
      </c>
      <c r="B565" s="19" t="s">
        <v>38</v>
      </c>
      <c r="C565" s="18" t="str">
        <f>"高玉容"</f>
        <v>高玉容</v>
      </c>
      <c r="D565" s="18" t="str">
        <f t="shared" si="89"/>
        <v>女</v>
      </c>
      <c r="E565" s="18" t="str">
        <f>"2022015409"</f>
        <v>2022015409</v>
      </c>
      <c r="F565" s="22">
        <v>79.9</v>
      </c>
      <c r="G565" s="18">
        <v>3</v>
      </c>
      <c r="H565" s="23"/>
      <c r="I565" s="28" t="s">
        <v>11</v>
      </c>
    </row>
    <row r="566" s="1" customFormat="1" customHeight="1" spans="1:9">
      <c r="A566" s="18" t="str">
        <f t="shared" si="90"/>
        <v>B11F</v>
      </c>
      <c r="B566" s="19" t="s">
        <v>38</v>
      </c>
      <c r="C566" s="18" t="str">
        <f>"李菊秋"</f>
        <v>李菊秋</v>
      </c>
      <c r="D566" s="18" t="str">
        <f t="shared" si="89"/>
        <v>女</v>
      </c>
      <c r="E566" s="18" t="str">
        <f>"2022015413"</f>
        <v>2022015413</v>
      </c>
      <c r="F566" s="24">
        <v>79.3</v>
      </c>
      <c r="G566" s="18">
        <v>4</v>
      </c>
      <c r="H566" s="18"/>
      <c r="I566" s="28" t="s">
        <v>11</v>
      </c>
    </row>
    <row r="567" s="1" customFormat="1" customHeight="1" spans="1:9">
      <c r="A567" s="18" t="str">
        <f t="shared" si="90"/>
        <v>B11F</v>
      </c>
      <c r="B567" s="19" t="s">
        <v>38</v>
      </c>
      <c r="C567" s="18" t="str">
        <f>"杨晶"</f>
        <v>杨晶</v>
      </c>
      <c r="D567" s="18" t="str">
        <f t="shared" si="89"/>
        <v>女</v>
      </c>
      <c r="E567" s="18" t="str">
        <f>"2022015429"</f>
        <v>2022015429</v>
      </c>
      <c r="F567" s="25">
        <v>78.3</v>
      </c>
      <c r="G567" s="18">
        <v>5</v>
      </c>
      <c r="H567" s="26"/>
      <c r="I567" s="18" t="s">
        <v>12</v>
      </c>
    </row>
    <row r="568" s="1" customFormat="1" customHeight="1" spans="1:9">
      <c r="A568" s="18" t="str">
        <f t="shared" si="90"/>
        <v>B11F</v>
      </c>
      <c r="B568" s="19" t="s">
        <v>38</v>
      </c>
      <c r="C568" s="18" t="str">
        <f>"周琼"</f>
        <v>周琼</v>
      </c>
      <c r="D568" s="18" t="str">
        <f t="shared" si="89"/>
        <v>女</v>
      </c>
      <c r="E568" s="18" t="str">
        <f>"2022015330"</f>
        <v>2022015330</v>
      </c>
      <c r="F568" s="18">
        <v>78.1</v>
      </c>
      <c r="G568" s="18">
        <v>6</v>
      </c>
      <c r="H568" s="18"/>
      <c r="I568" s="18" t="s">
        <v>12</v>
      </c>
    </row>
    <row r="569" s="1" customFormat="1" customHeight="1" spans="1:9">
      <c r="A569" s="18" t="str">
        <f t="shared" si="90"/>
        <v>B11F</v>
      </c>
      <c r="B569" s="19" t="s">
        <v>38</v>
      </c>
      <c r="C569" s="18" t="str">
        <f>"向利霞"</f>
        <v>向利霞</v>
      </c>
      <c r="D569" s="18" t="str">
        <f t="shared" si="89"/>
        <v>女</v>
      </c>
      <c r="E569" s="18" t="str">
        <f>"2022015324"</f>
        <v>2022015324</v>
      </c>
      <c r="F569" s="20">
        <v>77.7</v>
      </c>
      <c r="G569" s="18">
        <v>7</v>
      </c>
      <c r="H569" s="21"/>
      <c r="I569" s="18" t="s">
        <v>12</v>
      </c>
    </row>
    <row r="570" s="1" customFormat="1" customHeight="1" spans="1:9">
      <c r="A570" s="18" t="str">
        <f t="shared" si="90"/>
        <v>B11F</v>
      </c>
      <c r="B570" s="19" t="s">
        <v>38</v>
      </c>
      <c r="C570" s="18" t="str">
        <f>"谭莎"</f>
        <v>谭莎</v>
      </c>
      <c r="D570" s="18" t="str">
        <f t="shared" si="89"/>
        <v>女</v>
      </c>
      <c r="E570" s="18" t="str">
        <f>"2022015421"</f>
        <v>2022015421</v>
      </c>
      <c r="F570" s="18">
        <v>77.4</v>
      </c>
      <c r="G570" s="18">
        <v>8</v>
      </c>
      <c r="H570" s="18"/>
      <c r="I570" s="18" t="s">
        <v>12</v>
      </c>
    </row>
    <row r="571" s="1" customFormat="1" customHeight="1" spans="1:9">
      <c r="A571" s="18" t="str">
        <f t="shared" si="90"/>
        <v>B11F</v>
      </c>
      <c r="B571" s="19" t="s">
        <v>38</v>
      </c>
      <c r="C571" s="18" t="str">
        <f>"肖萍"</f>
        <v>肖萍</v>
      </c>
      <c r="D571" s="18" t="str">
        <f t="shared" si="89"/>
        <v>女</v>
      </c>
      <c r="E571" s="18" t="str">
        <f>"2022015426"</f>
        <v>2022015426</v>
      </c>
      <c r="F571" s="20">
        <v>77.1</v>
      </c>
      <c r="G571" s="18">
        <v>9</v>
      </c>
      <c r="H571" s="21"/>
      <c r="I571" s="18" t="s">
        <v>12</v>
      </c>
    </row>
    <row r="572" s="1" customFormat="1" customHeight="1" spans="1:9">
      <c r="A572" s="18" t="str">
        <f t="shared" si="90"/>
        <v>B11F</v>
      </c>
      <c r="B572" s="19" t="s">
        <v>38</v>
      </c>
      <c r="C572" s="18" t="str">
        <f>"陈含俣"</f>
        <v>陈含俣</v>
      </c>
      <c r="D572" s="18" t="str">
        <f t="shared" si="89"/>
        <v>女</v>
      </c>
      <c r="E572" s="18" t="str">
        <f>"2022015422"</f>
        <v>2022015422</v>
      </c>
      <c r="F572" s="18">
        <v>77</v>
      </c>
      <c r="G572" s="18">
        <v>10</v>
      </c>
      <c r="H572" s="18"/>
      <c r="I572" s="18" t="s">
        <v>12</v>
      </c>
    </row>
    <row r="573" s="1" customFormat="1" customHeight="1" spans="1:9">
      <c r="A573" s="18" t="str">
        <f t="shared" si="90"/>
        <v>B11F</v>
      </c>
      <c r="B573" s="19" t="s">
        <v>38</v>
      </c>
      <c r="C573" s="18" t="str">
        <f>"尹丽娟"</f>
        <v>尹丽娟</v>
      </c>
      <c r="D573" s="18" t="str">
        <f t="shared" si="89"/>
        <v>女</v>
      </c>
      <c r="E573" s="18" t="str">
        <f>"2022015415"</f>
        <v>2022015415</v>
      </c>
      <c r="F573" s="22">
        <v>76.5</v>
      </c>
      <c r="G573" s="18">
        <v>11</v>
      </c>
      <c r="H573" s="23"/>
      <c r="I573" s="18" t="s">
        <v>12</v>
      </c>
    </row>
    <row r="574" s="1" customFormat="1" customHeight="1" spans="1:9">
      <c r="A574" s="18" t="str">
        <f t="shared" si="90"/>
        <v>B11F</v>
      </c>
      <c r="B574" s="19" t="s">
        <v>38</v>
      </c>
      <c r="C574" s="18" t="str">
        <f>"朱琳"</f>
        <v>朱琳</v>
      </c>
      <c r="D574" s="18" t="str">
        <f t="shared" si="89"/>
        <v>女</v>
      </c>
      <c r="E574" s="18" t="str">
        <f>"2022015317"</f>
        <v>2022015317</v>
      </c>
      <c r="F574" s="25">
        <v>76.3</v>
      </c>
      <c r="G574" s="18">
        <v>12</v>
      </c>
      <c r="H574" s="26"/>
      <c r="I574" s="18" t="s">
        <v>12</v>
      </c>
    </row>
    <row r="575" s="1" customFormat="1" customHeight="1" spans="1:9">
      <c r="A575" s="18" t="str">
        <f t="shared" si="90"/>
        <v>B11F</v>
      </c>
      <c r="B575" s="19" t="s">
        <v>38</v>
      </c>
      <c r="C575" s="18" t="str">
        <f>"向娟"</f>
        <v>向娟</v>
      </c>
      <c r="D575" s="18" t="str">
        <f t="shared" si="89"/>
        <v>女</v>
      </c>
      <c r="E575" s="18" t="str">
        <f>"2022015325"</f>
        <v>2022015325</v>
      </c>
      <c r="F575" s="18">
        <v>76.3</v>
      </c>
      <c r="G575" s="18">
        <v>12</v>
      </c>
      <c r="H575" s="18"/>
      <c r="I575" s="18" t="s">
        <v>12</v>
      </c>
    </row>
    <row r="576" s="1" customFormat="1" customHeight="1" spans="1:9">
      <c r="A576" s="18" t="str">
        <f t="shared" si="90"/>
        <v>B11F</v>
      </c>
      <c r="B576" s="19" t="s">
        <v>38</v>
      </c>
      <c r="C576" s="18" t="str">
        <f>"莫凌梅"</f>
        <v>莫凌梅</v>
      </c>
      <c r="D576" s="18" t="str">
        <f t="shared" si="89"/>
        <v>女</v>
      </c>
      <c r="E576" s="18" t="str">
        <f>"2022015430"</f>
        <v>2022015430</v>
      </c>
      <c r="F576" s="20">
        <v>76.3</v>
      </c>
      <c r="G576" s="18">
        <v>12</v>
      </c>
      <c r="H576" s="21"/>
      <c r="I576" s="18" t="s">
        <v>12</v>
      </c>
    </row>
    <row r="577" s="1" customFormat="1" customHeight="1" spans="1:9">
      <c r="A577" s="18" t="str">
        <f t="shared" si="90"/>
        <v>B11F</v>
      </c>
      <c r="B577" s="19" t="s">
        <v>38</v>
      </c>
      <c r="C577" s="18" t="str">
        <f>"李娜"</f>
        <v>李娜</v>
      </c>
      <c r="D577" s="18" t="str">
        <f t="shared" si="89"/>
        <v>女</v>
      </c>
      <c r="E577" s="18" t="str">
        <f>"2022015328"</f>
        <v>2022015328</v>
      </c>
      <c r="F577" s="18">
        <v>75.8</v>
      </c>
      <c r="G577" s="18">
        <v>15</v>
      </c>
      <c r="H577" s="18"/>
      <c r="I577" s="18" t="s">
        <v>12</v>
      </c>
    </row>
    <row r="578" s="1" customFormat="1" customHeight="1" spans="1:9">
      <c r="A578" s="18" t="str">
        <f t="shared" si="90"/>
        <v>B11F</v>
      </c>
      <c r="B578" s="19" t="s">
        <v>38</v>
      </c>
      <c r="C578" s="18" t="str">
        <f>"欧阳媛"</f>
        <v>欧阳媛</v>
      </c>
      <c r="D578" s="18" t="str">
        <f t="shared" si="89"/>
        <v>女</v>
      </c>
      <c r="E578" s="18" t="str">
        <f>"2022015403"</f>
        <v>2022015403</v>
      </c>
      <c r="F578" s="22">
        <v>75.6</v>
      </c>
      <c r="G578" s="18">
        <v>16</v>
      </c>
      <c r="H578" s="23"/>
      <c r="I578" s="18" t="s">
        <v>12</v>
      </c>
    </row>
    <row r="579" s="1" customFormat="1" customHeight="1" spans="1:9">
      <c r="A579" s="18" t="str">
        <f t="shared" si="90"/>
        <v>B11F</v>
      </c>
      <c r="B579" s="19" t="s">
        <v>38</v>
      </c>
      <c r="C579" s="18" t="str">
        <f>"杨小枚"</f>
        <v>杨小枚</v>
      </c>
      <c r="D579" s="18" t="str">
        <f t="shared" si="89"/>
        <v>女</v>
      </c>
      <c r="E579" s="18" t="str">
        <f>"2022015431"</f>
        <v>2022015431</v>
      </c>
      <c r="F579" s="24">
        <v>75.5</v>
      </c>
      <c r="G579" s="18">
        <v>17</v>
      </c>
      <c r="H579" s="18"/>
      <c r="I579" s="18" t="s">
        <v>12</v>
      </c>
    </row>
    <row r="580" s="1" customFormat="1" customHeight="1" spans="1:9">
      <c r="A580" s="18" t="str">
        <f t="shared" si="90"/>
        <v>B11F</v>
      </c>
      <c r="B580" s="19" t="s">
        <v>38</v>
      </c>
      <c r="C580" s="18" t="str">
        <f>"廖萍"</f>
        <v>廖萍</v>
      </c>
      <c r="D580" s="18" t="str">
        <f t="shared" si="89"/>
        <v>女</v>
      </c>
      <c r="E580" s="18" t="str">
        <f>"2022015504"</f>
        <v>2022015504</v>
      </c>
      <c r="F580" s="24">
        <v>75.5</v>
      </c>
      <c r="G580" s="18">
        <v>17</v>
      </c>
      <c r="H580" s="18"/>
      <c r="I580" s="18" t="s">
        <v>12</v>
      </c>
    </row>
    <row r="581" s="1" customFormat="1" customHeight="1" spans="1:9">
      <c r="A581" s="18" t="str">
        <f t="shared" si="90"/>
        <v>B11F</v>
      </c>
      <c r="B581" s="19" t="s">
        <v>38</v>
      </c>
      <c r="C581" s="18" t="str">
        <f>"唐婷"</f>
        <v>唐婷</v>
      </c>
      <c r="D581" s="18" t="str">
        <f t="shared" si="89"/>
        <v>女</v>
      </c>
      <c r="E581" s="18" t="str">
        <f>"2022015417"</f>
        <v>2022015417</v>
      </c>
      <c r="F581" s="25">
        <v>75.2</v>
      </c>
      <c r="G581" s="18">
        <v>19</v>
      </c>
      <c r="H581" s="26"/>
      <c r="I581" s="18" t="s">
        <v>12</v>
      </c>
    </row>
    <row r="582" s="1" customFormat="1" customHeight="1" spans="1:9">
      <c r="A582" s="18" t="str">
        <f t="shared" si="90"/>
        <v>B11F</v>
      </c>
      <c r="B582" s="19" t="s">
        <v>38</v>
      </c>
      <c r="C582" s="18" t="str">
        <f>"蒋勇"</f>
        <v>蒋勇</v>
      </c>
      <c r="D582" s="18" t="str">
        <f>"男"</f>
        <v>男</v>
      </c>
      <c r="E582" s="18" t="str">
        <f>"2022015410"</f>
        <v>2022015410</v>
      </c>
      <c r="F582" s="18">
        <v>74.8</v>
      </c>
      <c r="G582" s="18">
        <v>20</v>
      </c>
      <c r="H582" s="18"/>
      <c r="I582" s="18" t="s">
        <v>12</v>
      </c>
    </row>
    <row r="583" s="1" customFormat="1" customHeight="1" spans="1:9">
      <c r="A583" s="18" t="str">
        <f t="shared" si="90"/>
        <v>B11F</v>
      </c>
      <c r="B583" s="19" t="s">
        <v>38</v>
      </c>
      <c r="C583" s="18" t="str">
        <f>"肖雅心"</f>
        <v>肖雅心</v>
      </c>
      <c r="D583" s="18" t="str">
        <f t="shared" ref="D583:D585" si="91">"女"</f>
        <v>女</v>
      </c>
      <c r="E583" s="18" t="str">
        <f>"2022015406"</f>
        <v>2022015406</v>
      </c>
      <c r="F583" s="20">
        <v>74.7</v>
      </c>
      <c r="G583" s="18">
        <v>21</v>
      </c>
      <c r="H583" s="21"/>
      <c r="I583" s="18" t="s">
        <v>12</v>
      </c>
    </row>
    <row r="584" s="1" customFormat="1" customHeight="1" spans="1:9">
      <c r="A584" s="18" t="str">
        <f t="shared" si="90"/>
        <v>B11F</v>
      </c>
      <c r="B584" s="19" t="s">
        <v>38</v>
      </c>
      <c r="C584" s="18" t="str">
        <f>"彭素"</f>
        <v>彭素</v>
      </c>
      <c r="D584" s="18" t="str">
        <f t="shared" si="91"/>
        <v>女</v>
      </c>
      <c r="E584" s="18" t="str">
        <f>"2022015404"</f>
        <v>2022015404</v>
      </c>
      <c r="F584" s="18">
        <v>74.1</v>
      </c>
      <c r="G584" s="18">
        <v>22</v>
      </c>
      <c r="H584" s="18"/>
      <c r="I584" s="18" t="s">
        <v>12</v>
      </c>
    </row>
    <row r="585" s="1" customFormat="1" customHeight="1" spans="1:9">
      <c r="A585" s="18" t="str">
        <f t="shared" si="90"/>
        <v>B11F</v>
      </c>
      <c r="B585" s="19" t="s">
        <v>38</v>
      </c>
      <c r="C585" s="18" t="str">
        <f>"罗丹"</f>
        <v>罗丹</v>
      </c>
      <c r="D585" s="18" t="str">
        <f t="shared" si="91"/>
        <v>女</v>
      </c>
      <c r="E585" s="18" t="str">
        <f>"2022015316"</f>
        <v>2022015316</v>
      </c>
      <c r="F585" s="18">
        <v>73.8</v>
      </c>
      <c r="G585" s="18">
        <v>23</v>
      </c>
      <c r="H585" s="18"/>
      <c r="I585" s="18" t="s">
        <v>12</v>
      </c>
    </row>
    <row r="586" s="1" customFormat="1" customHeight="1" spans="1:9">
      <c r="A586" s="18" t="str">
        <f t="shared" si="90"/>
        <v>B11F</v>
      </c>
      <c r="B586" s="19" t="s">
        <v>38</v>
      </c>
      <c r="C586" s="18" t="str">
        <f>"张学智"</f>
        <v>张学智</v>
      </c>
      <c r="D586" s="18" t="str">
        <f>"男"</f>
        <v>男</v>
      </c>
      <c r="E586" s="18" t="str">
        <f>"2022015321"</f>
        <v>2022015321</v>
      </c>
      <c r="F586" s="22">
        <v>73.3</v>
      </c>
      <c r="G586" s="18">
        <v>24</v>
      </c>
      <c r="H586" s="23"/>
      <c r="I586" s="18" t="s">
        <v>12</v>
      </c>
    </row>
    <row r="587" s="1" customFormat="1" customHeight="1" spans="1:9">
      <c r="A587" s="18" t="str">
        <f t="shared" si="90"/>
        <v>B11F</v>
      </c>
      <c r="B587" s="19" t="s">
        <v>38</v>
      </c>
      <c r="C587" s="18" t="str">
        <f>"张纯"</f>
        <v>张纯</v>
      </c>
      <c r="D587" s="18" t="str">
        <f t="shared" ref="D587:D592" si="92">"女"</f>
        <v>女</v>
      </c>
      <c r="E587" s="18" t="str">
        <f>"2022015428"</f>
        <v>2022015428</v>
      </c>
      <c r="F587" s="24">
        <v>73</v>
      </c>
      <c r="G587" s="18">
        <v>25</v>
      </c>
      <c r="H587" s="18"/>
      <c r="I587" s="18" t="s">
        <v>12</v>
      </c>
    </row>
    <row r="588" s="1" customFormat="1" customHeight="1" spans="1:9">
      <c r="A588" s="18" t="str">
        <f t="shared" si="90"/>
        <v>B11F</v>
      </c>
      <c r="B588" s="19" t="s">
        <v>38</v>
      </c>
      <c r="C588" s="18" t="str">
        <f>"唐红"</f>
        <v>唐红</v>
      </c>
      <c r="D588" s="18" t="str">
        <f t="shared" si="92"/>
        <v>女</v>
      </c>
      <c r="E588" s="18" t="str">
        <f>"2022015304"</f>
        <v>2022015304</v>
      </c>
      <c r="F588" s="25">
        <v>72.8</v>
      </c>
      <c r="G588" s="18">
        <v>26</v>
      </c>
      <c r="H588" s="26"/>
      <c r="I588" s="18" t="s">
        <v>12</v>
      </c>
    </row>
    <row r="589" s="1" customFormat="1" customHeight="1" spans="1:9">
      <c r="A589" s="18" t="str">
        <f t="shared" si="90"/>
        <v>B11F</v>
      </c>
      <c r="B589" s="19" t="s">
        <v>38</v>
      </c>
      <c r="C589" s="18" t="str">
        <f>"王晶"</f>
        <v>王晶</v>
      </c>
      <c r="D589" s="18" t="str">
        <f>"男"</f>
        <v>男</v>
      </c>
      <c r="E589" s="18" t="str">
        <f>"2022015408"</f>
        <v>2022015408</v>
      </c>
      <c r="F589" s="18">
        <v>72</v>
      </c>
      <c r="G589" s="18">
        <v>27</v>
      </c>
      <c r="H589" s="18"/>
      <c r="I589" s="18" t="s">
        <v>12</v>
      </c>
    </row>
    <row r="590" s="1" customFormat="1" customHeight="1" spans="1:9">
      <c r="A590" s="18" t="str">
        <f t="shared" si="90"/>
        <v>B11F</v>
      </c>
      <c r="B590" s="19" t="s">
        <v>38</v>
      </c>
      <c r="C590" s="18" t="str">
        <f>"潘蕾"</f>
        <v>潘蕾</v>
      </c>
      <c r="D590" s="18" t="str">
        <f t="shared" si="92"/>
        <v>女</v>
      </c>
      <c r="E590" s="18" t="str">
        <f>"2022015414"</f>
        <v>2022015414</v>
      </c>
      <c r="F590" s="20">
        <v>71.4</v>
      </c>
      <c r="G590" s="18">
        <v>28</v>
      </c>
      <c r="H590" s="21"/>
      <c r="I590" s="18" t="s">
        <v>12</v>
      </c>
    </row>
    <row r="591" s="1" customFormat="1" customHeight="1" spans="1:9">
      <c r="A591" s="18" t="str">
        <f t="shared" si="90"/>
        <v>B11F</v>
      </c>
      <c r="B591" s="19" t="s">
        <v>38</v>
      </c>
      <c r="C591" s="18" t="str">
        <f>"汪婕宇"</f>
        <v>汪婕宇</v>
      </c>
      <c r="D591" s="18" t="str">
        <f t="shared" si="92"/>
        <v>女</v>
      </c>
      <c r="E591" s="18" t="str">
        <f>"2022015326"</f>
        <v>2022015326</v>
      </c>
      <c r="F591" s="18">
        <v>71.2</v>
      </c>
      <c r="G591" s="18">
        <v>29</v>
      </c>
      <c r="H591" s="18"/>
      <c r="I591" s="18" t="s">
        <v>12</v>
      </c>
    </row>
    <row r="592" s="1" customFormat="1" customHeight="1" spans="1:9">
      <c r="A592" s="18" t="str">
        <f t="shared" si="90"/>
        <v>B11F</v>
      </c>
      <c r="B592" s="19" t="s">
        <v>38</v>
      </c>
      <c r="C592" s="18" t="str">
        <f>"羊博"</f>
        <v>羊博</v>
      </c>
      <c r="D592" s="18" t="str">
        <f t="shared" si="92"/>
        <v>女</v>
      </c>
      <c r="E592" s="18" t="str">
        <f>"2022015412"</f>
        <v>2022015412</v>
      </c>
      <c r="F592" s="20">
        <v>71.2</v>
      </c>
      <c r="G592" s="18">
        <v>29</v>
      </c>
      <c r="H592" s="21"/>
      <c r="I592" s="18" t="s">
        <v>12</v>
      </c>
    </row>
    <row r="593" s="1" customFormat="1" customHeight="1" spans="1:9">
      <c r="A593" s="18" t="str">
        <f t="shared" si="90"/>
        <v>B11F</v>
      </c>
      <c r="B593" s="19" t="s">
        <v>38</v>
      </c>
      <c r="C593" s="18" t="str">
        <f>"刘先海"</f>
        <v>刘先海</v>
      </c>
      <c r="D593" s="18" t="str">
        <f>"男"</f>
        <v>男</v>
      </c>
      <c r="E593" s="18" t="str">
        <f>"2022015312"</f>
        <v>2022015312</v>
      </c>
      <c r="F593" s="18">
        <v>71</v>
      </c>
      <c r="G593" s="18">
        <v>31</v>
      </c>
      <c r="H593" s="18"/>
      <c r="I593" s="18" t="s">
        <v>12</v>
      </c>
    </row>
    <row r="594" s="1" customFormat="1" customHeight="1" spans="1:9">
      <c r="A594" s="18" t="str">
        <f t="shared" si="90"/>
        <v>B11F</v>
      </c>
      <c r="B594" s="19" t="s">
        <v>38</v>
      </c>
      <c r="C594" s="18" t="str">
        <f>"邓晓丽"</f>
        <v>邓晓丽</v>
      </c>
      <c r="D594" s="18" t="str">
        <f t="shared" ref="D594:D597" si="93">"女"</f>
        <v>女</v>
      </c>
      <c r="E594" s="18" t="str">
        <f>"2022015513"</f>
        <v>2022015513</v>
      </c>
      <c r="F594" s="18">
        <v>70.1</v>
      </c>
      <c r="G594" s="18">
        <v>32</v>
      </c>
      <c r="H594" s="18"/>
      <c r="I594" s="18" t="s">
        <v>12</v>
      </c>
    </row>
    <row r="595" s="1" customFormat="1" customHeight="1" spans="1:9">
      <c r="A595" s="18" t="str">
        <f t="shared" si="90"/>
        <v>B11F</v>
      </c>
      <c r="B595" s="19" t="s">
        <v>38</v>
      </c>
      <c r="C595" s="18" t="str">
        <f>"刘英"</f>
        <v>刘英</v>
      </c>
      <c r="D595" s="18" t="str">
        <f t="shared" si="93"/>
        <v>女</v>
      </c>
      <c r="E595" s="18" t="str">
        <f>"2022015423"</f>
        <v>2022015423</v>
      </c>
      <c r="F595" s="22">
        <v>69.2</v>
      </c>
      <c r="G595" s="18">
        <v>33</v>
      </c>
      <c r="H595" s="23"/>
      <c r="I595" s="18" t="s">
        <v>12</v>
      </c>
    </row>
    <row r="596" s="1" customFormat="1" customHeight="1" spans="1:9">
      <c r="A596" s="18" t="str">
        <f t="shared" si="90"/>
        <v>B11F</v>
      </c>
      <c r="B596" s="19" t="s">
        <v>38</v>
      </c>
      <c r="C596" s="18" t="str">
        <f>"杨建平"</f>
        <v>杨建平</v>
      </c>
      <c r="D596" s="18" t="str">
        <f t="shared" si="93"/>
        <v>女</v>
      </c>
      <c r="E596" s="18" t="str">
        <f>"2022015303"</f>
        <v>2022015303</v>
      </c>
      <c r="F596" s="24">
        <v>68.8</v>
      </c>
      <c r="G596" s="18">
        <v>34</v>
      </c>
      <c r="H596" s="18"/>
      <c r="I596" s="18" t="s">
        <v>12</v>
      </c>
    </row>
    <row r="597" s="1" customFormat="1" customHeight="1" spans="1:9">
      <c r="A597" s="18" t="str">
        <f t="shared" si="90"/>
        <v>B11F</v>
      </c>
      <c r="B597" s="19" t="s">
        <v>38</v>
      </c>
      <c r="C597" s="18" t="str">
        <f>"瞿思琴"</f>
        <v>瞿思琴</v>
      </c>
      <c r="D597" s="18" t="str">
        <f t="shared" si="93"/>
        <v>女</v>
      </c>
      <c r="E597" s="18" t="str">
        <f>"2022015318"</f>
        <v>2022015318</v>
      </c>
      <c r="F597" s="24">
        <v>67.5</v>
      </c>
      <c r="G597" s="18">
        <v>35</v>
      </c>
      <c r="H597" s="18"/>
      <c r="I597" s="18" t="s">
        <v>12</v>
      </c>
    </row>
    <row r="598" s="1" customFormat="1" customHeight="1" spans="1:9">
      <c r="A598" s="18" t="str">
        <f t="shared" si="90"/>
        <v>B11F</v>
      </c>
      <c r="B598" s="19" t="s">
        <v>38</v>
      </c>
      <c r="C598" s="18" t="str">
        <f>"陈安"</f>
        <v>陈安</v>
      </c>
      <c r="D598" s="18" t="str">
        <f>"男"</f>
        <v>男</v>
      </c>
      <c r="E598" s="18" t="str">
        <f>"2022015416"</f>
        <v>2022015416</v>
      </c>
      <c r="F598" s="24">
        <v>66.1</v>
      </c>
      <c r="G598" s="18">
        <v>36</v>
      </c>
      <c r="H598" s="18"/>
      <c r="I598" s="18" t="s">
        <v>12</v>
      </c>
    </row>
    <row r="599" s="1" customFormat="1" customHeight="1" spans="1:9">
      <c r="A599" s="18" t="str">
        <f t="shared" si="90"/>
        <v>B11F</v>
      </c>
      <c r="B599" s="19" t="s">
        <v>38</v>
      </c>
      <c r="C599" s="18" t="str">
        <f>"刘能"</f>
        <v>刘能</v>
      </c>
      <c r="D599" s="18" t="str">
        <f>"男"</f>
        <v>男</v>
      </c>
      <c r="E599" s="18" t="str">
        <f>"2022015510"</f>
        <v>2022015510</v>
      </c>
      <c r="F599" s="24">
        <v>65.8</v>
      </c>
      <c r="G599" s="18">
        <v>37</v>
      </c>
      <c r="H599" s="18"/>
      <c r="I599" s="18" t="s">
        <v>12</v>
      </c>
    </row>
    <row r="600" s="1" customFormat="1" customHeight="1" spans="1:9">
      <c r="A600" s="18" t="str">
        <f t="shared" si="90"/>
        <v>B11F</v>
      </c>
      <c r="B600" s="19" t="s">
        <v>38</v>
      </c>
      <c r="C600" s="18" t="str">
        <f>"汤慧"</f>
        <v>汤慧</v>
      </c>
      <c r="D600" s="18" t="str">
        <f t="shared" ref="D600:D611" si="94">"女"</f>
        <v>女</v>
      </c>
      <c r="E600" s="18" t="str">
        <f>"2022015427"</f>
        <v>2022015427</v>
      </c>
      <c r="F600" s="24">
        <v>65.2</v>
      </c>
      <c r="G600" s="18">
        <v>38</v>
      </c>
      <c r="H600" s="18"/>
      <c r="I600" s="18" t="s">
        <v>12</v>
      </c>
    </row>
    <row r="601" s="1" customFormat="1" customHeight="1" spans="1:9">
      <c r="A601" s="18" t="str">
        <f t="shared" si="90"/>
        <v>B11F</v>
      </c>
      <c r="B601" s="19" t="s">
        <v>38</v>
      </c>
      <c r="C601" s="18" t="str">
        <f>"黄娟"</f>
        <v>黄娟</v>
      </c>
      <c r="D601" s="18" t="str">
        <f t="shared" si="94"/>
        <v>女</v>
      </c>
      <c r="E601" s="18" t="str">
        <f>"2022015307"</f>
        <v>2022015307</v>
      </c>
      <c r="F601" s="24">
        <v>65</v>
      </c>
      <c r="G601" s="18">
        <v>39</v>
      </c>
      <c r="H601" s="18"/>
      <c r="I601" s="18" t="s">
        <v>12</v>
      </c>
    </row>
    <row r="602" s="1" customFormat="1" customHeight="1" spans="1:9">
      <c r="A602" s="18" t="str">
        <f t="shared" si="90"/>
        <v>B11F</v>
      </c>
      <c r="B602" s="19" t="s">
        <v>38</v>
      </c>
      <c r="C602" s="18" t="str">
        <f>"杨虹倩"</f>
        <v>杨虹倩</v>
      </c>
      <c r="D602" s="18" t="str">
        <f t="shared" si="94"/>
        <v>女</v>
      </c>
      <c r="E602" s="18" t="str">
        <f>"2022015420"</f>
        <v>2022015420</v>
      </c>
      <c r="F602" s="25">
        <v>64.9</v>
      </c>
      <c r="G602" s="18">
        <v>40</v>
      </c>
      <c r="H602" s="26"/>
      <c r="I602" s="18" t="s">
        <v>12</v>
      </c>
    </row>
    <row r="603" s="1" customFormat="1" customHeight="1" spans="1:9">
      <c r="A603" s="18" t="str">
        <f t="shared" si="90"/>
        <v>B11F</v>
      </c>
      <c r="B603" s="19" t="s">
        <v>38</v>
      </c>
      <c r="C603" s="18" t="str">
        <f>"曾杰"</f>
        <v>曾杰</v>
      </c>
      <c r="D603" s="18" t="str">
        <f t="shared" si="94"/>
        <v>女</v>
      </c>
      <c r="E603" s="18" t="str">
        <f>"2022015515"</f>
        <v>2022015515</v>
      </c>
      <c r="F603" s="18">
        <v>64.9</v>
      </c>
      <c r="G603" s="18">
        <v>40</v>
      </c>
      <c r="H603" s="18"/>
      <c r="I603" s="18" t="s">
        <v>12</v>
      </c>
    </row>
    <row r="604" s="1" customFormat="1" customHeight="1" spans="1:9">
      <c r="A604" s="18" t="str">
        <f t="shared" si="90"/>
        <v>B11F</v>
      </c>
      <c r="B604" s="19" t="s">
        <v>38</v>
      </c>
      <c r="C604" s="18" t="str">
        <f>"杨艳云"</f>
        <v>杨艳云</v>
      </c>
      <c r="D604" s="18" t="str">
        <f t="shared" si="94"/>
        <v>女</v>
      </c>
      <c r="E604" s="18" t="str">
        <f>"2022015517"</f>
        <v>2022015517</v>
      </c>
      <c r="F604" s="22">
        <v>64.8</v>
      </c>
      <c r="G604" s="18">
        <v>42</v>
      </c>
      <c r="H604" s="23"/>
      <c r="I604" s="18" t="s">
        <v>12</v>
      </c>
    </row>
    <row r="605" s="1" customFormat="1" customHeight="1" spans="1:9">
      <c r="A605" s="18" t="str">
        <f t="shared" si="90"/>
        <v>B11F</v>
      </c>
      <c r="B605" s="19" t="s">
        <v>38</v>
      </c>
      <c r="C605" s="18" t="str">
        <f>"凌玉艳"</f>
        <v>凌玉艳</v>
      </c>
      <c r="D605" s="18" t="str">
        <f t="shared" si="94"/>
        <v>女</v>
      </c>
      <c r="E605" s="18" t="str">
        <f>"2022015509"</f>
        <v>2022015509</v>
      </c>
      <c r="F605" s="24">
        <v>64.5</v>
      </c>
      <c r="G605" s="18">
        <v>43</v>
      </c>
      <c r="H605" s="18"/>
      <c r="I605" s="18" t="s">
        <v>12</v>
      </c>
    </row>
    <row r="606" s="1" customFormat="1" customHeight="1" spans="1:9">
      <c r="A606" s="18" t="str">
        <f t="shared" si="90"/>
        <v>B11F</v>
      </c>
      <c r="B606" s="19" t="s">
        <v>38</v>
      </c>
      <c r="C606" s="18" t="str">
        <f>"王洁萍"</f>
        <v>王洁萍</v>
      </c>
      <c r="D606" s="18" t="str">
        <f t="shared" si="94"/>
        <v>女</v>
      </c>
      <c r="E606" s="18" t="str">
        <f>"2022015314"</f>
        <v>2022015314</v>
      </c>
      <c r="F606" s="24">
        <v>64</v>
      </c>
      <c r="G606" s="18">
        <v>44</v>
      </c>
      <c r="H606" s="18"/>
      <c r="I606" s="18" t="s">
        <v>12</v>
      </c>
    </row>
    <row r="607" s="1" customFormat="1" customHeight="1" spans="1:9">
      <c r="A607" s="18" t="str">
        <f t="shared" si="90"/>
        <v>B11F</v>
      </c>
      <c r="B607" s="19" t="s">
        <v>38</v>
      </c>
      <c r="C607" s="18" t="str">
        <f>"张瑛"</f>
        <v>张瑛</v>
      </c>
      <c r="D607" s="18" t="str">
        <f t="shared" si="94"/>
        <v>女</v>
      </c>
      <c r="E607" s="18" t="str">
        <f>"2022015311"</f>
        <v>2022015311</v>
      </c>
      <c r="F607" s="24">
        <v>63.8</v>
      </c>
      <c r="G607" s="18">
        <v>45</v>
      </c>
      <c r="H607" s="18"/>
      <c r="I607" s="18" t="s">
        <v>12</v>
      </c>
    </row>
    <row r="608" s="1" customFormat="1" customHeight="1" spans="1:9">
      <c r="A608" s="18" t="str">
        <f t="shared" si="90"/>
        <v>B11F</v>
      </c>
      <c r="B608" s="19" t="s">
        <v>38</v>
      </c>
      <c r="C608" s="18" t="str">
        <f>"钱露艳"</f>
        <v>钱露艳</v>
      </c>
      <c r="D608" s="18" t="str">
        <f t="shared" si="94"/>
        <v>女</v>
      </c>
      <c r="E608" s="18" t="str">
        <f>"2022015319"</f>
        <v>2022015319</v>
      </c>
      <c r="F608" s="24">
        <v>63.1</v>
      </c>
      <c r="G608" s="18">
        <v>46</v>
      </c>
      <c r="H608" s="18"/>
      <c r="I608" s="18" t="s">
        <v>12</v>
      </c>
    </row>
    <row r="609" s="1" customFormat="1" customHeight="1" spans="1:9">
      <c r="A609" s="18" t="str">
        <f t="shared" si="90"/>
        <v>B11F</v>
      </c>
      <c r="B609" s="19" t="s">
        <v>38</v>
      </c>
      <c r="C609" s="18" t="str">
        <f>"李琳"</f>
        <v>李琳</v>
      </c>
      <c r="D609" s="18" t="str">
        <f t="shared" si="94"/>
        <v>女</v>
      </c>
      <c r="E609" s="18" t="str">
        <f>"2022015503"</f>
        <v>2022015503</v>
      </c>
      <c r="F609" s="24">
        <v>62.8</v>
      </c>
      <c r="G609" s="18">
        <v>47</v>
      </c>
      <c r="H609" s="18"/>
      <c r="I609" s="18" t="s">
        <v>12</v>
      </c>
    </row>
    <row r="610" s="1" customFormat="1" customHeight="1" spans="1:9">
      <c r="A610" s="18" t="str">
        <f t="shared" si="90"/>
        <v>B11F</v>
      </c>
      <c r="B610" s="19" t="s">
        <v>38</v>
      </c>
      <c r="C610" s="18" t="str">
        <f>"刘芷嫣"</f>
        <v>刘芷嫣</v>
      </c>
      <c r="D610" s="18" t="str">
        <f t="shared" si="94"/>
        <v>女</v>
      </c>
      <c r="E610" s="18" t="str">
        <f>"2022015405"</f>
        <v>2022015405</v>
      </c>
      <c r="F610" s="24">
        <v>61.6</v>
      </c>
      <c r="G610" s="18">
        <v>48</v>
      </c>
      <c r="H610" s="18"/>
      <c r="I610" s="18" t="s">
        <v>12</v>
      </c>
    </row>
    <row r="611" s="1" customFormat="1" customHeight="1" spans="1:9">
      <c r="A611" s="18" t="str">
        <f t="shared" si="90"/>
        <v>B11F</v>
      </c>
      <c r="B611" s="19" t="s">
        <v>38</v>
      </c>
      <c r="C611" s="18" t="str">
        <f>"张媛"</f>
        <v>张媛</v>
      </c>
      <c r="D611" s="18" t="str">
        <f t="shared" si="94"/>
        <v>女</v>
      </c>
      <c r="E611" s="18" t="str">
        <f>"2022015424"</f>
        <v>2022015424</v>
      </c>
      <c r="F611" s="24">
        <v>61.5</v>
      </c>
      <c r="G611" s="18">
        <v>49</v>
      </c>
      <c r="H611" s="18"/>
      <c r="I611" s="18" t="s">
        <v>12</v>
      </c>
    </row>
    <row r="612" s="1" customFormat="1" customHeight="1" spans="1:9">
      <c r="A612" s="18" t="str">
        <f t="shared" si="90"/>
        <v>B11F</v>
      </c>
      <c r="B612" s="19" t="s">
        <v>38</v>
      </c>
      <c r="C612" s="18" t="str">
        <f>"向硕俭"</f>
        <v>向硕俭</v>
      </c>
      <c r="D612" s="18" t="str">
        <f>"男"</f>
        <v>男</v>
      </c>
      <c r="E612" s="18" t="str">
        <f>"2022015309"</f>
        <v>2022015309</v>
      </c>
      <c r="F612" s="24">
        <v>58.5</v>
      </c>
      <c r="G612" s="18">
        <v>50</v>
      </c>
      <c r="H612" s="18"/>
      <c r="I612" s="18" t="s">
        <v>12</v>
      </c>
    </row>
    <row r="613" s="1" customFormat="1" customHeight="1" spans="1:9">
      <c r="A613" s="18" t="str">
        <f t="shared" si="90"/>
        <v>B11F</v>
      </c>
      <c r="B613" s="19" t="s">
        <v>38</v>
      </c>
      <c r="C613" s="18" t="str">
        <f>"杜丽施"</f>
        <v>杜丽施</v>
      </c>
      <c r="D613" s="18" t="str">
        <f t="shared" ref="D613:D615" si="95">"女"</f>
        <v>女</v>
      </c>
      <c r="E613" s="18" t="str">
        <f>"2022015511"</f>
        <v>2022015511</v>
      </c>
      <c r="F613" s="24">
        <v>58.4</v>
      </c>
      <c r="G613" s="18">
        <v>51</v>
      </c>
      <c r="H613" s="18"/>
      <c r="I613" s="18" t="s">
        <v>12</v>
      </c>
    </row>
    <row r="614" s="1" customFormat="1" customHeight="1" spans="1:9">
      <c r="A614" s="18" t="str">
        <f t="shared" si="90"/>
        <v>B11F</v>
      </c>
      <c r="B614" s="19" t="s">
        <v>38</v>
      </c>
      <c r="C614" s="18" t="str">
        <f>"欧阳洁"</f>
        <v>欧阳洁</v>
      </c>
      <c r="D614" s="18" t="str">
        <f t="shared" si="95"/>
        <v>女</v>
      </c>
      <c r="E614" s="18" t="str">
        <f>"2022015305"</f>
        <v>2022015305</v>
      </c>
      <c r="F614" s="24">
        <v>58.1</v>
      </c>
      <c r="G614" s="18">
        <v>52</v>
      </c>
      <c r="H614" s="18"/>
      <c r="I614" s="18" t="s">
        <v>12</v>
      </c>
    </row>
    <row r="615" s="1" customFormat="1" customHeight="1" spans="1:9">
      <c r="A615" s="18" t="str">
        <f t="shared" si="90"/>
        <v>B11F</v>
      </c>
      <c r="B615" s="19" t="s">
        <v>38</v>
      </c>
      <c r="C615" s="18" t="str">
        <f>"廖鑫琪"</f>
        <v>廖鑫琪</v>
      </c>
      <c r="D615" s="18" t="str">
        <f t="shared" si="95"/>
        <v>女</v>
      </c>
      <c r="E615" s="18" t="str">
        <f>"2022015419"</f>
        <v>2022015419</v>
      </c>
      <c r="F615" s="24">
        <v>57.8</v>
      </c>
      <c r="G615" s="18">
        <v>53</v>
      </c>
      <c r="H615" s="18"/>
      <c r="I615" s="18" t="s">
        <v>12</v>
      </c>
    </row>
    <row r="616" s="1" customFormat="1" customHeight="1" spans="1:9">
      <c r="A616" s="18" t="str">
        <f t="shared" si="90"/>
        <v>B11F</v>
      </c>
      <c r="B616" s="19" t="s">
        <v>38</v>
      </c>
      <c r="C616" s="18" t="str">
        <f>"曾为"</f>
        <v>曾为</v>
      </c>
      <c r="D616" s="18" t="str">
        <f t="shared" ref="D616:D620" si="96">"男"</f>
        <v>男</v>
      </c>
      <c r="E616" s="18" t="str">
        <f>"2022015519"</f>
        <v>2022015519</v>
      </c>
      <c r="F616" s="24">
        <v>54.8</v>
      </c>
      <c r="G616" s="18">
        <v>54</v>
      </c>
      <c r="H616" s="18"/>
      <c r="I616" s="18" t="s">
        <v>12</v>
      </c>
    </row>
    <row r="617" s="1" customFormat="1" customHeight="1" spans="1:9">
      <c r="A617" s="18" t="str">
        <f t="shared" si="90"/>
        <v>B11F</v>
      </c>
      <c r="B617" s="19" t="s">
        <v>38</v>
      </c>
      <c r="C617" s="18" t="str">
        <f>"张惠"</f>
        <v>张惠</v>
      </c>
      <c r="D617" s="18" t="str">
        <f t="shared" ref="D617:D623" si="97">"女"</f>
        <v>女</v>
      </c>
      <c r="E617" s="18" t="str">
        <f>"2022015505"</f>
        <v>2022015505</v>
      </c>
      <c r="F617" s="24">
        <v>50.8</v>
      </c>
      <c r="G617" s="18">
        <v>55</v>
      </c>
      <c r="H617" s="18"/>
      <c r="I617" s="18" t="s">
        <v>12</v>
      </c>
    </row>
    <row r="618" s="1" customFormat="1" customHeight="1" spans="1:9">
      <c r="A618" s="18" t="str">
        <f t="shared" si="90"/>
        <v>B11F</v>
      </c>
      <c r="B618" s="19" t="s">
        <v>38</v>
      </c>
      <c r="C618" s="18" t="str">
        <f>"封成瑶"</f>
        <v>封成瑶</v>
      </c>
      <c r="D618" s="18" t="str">
        <f t="shared" si="97"/>
        <v>女</v>
      </c>
      <c r="E618" s="18" t="str">
        <f>"2022015518"</f>
        <v>2022015518</v>
      </c>
      <c r="F618" s="24">
        <v>46.1</v>
      </c>
      <c r="G618" s="18">
        <v>56</v>
      </c>
      <c r="H618" s="18"/>
      <c r="I618" s="18" t="s">
        <v>12</v>
      </c>
    </row>
    <row r="619" s="1" customFormat="1" customHeight="1" spans="1:9">
      <c r="A619" s="18" t="str">
        <f t="shared" si="90"/>
        <v>B11F</v>
      </c>
      <c r="B619" s="19" t="s">
        <v>38</v>
      </c>
      <c r="C619" s="18" t="str">
        <f>"钟凯"</f>
        <v>钟凯</v>
      </c>
      <c r="D619" s="18" t="str">
        <f t="shared" si="96"/>
        <v>男</v>
      </c>
      <c r="E619" s="18" t="str">
        <f>"2022015407"</f>
        <v>2022015407</v>
      </c>
      <c r="F619" s="24">
        <v>45.2</v>
      </c>
      <c r="G619" s="18">
        <v>57</v>
      </c>
      <c r="H619" s="18"/>
      <c r="I619" s="18" t="s">
        <v>12</v>
      </c>
    </row>
    <row r="620" s="1" customFormat="1" customHeight="1" spans="1:9">
      <c r="A620" s="18" t="str">
        <f t="shared" si="90"/>
        <v>B11F</v>
      </c>
      <c r="B620" s="19" t="s">
        <v>38</v>
      </c>
      <c r="C620" s="18" t="str">
        <f>"陈金威"</f>
        <v>陈金威</v>
      </c>
      <c r="D620" s="18" t="str">
        <f t="shared" si="96"/>
        <v>男</v>
      </c>
      <c r="E620" s="18" t="str">
        <f>"2022015301"</f>
        <v>2022015301</v>
      </c>
      <c r="F620" s="24">
        <v>0</v>
      </c>
      <c r="G620" s="18">
        <v>58</v>
      </c>
      <c r="H620" s="18" t="s">
        <v>13</v>
      </c>
      <c r="I620" s="18" t="s">
        <v>12</v>
      </c>
    </row>
    <row r="621" s="1" customFormat="1" customHeight="1" spans="1:9">
      <c r="A621" s="18" t="str">
        <f t="shared" si="90"/>
        <v>B11F</v>
      </c>
      <c r="B621" s="19" t="s">
        <v>38</v>
      </c>
      <c r="C621" s="18" t="str">
        <f>"卢叶辉煌"</f>
        <v>卢叶辉煌</v>
      </c>
      <c r="D621" s="18" t="str">
        <f t="shared" si="97"/>
        <v>女</v>
      </c>
      <c r="E621" s="18" t="str">
        <f>"2022015302"</f>
        <v>2022015302</v>
      </c>
      <c r="F621" s="24">
        <v>0</v>
      </c>
      <c r="G621" s="18">
        <v>58</v>
      </c>
      <c r="H621" s="18" t="s">
        <v>13</v>
      </c>
      <c r="I621" s="18" t="s">
        <v>12</v>
      </c>
    </row>
    <row r="622" s="1" customFormat="1" customHeight="1" spans="1:9">
      <c r="A622" s="18" t="str">
        <f t="shared" si="90"/>
        <v>B11F</v>
      </c>
      <c r="B622" s="19" t="s">
        <v>38</v>
      </c>
      <c r="C622" s="18" t="str">
        <f>"舒海燕"</f>
        <v>舒海燕</v>
      </c>
      <c r="D622" s="18" t="str">
        <f t="shared" si="97"/>
        <v>女</v>
      </c>
      <c r="E622" s="18" t="str">
        <f>"2022015306"</f>
        <v>2022015306</v>
      </c>
      <c r="F622" s="24">
        <v>0</v>
      </c>
      <c r="G622" s="18">
        <v>58</v>
      </c>
      <c r="H622" s="18" t="s">
        <v>13</v>
      </c>
      <c r="I622" s="18" t="s">
        <v>12</v>
      </c>
    </row>
    <row r="623" s="1" customFormat="1" customHeight="1" spans="1:9">
      <c r="A623" s="18" t="str">
        <f t="shared" si="90"/>
        <v>B11F</v>
      </c>
      <c r="B623" s="19" t="s">
        <v>38</v>
      </c>
      <c r="C623" s="18" t="str">
        <f>"汪璨"</f>
        <v>汪璨</v>
      </c>
      <c r="D623" s="18" t="str">
        <f t="shared" si="97"/>
        <v>女</v>
      </c>
      <c r="E623" s="18" t="str">
        <f>"2022015308"</f>
        <v>2022015308</v>
      </c>
      <c r="F623" s="25">
        <v>0</v>
      </c>
      <c r="G623" s="18">
        <v>58</v>
      </c>
      <c r="H623" s="26" t="s">
        <v>13</v>
      </c>
      <c r="I623" s="18" t="s">
        <v>12</v>
      </c>
    </row>
    <row r="624" s="1" customFormat="1" customHeight="1" spans="1:9">
      <c r="A624" s="18" t="str">
        <f t="shared" si="90"/>
        <v>B11F</v>
      </c>
      <c r="B624" s="19" t="s">
        <v>38</v>
      </c>
      <c r="C624" s="18" t="str">
        <f>"崔续耀"</f>
        <v>崔续耀</v>
      </c>
      <c r="D624" s="18" t="str">
        <f>"男"</f>
        <v>男</v>
      </c>
      <c r="E624" s="18" t="str">
        <f>"2022015310"</f>
        <v>2022015310</v>
      </c>
      <c r="F624" s="18">
        <v>0</v>
      </c>
      <c r="G624" s="18">
        <v>58</v>
      </c>
      <c r="H624" s="18" t="s">
        <v>13</v>
      </c>
      <c r="I624" s="18" t="s">
        <v>12</v>
      </c>
    </row>
    <row r="625" s="1" customFormat="1" customHeight="1" spans="1:9">
      <c r="A625" s="18" t="str">
        <f t="shared" si="90"/>
        <v>B11F</v>
      </c>
      <c r="B625" s="19" t="s">
        <v>38</v>
      </c>
      <c r="C625" s="18" t="str">
        <f>"何洋"</f>
        <v>何洋</v>
      </c>
      <c r="D625" s="18" t="str">
        <f>"男"</f>
        <v>男</v>
      </c>
      <c r="E625" s="18" t="str">
        <f>"2022015313"</f>
        <v>2022015313</v>
      </c>
      <c r="F625" s="18">
        <v>0</v>
      </c>
      <c r="G625" s="18">
        <v>58</v>
      </c>
      <c r="H625" s="18" t="s">
        <v>13</v>
      </c>
      <c r="I625" s="18" t="s">
        <v>12</v>
      </c>
    </row>
    <row r="626" s="1" customFormat="1" customHeight="1" spans="1:9">
      <c r="A626" s="18" t="str">
        <f t="shared" si="90"/>
        <v>B11F</v>
      </c>
      <c r="B626" s="19" t="s">
        <v>38</v>
      </c>
      <c r="C626" s="18" t="str">
        <f>"刘洁"</f>
        <v>刘洁</v>
      </c>
      <c r="D626" s="18" t="str">
        <f t="shared" ref="D626:D629" si="98">"女"</f>
        <v>女</v>
      </c>
      <c r="E626" s="18" t="str">
        <f>"2022015315"</f>
        <v>2022015315</v>
      </c>
      <c r="F626" s="22">
        <v>0</v>
      </c>
      <c r="G626" s="18">
        <v>58</v>
      </c>
      <c r="H626" s="23" t="s">
        <v>13</v>
      </c>
      <c r="I626" s="18" t="s">
        <v>12</v>
      </c>
    </row>
    <row r="627" s="1" customFormat="1" customHeight="1" spans="1:9">
      <c r="A627" s="18" t="str">
        <f t="shared" ref="A627:A642" si="99">"B11F"</f>
        <v>B11F</v>
      </c>
      <c r="B627" s="19" t="s">
        <v>38</v>
      </c>
      <c r="C627" s="18" t="str">
        <f>"刘婧娴"</f>
        <v>刘婧娴</v>
      </c>
      <c r="D627" s="18" t="str">
        <f t="shared" si="98"/>
        <v>女</v>
      </c>
      <c r="E627" s="18" t="str">
        <f>"2022015320"</f>
        <v>2022015320</v>
      </c>
      <c r="F627" s="24">
        <v>0</v>
      </c>
      <c r="G627" s="18">
        <v>58</v>
      </c>
      <c r="H627" s="18" t="s">
        <v>13</v>
      </c>
      <c r="I627" s="18" t="s">
        <v>12</v>
      </c>
    </row>
    <row r="628" s="1" customFormat="1" customHeight="1" spans="1:9">
      <c r="A628" s="18" t="str">
        <f t="shared" si="99"/>
        <v>B11F</v>
      </c>
      <c r="B628" s="19" t="s">
        <v>38</v>
      </c>
      <c r="C628" s="18" t="str">
        <f>"牛康桢"</f>
        <v>牛康桢</v>
      </c>
      <c r="D628" s="18" t="str">
        <f t="shared" si="98"/>
        <v>女</v>
      </c>
      <c r="E628" s="18" t="str">
        <f>"2022015322"</f>
        <v>2022015322</v>
      </c>
      <c r="F628" s="25">
        <v>0</v>
      </c>
      <c r="G628" s="18">
        <v>58</v>
      </c>
      <c r="H628" s="26" t="s">
        <v>13</v>
      </c>
      <c r="I628" s="18" t="s">
        <v>12</v>
      </c>
    </row>
    <row r="629" s="1" customFormat="1" customHeight="1" spans="1:9">
      <c r="A629" s="18" t="str">
        <f t="shared" si="99"/>
        <v>B11F</v>
      </c>
      <c r="B629" s="19" t="s">
        <v>38</v>
      </c>
      <c r="C629" s="18" t="str">
        <f>"周小芳"</f>
        <v>周小芳</v>
      </c>
      <c r="D629" s="18" t="str">
        <f t="shared" si="98"/>
        <v>女</v>
      </c>
      <c r="E629" s="18" t="str">
        <f>"2022015323"</f>
        <v>2022015323</v>
      </c>
      <c r="F629" s="18">
        <v>0</v>
      </c>
      <c r="G629" s="18">
        <v>58</v>
      </c>
      <c r="H629" s="18" t="s">
        <v>13</v>
      </c>
      <c r="I629" s="18" t="s">
        <v>12</v>
      </c>
    </row>
    <row r="630" s="1" customFormat="1" customHeight="1" spans="1:9">
      <c r="A630" s="18" t="str">
        <f t="shared" si="99"/>
        <v>B11F</v>
      </c>
      <c r="B630" s="19" t="s">
        <v>38</v>
      </c>
      <c r="C630" s="18" t="str">
        <f>"彭宇蔚"</f>
        <v>彭宇蔚</v>
      </c>
      <c r="D630" s="18" t="str">
        <f>"男"</f>
        <v>男</v>
      </c>
      <c r="E630" s="18" t="str">
        <f>"2022015327"</f>
        <v>2022015327</v>
      </c>
      <c r="F630" s="18">
        <v>0</v>
      </c>
      <c r="G630" s="18">
        <v>58</v>
      </c>
      <c r="H630" s="18" t="s">
        <v>13</v>
      </c>
      <c r="I630" s="18" t="s">
        <v>12</v>
      </c>
    </row>
    <row r="631" s="1" customFormat="1" customHeight="1" spans="1:9">
      <c r="A631" s="18" t="str">
        <f t="shared" si="99"/>
        <v>B11F</v>
      </c>
      <c r="B631" s="19" t="s">
        <v>38</v>
      </c>
      <c r="C631" s="18" t="str">
        <f>"周士琼"</f>
        <v>周士琼</v>
      </c>
      <c r="D631" s="18" t="str">
        <f t="shared" ref="D631:D635" si="100">"女"</f>
        <v>女</v>
      </c>
      <c r="E631" s="18" t="str">
        <f>"2022015329"</f>
        <v>2022015329</v>
      </c>
      <c r="F631" s="18">
        <v>0</v>
      </c>
      <c r="G631" s="18">
        <v>58</v>
      </c>
      <c r="H631" s="18" t="s">
        <v>13</v>
      </c>
      <c r="I631" s="18" t="s">
        <v>12</v>
      </c>
    </row>
    <row r="632" s="1" customFormat="1" customHeight="1" spans="1:9">
      <c r="A632" s="18" t="str">
        <f t="shared" si="99"/>
        <v>B11F</v>
      </c>
      <c r="B632" s="19" t="s">
        <v>38</v>
      </c>
      <c r="C632" s="18" t="str">
        <f>"何珊"</f>
        <v>何珊</v>
      </c>
      <c r="D632" s="18" t="str">
        <f t="shared" si="100"/>
        <v>女</v>
      </c>
      <c r="E632" s="18" t="str">
        <f>"2022015401"</f>
        <v>2022015401</v>
      </c>
      <c r="F632" s="22">
        <v>0</v>
      </c>
      <c r="G632" s="18">
        <v>58</v>
      </c>
      <c r="H632" s="23" t="s">
        <v>13</v>
      </c>
      <c r="I632" s="18" t="s">
        <v>12</v>
      </c>
    </row>
    <row r="633" s="1" customFormat="1" customHeight="1" spans="1:9">
      <c r="A633" s="18" t="str">
        <f t="shared" si="99"/>
        <v>B11F</v>
      </c>
      <c r="B633" s="19" t="s">
        <v>38</v>
      </c>
      <c r="C633" s="18" t="str">
        <f>"金密密"</f>
        <v>金密密</v>
      </c>
      <c r="D633" s="18" t="str">
        <f t="shared" si="100"/>
        <v>女</v>
      </c>
      <c r="E633" s="18" t="str">
        <f>"2022015402"</f>
        <v>2022015402</v>
      </c>
      <c r="F633" s="24">
        <v>0</v>
      </c>
      <c r="G633" s="18">
        <v>58</v>
      </c>
      <c r="H633" s="18" t="s">
        <v>13</v>
      </c>
      <c r="I633" s="18" t="s">
        <v>12</v>
      </c>
    </row>
    <row r="634" s="1" customFormat="1" customHeight="1" spans="1:9">
      <c r="A634" s="18" t="str">
        <f t="shared" si="99"/>
        <v>B11F</v>
      </c>
      <c r="B634" s="19" t="s">
        <v>38</v>
      </c>
      <c r="C634" s="18" t="str">
        <f>"高惟晓"</f>
        <v>高惟晓</v>
      </c>
      <c r="D634" s="18" t="str">
        <f t="shared" si="100"/>
        <v>女</v>
      </c>
      <c r="E634" s="18" t="str">
        <f>"2022015411"</f>
        <v>2022015411</v>
      </c>
      <c r="F634" s="25">
        <v>0</v>
      </c>
      <c r="G634" s="18">
        <v>58</v>
      </c>
      <c r="H634" s="26" t="s">
        <v>13</v>
      </c>
      <c r="I634" s="18" t="s">
        <v>12</v>
      </c>
    </row>
    <row r="635" s="1" customFormat="1" customHeight="1" spans="1:9">
      <c r="A635" s="18" t="str">
        <f t="shared" si="99"/>
        <v>B11F</v>
      </c>
      <c r="B635" s="19" t="s">
        <v>38</v>
      </c>
      <c r="C635" s="18" t="str">
        <f>"陈曾娟"</f>
        <v>陈曾娟</v>
      </c>
      <c r="D635" s="18" t="str">
        <f t="shared" si="100"/>
        <v>女</v>
      </c>
      <c r="E635" s="18" t="str">
        <f>"2022015501"</f>
        <v>2022015501</v>
      </c>
      <c r="F635" s="18">
        <v>0</v>
      </c>
      <c r="G635" s="18">
        <v>58</v>
      </c>
      <c r="H635" s="18" t="s">
        <v>13</v>
      </c>
      <c r="I635" s="18" t="s">
        <v>12</v>
      </c>
    </row>
    <row r="636" s="1" customFormat="1" customHeight="1" spans="1:9">
      <c r="A636" s="18" t="str">
        <f t="shared" si="99"/>
        <v>B11F</v>
      </c>
      <c r="B636" s="19" t="s">
        <v>38</v>
      </c>
      <c r="C636" s="18" t="str">
        <f>"石懂"</f>
        <v>石懂</v>
      </c>
      <c r="D636" s="18" t="str">
        <f>"男"</f>
        <v>男</v>
      </c>
      <c r="E636" s="18" t="str">
        <f>"2022015502"</f>
        <v>2022015502</v>
      </c>
      <c r="F636" s="20">
        <v>0</v>
      </c>
      <c r="G636" s="18">
        <v>58</v>
      </c>
      <c r="H636" s="21" t="s">
        <v>13</v>
      </c>
      <c r="I636" s="18" t="s">
        <v>12</v>
      </c>
    </row>
    <row r="637" s="1" customFormat="1" customHeight="1" spans="1:9">
      <c r="A637" s="18" t="str">
        <f t="shared" si="99"/>
        <v>B11F</v>
      </c>
      <c r="B637" s="19" t="s">
        <v>38</v>
      </c>
      <c r="C637" s="18" t="str">
        <f>"郭佳丽"</f>
        <v>郭佳丽</v>
      </c>
      <c r="D637" s="18" t="str">
        <f t="shared" ref="D637:D643" si="101">"女"</f>
        <v>女</v>
      </c>
      <c r="E637" s="18" t="str">
        <f>"2022015506"</f>
        <v>2022015506</v>
      </c>
      <c r="F637" s="18">
        <v>0</v>
      </c>
      <c r="G637" s="18">
        <v>58</v>
      </c>
      <c r="H637" s="18" t="s">
        <v>13</v>
      </c>
      <c r="I637" s="18" t="s">
        <v>12</v>
      </c>
    </row>
    <row r="638" s="1" customFormat="1" customHeight="1" spans="1:9">
      <c r="A638" s="18" t="str">
        <f t="shared" si="99"/>
        <v>B11F</v>
      </c>
      <c r="B638" s="19" t="s">
        <v>38</v>
      </c>
      <c r="C638" s="18" t="str">
        <f>"谢卓辰"</f>
        <v>谢卓辰</v>
      </c>
      <c r="D638" s="18" t="str">
        <f t="shared" si="101"/>
        <v>女</v>
      </c>
      <c r="E638" s="18" t="str">
        <f>"2022015507"</f>
        <v>2022015507</v>
      </c>
      <c r="F638" s="20">
        <v>0</v>
      </c>
      <c r="G638" s="18">
        <v>58</v>
      </c>
      <c r="H638" s="21" t="s">
        <v>13</v>
      </c>
      <c r="I638" s="18" t="s">
        <v>12</v>
      </c>
    </row>
    <row r="639" s="1" customFormat="1" customHeight="1" spans="1:9">
      <c r="A639" s="18" t="str">
        <f t="shared" si="99"/>
        <v>B11F</v>
      </c>
      <c r="B639" s="19" t="s">
        <v>38</v>
      </c>
      <c r="C639" s="18" t="str">
        <f>"钟俊晖"</f>
        <v>钟俊晖</v>
      </c>
      <c r="D639" s="18" t="str">
        <f>"男"</f>
        <v>男</v>
      </c>
      <c r="E639" s="18" t="str">
        <f>"2022015508"</f>
        <v>2022015508</v>
      </c>
      <c r="F639" s="18">
        <v>0</v>
      </c>
      <c r="G639" s="18">
        <v>58</v>
      </c>
      <c r="H639" s="18" t="s">
        <v>13</v>
      </c>
      <c r="I639" s="18" t="s">
        <v>12</v>
      </c>
    </row>
    <row r="640" s="1" customFormat="1" customHeight="1" spans="1:9">
      <c r="A640" s="18" t="str">
        <f t="shared" si="99"/>
        <v>B11F</v>
      </c>
      <c r="B640" s="19" t="s">
        <v>38</v>
      </c>
      <c r="C640" s="18" t="str">
        <f>"李赛蓝"</f>
        <v>李赛蓝</v>
      </c>
      <c r="D640" s="18" t="str">
        <f t="shared" si="101"/>
        <v>女</v>
      </c>
      <c r="E640" s="18" t="str">
        <f>"2022015512"</f>
        <v>2022015512</v>
      </c>
      <c r="F640" s="22">
        <v>0</v>
      </c>
      <c r="G640" s="18">
        <v>58</v>
      </c>
      <c r="H640" s="23" t="s">
        <v>13</v>
      </c>
      <c r="I640" s="18" t="s">
        <v>12</v>
      </c>
    </row>
    <row r="641" s="1" customFormat="1" customHeight="1" spans="1:9">
      <c r="A641" s="18" t="str">
        <f t="shared" si="99"/>
        <v>B11F</v>
      </c>
      <c r="B641" s="19" t="s">
        <v>38</v>
      </c>
      <c r="C641" s="18" t="str">
        <f>"马思琴"</f>
        <v>马思琴</v>
      </c>
      <c r="D641" s="18" t="str">
        <f t="shared" si="101"/>
        <v>女</v>
      </c>
      <c r="E641" s="18" t="str">
        <f>"2022015514"</f>
        <v>2022015514</v>
      </c>
      <c r="F641" s="24">
        <v>0</v>
      </c>
      <c r="G641" s="18">
        <v>58</v>
      </c>
      <c r="H641" s="18" t="s">
        <v>13</v>
      </c>
      <c r="I641" s="18" t="s">
        <v>12</v>
      </c>
    </row>
    <row r="642" s="1" customFormat="1" customHeight="1" spans="1:9">
      <c r="A642" s="18" t="str">
        <f t="shared" si="99"/>
        <v>B11F</v>
      </c>
      <c r="B642" s="19" t="s">
        <v>38</v>
      </c>
      <c r="C642" s="18" t="str">
        <f>"夏娟"</f>
        <v>夏娟</v>
      </c>
      <c r="D642" s="18" t="str">
        <f t="shared" si="101"/>
        <v>女</v>
      </c>
      <c r="E642" s="18" t="str">
        <f>"2022015516"</f>
        <v>2022015516</v>
      </c>
      <c r="F642" s="18">
        <v>0</v>
      </c>
      <c r="G642" s="18">
        <v>58</v>
      </c>
      <c r="H642" s="18" t="s">
        <v>13</v>
      </c>
      <c r="I642" s="18" t="s">
        <v>12</v>
      </c>
    </row>
    <row r="643" s="1" customFormat="1" customHeight="1" spans="1:9">
      <c r="A643" s="18" t="str">
        <f t="shared" ref="A643:A690" si="102">"B11G"</f>
        <v>B11G</v>
      </c>
      <c r="B643" s="19" t="s">
        <v>39</v>
      </c>
      <c r="C643" s="18" t="str">
        <f>"黄丽红"</f>
        <v>黄丽红</v>
      </c>
      <c r="D643" s="18" t="str">
        <f t="shared" si="101"/>
        <v>女</v>
      </c>
      <c r="E643" s="18" t="str">
        <f>"2022015614"</f>
        <v>2022015614</v>
      </c>
      <c r="F643" s="18">
        <v>78.8</v>
      </c>
      <c r="G643" s="18">
        <v>1</v>
      </c>
      <c r="H643" s="18"/>
      <c r="I643" s="28" t="s">
        <v>11</v>
      </c>
    </row>
    <row r="644" s="1" customFormat="1" customHeight="1" spans="1:9">
      <c r="A644" s="18" t="str">
        <f t="shared" si="102"/>
        <v>B11G</v>
      </c>
      <c r="B644" s="19" t="s">
        <v>39</v>
      </c>
      <c r="C644" s="18" t="str">
        <f>"罗蕾"</f>
        <v>罗蕾</v>
      </c>
      <c r="D644" s="18" t="str">
        <f>"男"</f>
        <v>男</v>
      </c>
      <c r="E644" s="18" t="str">
        <f>"2022015610"</f>
        <v>2022015610</v>
      </c>
      <c r="F644" s="22">
        <v>78.3</v>
      </c>
      <c r="G644" s="22">
        <v>2</v>
      </c>
      <c r="H644" s="23"/>
      <c r="I644" s="28" t="s">
        <v>11</v>
      </c>
    </row>
    <row r="645" s="1" customFormat="1" customHeight="1" spans="1:9">
      <c r="A645" s="18" t="str">
        <f t="shared" si="102"/>
        <v>B11G</v>
      </c>
      <c r="B645" s="19" t="s">
        <v>39</v>
      </c>
      <c r="C645" s="18" t="str">
        <f>"曾紫倪"</f>
        <v>曾紫倪</v>
      </c>
      <c r="D645" s="18" t="str">
        <f t="shared" ref="D645:D647" si="103">"女"</f>
        <v>女</v>
      </c>
      <c r="E645" s="18" t="str">
        <f>"2022015631"</f>
        <v>2022015631</v>
      </c>
      <c r="F645" s="24">
        <v>76.2</v>
      </c>
      <c r="G645" s="18">
        <v>3</v>
      </c>
      <c r="H645" s="18"/>
      <c r="I645" s="28" t="s">
        <v>11</v>
      </c>
    </row>
    <row r="646" s="1" customFormat="1" customHeight="1" spans="1:9">
      <c r="A646" s="18" t="str">
        <f t="shared" si="102"/>
        <v>B11G</v>
      </c>
      <c r="B646" s="19" t="s">
        <v>39</v>
      </c>
      <c r="C646" s="18" t="str">
        <f>"黄小川"</f>
        <v>黄小川</v>
      </c>
      <c r="D646" s="18" t="str">
        <f t="shared" si="103"/>
        <v>女</v>
      </c>
      <c r="E646" s="18" t="str">
        <f>"2022015615"</f>
        <v>2022015615</v>
      </c>
      <c r="F646" s="24">
        <v>74.7</v>
      </c>
      <c r="G646" s="22">
        <v>4</v>
      </c>
      <c r="H646" s="18"/>
      <c r="I646" s="28" t="s">
        <v>11</v>
      </c>
    </row>
    <row r="647" s="1" customFormat="1" customHeight="1" spans="1:9">
      <c r="A647" s="18" t="str">
        <f t="shared" si="102"/>
        <v>B11G</v>
      </c>
      <c r="B647" s="19" t="s">
        <v>39</v>
      </c>
      <c r="C647" s="18" t="str">
        <f>"李娟"</f>
        <v>李娟</v>
      </c>
      <c r="D647" s="18" t="str">
        <f t="shared" si="103"/>
        <v>女</v>
      </c>
      <c r="E647" s="18" t="str">
        <f>"2022015627"</f>
        <v>2022015627</v>
      </c>
      <c r="F647" s="24">
        <v>73.9</v>
      </c>
      <c r="G647" s="18">
        <v>5</v>
      </c>
      <c r="H647" s="18"/>
      <c r="I647" s="18" t="s">
        <v>12</v>
      </c>
    </row>
    <row r="648" s="1" customFormat="1" customHeight="1" spans="1:9">
      <c r="A648" s="18" t="str">
        <f t="shared" si="102"/>
        <v>B11G</v>
      </c>
      <c r="B648" s="19" t="s">
        <v>39</v>
      </c>
      <c r="C648" s="18" t="str">
        <f>"周志强"</f>
        <v>周志强</v>
      </c>
      <c r="D648" s="18" t="str">
        <f>"男"</f>
        <v>男</v>
      </c>
      <c r="E648" s="18" t="str">
        <f>"2022015527"</f>
        <v>2022015527</v>
      </c>
      <c r="F648" s="24">
        <v>73.7</v>
      </c>
      <c r="G648" s="22">
        <v>6</v>
      </c>
      <c r="H648" s="18"/>
      <c r="I648" s="18" t="s">
        <v>12</v>
      </c>
    </row>
    <row r="649" s="1" customFormat="1" customHeight="1" spans="1:9">
      <c r="A649" s="18" t="str">
        <f t="shared" si="102"/>
        <v>B11G</v>
      </c>
      <c r="B649" s="19" t="s">
        <v>39</v>
      </c>
      <c r="C649" s="18" t="str">
        <f>"欧阳翠"</f>
        <v>欧阳翠</v>
      </c>
      <c r="D649" s="18" t="str">
        <f t="shared" ref="D649:D661" si="104">"女"</f>
        <v>女</v>
      </c>
      <c r="E649" s="18" t="str">
        <f>"2022015624"</f>
        <v>2022015624</v>
      </c>
      <c r="F649" s="24">
        <v>72.6</v>
      </c>
      <c r="G649" s="18">
        <v>7</v>
      </c>
      <c r="H649" s="18"/>
      <c r="I649" s="18" t="s">
        <v>12</v>
      </c>
    </row>
    <row r="650" s="1" customFormat="1" customHeight="1" spans="1:9">
      <c r="A650" s="18" t="str">
        <f t="shared" si="102"/>
        <v>B11G</v>
      </c>
      <c r="B650" s="19" t="s">
        <v>39</v>
      </c>
      <c r="C650" s="18" t="str">
        <f>"李彬莎"</f>
        <v>李彬莎</v>
      </c>
      <c r="D650" s="18" t="str">
        <f t="shared" si="104"/>
        <v>女</v>
      </c>
      <c r="E650" s="18" t="str">
        <f>"2022015612"</f>
        <v>2022015612</v>
      </c>
      <c r="F650" s="24">
        <v>72.1</v>
      </c>
      <c r="G650" s="22">
        <v>8</v>
      </c>
      <c r="H650" s="18"/>
      <c r="I650" s="18" t="s">
        <v>12</v>
      </c>
    </row>
    <row r="651" s="1" customFormat="1" customHeight="1" spans="1:9">
      <c r="A651" s="18" t="str">
        <f t="shared" si="102"/>
        <v>B11G</v>
      </c>
      <c r="B651" s="19" t="s">
        <v>39</v>
      </c>
      <c r="C651" s="18" t="str">
        <f>"郑海婵"</f>
        <v>郑海婵</v>
      </c>
      <c r="D651" s="18" t="str">
        <f t="shared" si="104"/>
        <v>女</v>
      </c>
      <c r="E651" s="18" t="str">
        <f>"2022015529"</f>
        <v>2022015529</v>
      </c>
      <c r="F651" s="24">
        <v>71.9</v>
      </c>
      <c r="G651" s="18">
        <v>9</v>
      </c>
      <c r="H651" s="18"/>
      <c r="I651" s="18" t="s">
        <v>12</v>
      </c>
    </row>
    <row r="652" s="1" customFormat="1" customHeight="1" spans="1:9">
      <c r="A652" s="18" t="str">
        <f t="shared" si="102"/>
        <v>B11G</v>
      </c>
      <c r="B652" s="19" t="s">
        <v>39</v>
      </c>
      <c r="C652" s="18" t="str">
        <f>"黄银"</f>
        <v>黄银</v>
      </c>
      <c r="D652" s="18" t="str">
        <f t="shared" si="104"/>
        <v>女</v>
      </c>
      <c r="E652" s="18" t="str">
        <f>"2022015613"</f>
        <v>2022015613</v>
      </c>
      <c r="F652" s="25">
        <v>71.3</v>
      </c>
      <c r="G652" s="22">
        <v>10</v>
      </c>
      <c r="H652" s="26"/>
      <c r="I652" s="18" t="s">
        <v>12</v>
      </c>
    </row>
    <row r="653" s="1" customFormat="1" customHeight="1" spans="1:9">
      <c r="A653" s="18" t="str">
        <f t="shared" si="102"/>
        <v>B11G</v>
      </c>
      <c r="B653" s="19" t="s">
        <v>39</v>
      </c>
      <c r="C653" s="18" t="str">
        <f>"刘心仪"</f>
        <v>刘心仪</v>
      </c>
      <c r="D653" s="18" t="str">
        <f t="shared" si="104"/>
        <v>女</v>
      </c>
      <c r="E653" s="18" t="str">
        <f>"2022015601"</f>
        <v>2022015601</v>
      </c>
      <c r="F653" s="18">
        <v>70.9</v>
      </c>
      <c r="G653" s="18">
        <v>11</v>
      </c>
      <c r="H653" s="18"/>
      <c r="I653" s="18" t="s">
        <v>12</v>
      </c>
    </row>
    <row r="654" s="1" customFormat="1" customHeight="1" spans="1:9">
      <c r="A654" s="18" t="str">
        <f t="shared" si="102"/>
        <v>B11G</v>
      </c>
      <c r="B654" s="19" t="s">
        <v>39</v>
      </c>
      <c r="C654" s="18" t="str">
        <f>"王野"</f>
        <v>王野</v>
      </c>
      <c r="D654" s="18" t="str">
        <f t="shared" si="104"/>
        <v>女</v>
      </c>
      <c r="E654" s="18" t="str">
        <f>"2022015623"</f>
        <v>2022015623</v>
      </c>
      <c r="F654" s="22">
        <v>70.2</v>
      </c>
      <c r="G654" s="22">
        <v>12</v>
      </c>
      <c r="H654" s="23"/>
      <c r="I654" s="18" t="s">
        <v>12</v>
      </c>
    </row>
    <row r="655" s="1" customFormat="1" customHeight="1" spans="1:9">
      <c r="A655" s="18" t="str">
        <f t="shared" si="102"/>
        <v>B11G</v>
      </c>
      <c r="B655" s="19" t="s">
        <v>39</v>
      </c>
      <c r="C655" s="18" t="str">
        <f>"段雅淇"</f>
        <v>段雅淇</v>
      </c>
      <c r="D655" s="18" t="str">
        <f t="shared" si="104"/>
        <v>女</v>
      </c>
      <c r="E655" s="18" t="str">
        <f>"2022015618"</f>
        <v>2022015618</v>
      </c>
      <c r="F655" s="24">
        <v>70.1</v>
      </c>
      <c r="G655" s="18">
        <v>13</v>
      </c>
      <c r="H655" s="18"/>
      <c r="I655" s="18" t="s">
        <v>12</v>
      </c>
    </row>
    <row r="656" s="1" customFormat="1" customHeight="1" spans="1:9">
      <c r="A656" s="18" t="str">
        <f t="shared" si="102"/>
        <v>B11G</v>
      </c>
      <c r="B656" s="19" t="s">
        <v>39</v>
      </c>
      <c r="C656" s="18" t="str">
        <f>"陈梦琦"</f>
        <v>陈梦琦</v>
      </c>
      <c r="D656" s="18" t="str">
        <f t="shared" si="104"/>
        <v>女</v>
      </c>
      <c r="E656" s="18" t="str">
        <f>"2022015521"</f>
        <v>2022015521</v>
      </c>
      <c r="F656" s="24">
        <v>69.6</v>
      </c>
      <c r="G656" s="22">
        <v>14</v>
      </c>
      <c r="H656" s="18"/>
      <c r="I656" s="18" t="s">
        <v>12</v>
      </c>
    </row>
    <row r="657" s="1" customFormat="1" customHeight="1" spans="1:9">
      <c r="A657" s="18" t="str">
        <f t="shared" si="102"/>
        <v>B11G</v>
      </c>
      <c r="B657" s="19" t="s">
        <v>39</v>
      </c>
      <c r="C657" s="18" t="str">
        <f>"邓朝蕾"</f>
        <v>邓朝蕾</v>
      </c>
      <c r="D657" s="18" t="str">
        <f t="shared" si="104"/>
        <v>女</v>
      </c>
      <c r="E657" s="18" t="str">
        <f>"2022015609"</f>
        <v>2022015609</v>
      </c>
      <c r="F657" s="24">
        <v>69.2</v>
      </c>
      <c r="G657" s="18">
        <v>15</v>
      </c>
      <c r="H657" s="18"/>
      <c r="I657" s="18" t="s">
        <v>12</v>
      </c>
    </row>
    <row r="658" s="1" customFormat="1" customHeight="1" spans="1:9">
      <c r="A658" s="18" t="str">
        <f t="shared" si="102"/>
        <v>B11G</v>
      </c>
      <c r="B658" s="19" t="s">
        <v>39</v>
      </c>
      <c r="C658" s="18" t="str">
        <f>"唐靖"</f>
        <v>唐靖</v>
      </c>
      <c r="D658" s="18" t="str">
        <f t="shared" si="104"/>
        <v>女</v>
      </c>
      <c r="E658" s="18" t="str">
        <f>"2022015522"</f>
        <v>2022015522</v>
      </c>
      <c r="F658" s="24">
        <v>67.4</v>
      </c>
      <c r="G658" s="22">
        <v>16</v>
      </c>
      <c r="H658" s="18"/>
      <c r="I658" s="18" t="s">
        <v>12</v>
      </c>
    </row>
    <row r="659" s="1" customFormat="1" customHeight="1" spans="1:9">
      <c r="A659" s="18" t="str">
        <f t="shared" si="102"/>
        <v>B11G</v>
      </c>
      <c r="B659" s="19" t="s">
        <v>39</v>
      </c>
      <c r="C659" s="18" t="str">
        <f>"刘馨远"</f>
        <v>刘馨远</v>
      </c>
      <c r="D659" s="18" t="str">
        <f t="shared" si="104"/>
        <v>女</v>
      </c>
      <c r="E659" s="18" t="str">
        <f>"2022015525"</f>
        <v>2022015525</v>
      </c>
      <c r="F659" s="24">
        <v>65.6</v>
      </c>
      <c r="G659" s="18">
        <v>17</v>
      </c>
      <c r="H659" s="18"/>
      <c r="I659" s="18" t="s">
        <v>12</v>
      </c>
    </row>
    <row r="660" s="1" customFormat="1" customHeight="1" spans="1:9">
      <c r="A660" s="18" t="str">
        <f t="shared" si="102"/>
        <v>B11G</v>
      </c>
      <c r="B660" s="19" t="s">
        <v>39</v>
      </c>
      <c r="C660" s="18" t="str">
        <f>"周甜"</f>
        <v>周甜</v>
      </c>
      <c r="D660" s="18" t="str">
        <f t="shared" si="104"/>
        <v>女</v>
      </c>
      <c r="E660" s="18" t="str">
        <f>"2022015602"</f>
        <v>2022015602</v>
      </c>
      <c r="F660" s="24">
        <v>63.3</v>
      </c>
      <c r="G660" s="22">
        <v>18</v>
      </c>
      <c r="H660" s="18"/>
      <c r="I660" s="18" t="s">
        <v>12</v>
      </c>
    </row>
    <row r="661" s="1" customFormat="1" customHeight="1" spans="1:9">
      <c r="A661" s="18" t="str">
        <f t="shared" si="102"/>
        <v>B11G</v>
      </c>
      <c r="B661" s="19" t="s">
        <v>39</v>
      </c>
      <c r="C661" s="18" t="str">
        <f>"夏于田"</f>
        <v>夏于田</v>
      </c>
      <c r="D661" s="18" t="str">
        <f t="shared" si="104"/>
        <v>女</v>
      </c>
      <c r="E661" s="18" t="str">
        <f>"2022015526"</f>
        <v>2022015526</v>
      </c>
      <c r="F661" s="24">
        <v>63.2</v>
      </c>
      <c r="G661" s="18">
        <v>19</v>
      </c>
      <c r="H661" s="18"/>
      <c r="I661" s="18" t="s">
        <v>12</v>
      </c>
    </row>
    <row r="662" s="1" customFormat="1" customHeight="1" spans="1:9">
      <c r="A662" s="18" t="str">
        <f t="shared" si="102"/>
        <v>B11G</v>
      </c>
      <c r="B662" s="19" t="s">
        <v>39</v>
      </c>
      <c r="C662" s="18" t="str">
        <f>"易夙志"</f>
        <v>易夙志</v>
      </c>
      <c r="D662" s="18" t="str">
        <f>"男"</f>
        <v>男</v>
      </c>
      <c r="E662" s="18" t="str">
        <f>"2022015605"</f>
        <v>2022015605</v>
      </c>
      <c r="F662" s="24">
        <v>60.3</v>
      </c>
      <c r="G662" s="22">
        <v>20</v>
      </c>
      <c r="H662" s="18"/>
      <c r="I662" s="18" t="s">
        <v>12</v>
      </c>
    </row>
    <row r="663" s="1" customFormat="1" customHeight="1" spans="1:9">
      <c r="A663" s="18" t="str">
        <f t="shared" si="102"/>
        <v>B11G</v>
      </c>
      <c r="B663" s="19" t="s">
        <v>39</v>
      </c>
      <c r="C663" s="18" t="str">
        <f>"胡雪莲"</f>
        <v>胡雪莲</v>
      </c>
      <c r="D663" s="18" t="str">
        <f t="shared" ref="D663:D673" si="105">"女"</f>
        <v>女</v>
      </c>
      <c r="E663" s="18" t="str">
        <f>"2022015604"</f>
        <v>2022015604</v>
      </c>
      <c r="F663" s="24">
        <v>60.1</v>
      </c>
      <c r="G663" s="18">
        <v>21</v>
      </c>
      <c r="H663" s="18"/>
      <c r="I663" s="18" t="s">
        <v>12</v>
      </c>
    </row>
    <row r="664" s="1" customFormat="1" customHeight="1" spans="1:9">
      <c r="A664" s="18" t="str">
        <f t="shared" si="102"/>
        <v>B11G</v>
      </c>
      <c r="B664" s="19" t="s">
        <v>39</v>
      </c>
      <c r="C664" s="18" t="str">
        <f>"田欣"</f>
        <v>田欣</v>
      </c>
      <c r="D664" s="18" t="str">
        <f t="shared" si="105"/>
        <v>女</v>
      </c>
      <c r="E664" s="18" t="str">
        <f>"2022015524"</f>
        <v>2022015524</v>
      </c>
      <c r="F664" s="25">
        <v>58.5</v>
      </c>
      <c r="G664" s="22">
        <v>22</v>
      </c>
      <c r="H664" s="26"/>
      <c r="I664" s="18" t="s">
        <v>12</v>
      </c>
    </row>
    <row r="665" s="1" customFormat="1" customHeight="1" spans="1:9">
      <c r="A665" s="18" t="str">
        <f t="shared" si="102"/>
        <v>B11G</v>
      </c>
      <c r="B665" s="19" t="s">
        <v>39</v>
      </c>
      <c r="C665" s="18" t="str">
        <f>"王诗怡"</f>
        <v>王诗怡</v>
      </c>
      <c r="D665" s="18" t="str">
        <f t="shared" si="105"/>
        <v>女</v>
      </c>
      <c r="E665" s="18" t="str">
        <f>"2022015630"</f>
        <v>2022015630</v>
      </c>
      <c r="F665" s="18">
        <v>58.3</v>
      </c>
      <c r="G665" s="18">
        <v>23</v>
      </c>
      <c r="H665" s="18"/>
      <c r="I665" s="18" t="s">
        <v>12</v>
      </c>
    </row>
    <row r="666" s="1" customFormat="1" customHeight="1" spans="1:9">
      <c r="A666" s="18" t="str">
        <f t="shared" si="102"/>
        <v>B11G</v>
      </c>
      <c r="B666" s="19" t="s">
        <v>39</v>
      </c>
      <c r="C666" s="18" t="str">
        <f>"肖敏"</f>
        <v>肖敏</v>
      </c>
      <c r="D666" s="18" t="str">
        <f t="shared" si="105"/>
        <v>女</v>
      </c>
      <c r="E666" s="18" t="str">
        <f>"2022015620"</f>
        <v>2022015620</v>
      </c>
      <c r="F666" s="22">
        <v>57.3</v>
      </c>
      <c r="G666" s="22">
        <v>24</v>
      </c>
      <c r="H666" s="23"/>
      <c r="I666" s="18" t="s">
        <v>12</v>
      </c>
    </row>
    <row r="667" s="1" customFormat="1" customHeight="1" spans="1:9">
      <c r="A667" s="18" t="str">
        <f t="shared" si="102"/>
        <v>B11G</v>
      </c>
      <c r="B667" s="19" t="s">
        <v>39</v>
      </c>
      <c r="C667" s="18" t="str">
        <f>"杨一帆"</f>
        <v>杨一帆</v>
      </c>
      <c r="D667" s="18" t="str">
        <f t="shared" si="105"/>
        <v>女</v>
      </c>
      <c r="E667" s="18" t="str">
        <f>"2022015608"</f>
        <v>2022015608</v>
      </c>
      <c r="F667" s="24">
        <v>57</v>
      </c>
      <c r="G667" s="18">
        <v>25</v>
      </c>
      <c r="H667" s="18"/>
      <c r="I667" s="18" t="s">
        <v>12</v>
      </c>
    </row>
    <row r="668" s="1" customFormat="1" customHeight="1" spans="1:9">
      <c r="A668" s="18" t="str">
        <f t="shared" si="102"/>
        <v>B11G</v>
      </c>
      <c r="B668" s="19" t="s">
        <v>39</v>
      </c>
      <c r="C668" s="18" t="str">
        <f>"唐娉婷"</f>
        <v>唐娉婷</v>
      </c>
      <c r="D668" s="18" t="str">
        <f t="shared" si="105"/>
        <v>女</v>
      </c>
      <c r="E668" s="18" t="str">
        <f>"2022015702"</f>
        <v>2022015702</v>
      </c>
      <c r="F668" s="24">
        <v>55.2</v>
      </c>
      <c r="G668" s="22">
        <v>26</v>
      </c>
      <c r="H668" s="18"/>
      <c r="I668" s="18" t="s">
        <v>12</v>
      </c>
    </row>
    <row r="669" s="1" customFormat="1" customHeight="1" spans="1:9">
      <c r="A669" s="18" t="str">
        <f t="shared" si="102"/>
        <v>B11G</v>
      </c>
      <c r="B669" s="19" t="s">
        <v>39</v>
      </c>
      <c r="C669" s="18" t="str">
        <f>"曾萍"</f>
        <v>曾萍</v>
      </c>
      <c r="D669" s="18" t="str">
        <f t="shared" si="105"/>
        <v>女</v>
      </c>
      <c r="E669" s="18" t="str">
        <f>"2022015629"</f>
        <v>2022015629</v>
      </c>
      <c r="F669" s="24">
        <v>55</v>
      </c>
      <c r="G669" s="18">
        <v>27</v>
      </c>
      <c r="H669" s="18"/>
      <c r="I669" s="18" t="s">
        <v>12</v>
      </c>
    </row>
    <row r="670" s="1" customFormat="1" customHeight="1" spans="1:9">
      <c r="A670" s="18" t="str">
        <f t="shared" si="102"/>
        <v>B11G</v>
      </c>
      <c r="B670" s="19" t="s">
        <v>39</v>
      </c>
      <c r="C670" s="18" t="str">
        <f>"戴凡"</f>
        <v>戴凡</v>
      </c>
      <c r="D670" s="18" t="str">
        <f t="shared" si="105"/>
        <v>女</v>
      </c>
      <c r="E670" s="18" t="str">
        <f>"2022015617"</f>
        <v>2022015617</v>
      </c>
      <c r="F670" s="24">
        <v>54.4</v>
      </c>
      <c r="G670" s="22">
        <v>28</v>
      </c>
      <c r="H670" s="18"/>
      <c r="I670" s="18" t="s">
        <v>12</v>
      </c>
    </row>
    <row r="671" s="1" customFormat="1" customHeight="1" spans="1:9">
      <c r="A671" s="18" t="str">
        <f t="shared" si="102"/>
        <v>B11G</v>
      </c>
      <c r="B671" s="19" t="s">
        <v>39</v>
      </c>
      <c r="C671" s="18" t="str">
        <f>"马敏丽"</f>
        <v>马敏丽</v>
      </c>
      <c r="D671" s="18" t="str">
        <f t="shared" si="105"/>
        <v>女</v>
      </c>
      <c r="E671" s="18" t="str">
        <f>"2022015622"</f>
        <v>2022015622</v>
      </c>
      <c r="F671" s="24">
        <v>53.1</v>
      </c>
      <c r="G671" s="18">
        <v>29</v>
      </c>
      <c r="H671" s="18"/>
      <c r="I671" s="18" t="s">
        <v>12</v>
      </c>
    </row>
    <row r="672" s="1" customFormat="1" customHeight="1" spans="1:9">
      <c r="A672" s="18" t="str">
        <f t="shared" si="102"/>
        <v>B11G</v>
      </c>
      <c r="B672" s="19" t="s">
        <v>39</v>
      </c>
      <c r="C672" s="18" t="str">
        <f>"卿慧娴"</f>
        <v>卿慧娴</v>
      </c>
      <c r="D672" s="18" t="str">
        <f t="shared" si="105"/>
        <v>女</v>
      </c>
      <c r="E672" s="18" t="str">
        <f>"2022015523"</f>
        <v>2022015523</v>
      </c>
      <c r="F672" s="25">
        <v>52.6</v>
      </c>
      <c r="G672" s="22">
        <v>30</v>
      </c>
      <c r="H672" s="26"/>
      <c r="I672" s="18" t="s">
        <v>12</v>
      </c>
    </row>
    <row r="673" s="1" customFormat="1" customHeight="1" spans="1:9">
      <c r="A673" s="18" t="str">
        <f t="shared" si="102"/>
        <v>B11G</v>
      </c>
      <c r="B673" s="19" t="s">
        <v>39</v>
      </c>
      <c r="C673" s="18" t="str">
        <f>"王巧姑"</f>
        <v>王巧姑</v>
      </c>
      <c r="D673" s="18" t="str">
        <f t="shared" si="105"/>
        <v>女</v>
      </c>
      <c r="E673" s="18" t="str">
        <f>"2022015531"</f>
        <v>2022015531</v>
      </c>
      <c r="F673" s="18">
        <v>50.8</v>
      </c>
      <c r="G673" s="18">
        <v>31</v>
      </c>
      <c r="H673" s="18"/>
      <c r="I673" s="18" t="s">
        <v>12</v>
      </c>
    </row>
    <row r="674" s="1" customFormat="1" customHeight="1" spans="1:9">
      <c r="A674" s="18" t="str">
        <f t="shared" si="102"/>
        <v>B11G</v>
      </c>
      <c r="B674" s="19" t="s">
        <v>39</v>
      </c>
      <c r="C674" s="18" t="str">
        <f>"杨丽伟"</f>
        <v>杨丽伟</v>
      </c>
      <c r="D674" s="18" t="str">
        <f>"男"</f>
        <v>男</v>
      </c>
      <c r="E674" s="18" t="str">
        <f>"2022015621"</f>
        <v>2022015621</v>
      </c>
      <c r="F674" s="22">
        <v>50.4</v>
      </c>
      <c r="G674" s="22">
        <v>32</v>
      </c>
      <c r="H674" s="23"/>
      <c r="I674" s="18" t="s">
        <v>12</v>
      </c>
    </row>
    <row r="675" s="1" customFormat="1" customHeight="1" spans="1:9">
      <c r="A675" s="18" t="str">
        <f t="shared" si="102"/>
        <v>B11G</v>
      </c>
      <c r="B675" s="19" t="s">
        <v>39</v>
      </c>
      <c r="C675" s="18" t="str">
        <f>"杨心"</f>
        <v>杨心</v>
      </c>
      <c r="D675" s="18" t="str">
        <f t="shared" ref="D675:D680" si="106">"女"</f>
        <v>女</v>
      </c>
      <c r="E675" s="18" t="str">
        <f>"2022015528"</f>
        <v>2022015528</v>
      </c>
      <c r="F675" s="24">
        <v>50.1</v>
      </c>
      <c r="G675" s="18">
        <v>33</v>
      </c>
      <c r="H675" s="18"/>
      <c r="I675" s="18" t="s">
        <v>12</v>
      </c>
    </row>
    <row r="676" s="1" customFormat="1" customHeight="1" spans="1:9">
      <c r="A676" s="18" t="str">
        <f t="shared" si="102"/>
        <v>B11G</v>
      </c>
      <c r="B676" s="19" t="s">
        <v>39</v>
      </c>
      <c r="C676" s="18" t="str">
        <f>"彭小珊"</f>
        <v>彭小珊</v>
      </c>
      <c r="D676" s="18" t="str">
        <f t="shared" si="106"/>
        <v>女</v>
      </c>
      <c r="E676" s="18" t="str">
        <f>"2022015606"</f>
        <v>2022015606</v>
      </c>
      <c r="F676" s="24">
        <v>49.6</v>
      </c>
      <c r="G676" s="22">
        <v>34</v>
      </c>
      <c r="H676" s="18"/>
      <c r="I676" s="18" t="s">
        <v>12</v>
      </c>
    </row>
    <row r="677" s="1" customFormat="1" customHeight="1" spans="1:9">
      <c r="A677" s="18" t="str">
        <f t="shared" si="102"/>
        <v>B11G</v>
      </c>
      <c r="B677" s="19" t="s">
        <v>39</v>
      </c>
      <c r="C677" s="18" t="str">
        <f>"毛雅欣"</f>
        <v>毛雅欣</v>
      </c>
      <c r="D677" s="18" t="str">
        <f t="shared" si="106"/>
        <v>女</v>
      </c>
      <c r="E677" s="18" t="str">
        <f>"2022015607"</f>
        <v>2022015607</v>
      </c>
      <c r="F677" s="24">
        <v>48.7</v>
      </c>
      <c r="G677" s="18">
        <v>35</v>
      </c>
      <c r="H677" s="18"/>
      <c r="I677" s="18" t="s">
        <v>12</v>
      </c>
    </row>
    <row r="678" s="1" customFormat="1" customHeight="1" spans="1:9">
      <c r="A678" s="18" t="str">
        <f t="shared" si="102"/>
        <v>B11G</v>
      </c>
      <c r="B678" s="19" t="s">
        <v>39</v>
      </c>
      <c r="C678" s="18" t="str">
        <f>"戴瑶"</f>
        <v>戴瑶</v>
      </c>
      <c r="D678" s="18" t="str">
        <f t="shared" si="106"/>
        <v>女</v>
      </c>
      <c r="E678" s="18" t="str">
        <f>"2022015701"</f>
        <v>2022015701</v>
      </c>
      <c r="F678" s="25">
        <v>43.9</v>
      </c>
      <c r="G678" s="22">
        <v>36</v>
      </c>
      <c r="H678" s="26"/>
      <c r="I678" s="18" t="s">
        <v>12</v>
      </c>
    </row>
    <row r="679" s="1" customFormat="1" customHeight="1" spans="1:9">
      <c r="A679" s="18" t="str">
        <f t="shared" si="102"/>
        <v>B11G</v>
      </c>
      <c r="B679" s="19" t="s">
        <v>39</v>
      </c>
      <c r="C679" s="18" t="str">
        <f>"刘玮"</f>
        <v>刘玮</v>
      </c>
      <c r="D679" s="18" t="str">
        <f t="shared" si="106"/>
        <v>女</v>
      </c>
      <c r="E679" s="18" t="str">
        <f>"2022015603"</f>
        <v>2022015603</v>
      </c>
      <c r="F679" s="18">
        <v>41.5</v>
      </c>
      <c r="G679" s="18">
        <v>37</v>
      </c>
      <c r="H679" s="18"/>
      <c r="I679" s="18" t="s">
        <v>12</v>
      </c>
    </row>
    <row r="680" s="1" customFormat="1" customHeight="1" spans="1:9">
      <c r="A680" s="18" t="str">
        <f t="shared" si="102"/>
        <v>B11G</v>
      </c>
      <c r="B680" s="19" t="s">
        <v>39</v>
      </c>
      <c r="C680" s="18" t="str">
        <f>"杨甜"</f>
        <v>杨甜</v>
      </c>
      <c r="D680" s="18" t="str">
        <f t="shared" si="106"/>
        <v>女</v>
      </c>
      <c r="E680" s="18" t="str">
        <f>"2022015616"</f>
        <v>2022015616</v>
      </c>
      <c r="F680" s="18">
        <v>34.6</v>
      </c>
      <c r="G680" s="22">
        <v>38</v>
      </c>
      <c r="H680" s="18"/>
      <c r="I680" s="18" t="s">
        <v>12</v>
      </c>
    </row>
    <row r="681" s="1" customFormat="1" customHeight="1" spans="1:9">
      <c r="A681" s="18" t="str">
        <f t="shared" si="102"/>
        <v>B11G</v>
      </c>
      <c r="B681" s="19" t="s">
        <v>39</v>
      </c>
      <c r="C681" s="18" t="str">
        <f>"段帅"</f>
        <v>段帅</v>
      </c>
      <c r="D681" s="18" t="str">
        <f>"男"</f>
        <v>男</v>
      </c>
      <c r="E681" s="18" t="str">
        <f>"2022015520"</f>
        <v>2022015520</v>
      </c>
      <c r="F681" s="20">
        <v>0</v>
      </c>
      <c r="G681" s="18">
        <v>39</v>
      </c>
      <c r="H681" s="21" t="s">
        <v>13</v>
      </c>
      <c r="I681" s="18" t="s">
        <v>12</v>
      </c>
    </row>
    <row r="682" s="1" customFormat="1" customHeight="1" spans="1:9">
      <c r="A682" s="18" t="str">
        <f t="shared" si="102"/>
        <v>B11G</v>
      </c>
      <c r="B682" s="19" t="s">
        <v>39</v>
      </c>
      <c r="C682" s="18" t="str">
        <f>"仇博"</f>
        <v>仇博</v>
      </c>
      <c r="D682" s="18" t="str">
        <f>"男"</f>
        <v>男</v>
      </c>
      <c r="E682" s="18" t="str">
        <f>"2022015530"</f>
        <v>2022015530</v>
      </c>
      <c r="F682" s="18">
        <v>0</v>
      </c>
      <c r="G682" s="22">
        <v>39</v>
      </c>
      <c r="H682" s="18" t="s">
        <v>13</v>
      </c>
      <c r="I682" s="18" t="s">
        <v>12</v>
      </c>
    </row>
    <row r="683" s="1" customFormat="1" customHeight="1" spans="1:9">
      <c r="A683" s="18" t="str">
        <f t="shared" si="102"/>
        <v>B11G</v>
      </c>
      <c r="B683" s="19" t="s">
        <v>39</v>
      </c>
      <c r="C683" s="18" t="str">
        <f>"金瑞"</f>
        <v>金瑞</v>
      </c>
      <c r="D683" s="18" t="str">
        <f t="shared" ref="D683:D690" si="107">"女"</f>
        <v>女</v>
      </c>
      <c r="E683" s="18" t="str">
        <f>"2022015611"</f>
        <v>2022015611</v>
      </c>
      <c r="F683" s="22">
        <v>0</v>
      </c>
      <c r="G683" s="18">
        <v>39</v>
      </c>
      <c r="H683" s="23" t="s">
        <v>13</v>
      </c>
      <c r="I683" s="18" t="s">
        <v>12</v>
      </c>
    </row>
    <row r="684" s="1" customFormat="1" customHeight="1" spans="1:9">
      <c r="A684" s="18" t="str">
        <f t="shared" si="102"/>
        <v>B11G</v>
      </c>
      <c r="B684" s="19" t="s">
        <v>39</v>
      </c>
      <c r="C684" s="18" t="str">
        <f>"黄颖"</f>
        <v>黄颖</v>
      </c>
      <c r="D684" s="18" t="str">
        <f t="shared" si="107"/>
        <v>女</v>
      </c>
      <c r="E684" s="18" t="str">
        <f>"2022015619"</f>
        <v>2022015619</v>
      </c>
      <c r="F684" s="24">
        <v>0</v>
      </c>
      <c r="G684" s="22">
        <v>39</v>
      </c>
      <c r="H684" s="18" t="s">
        <v>13</v>
      </c>
      <c r="I684" s="18" t="s">
        <v>12</v>
      </c>
    </row>
    <row r="685" s="1" customFormat="1" customHeight="1" spans="1:9">
      <c r="A685" s="18" t="str">
        <f t="shared" si="102"/>
        <v>B11G</v>
      </c>
      <c r="B685" s="19" t="s">
        <v>39</v>
      </c>
      <c r="C685" s="18" t="str">
        <f>"范梦颖"</f>
        <v>范梦颖</v>
      </c>
      <c r="D685" s="18" t="str">
        <f t="shared" si="107"/>
        <v>女</v>
      </c>
      <c r="E685" s="18" t="str">
        <f>"2022015625"</f>
        <v>2022015625</v>
      </c>
      <c r="F685" s="24">
        <v>0</v>
      </c>
      <c r="G685" s="18">
        <v>39</v>
      </c>
      <c r="H685" s="18" t="s">
        <v>13</v>
      </c>
      <c r="I685" s="18" t="s">
        <v>12</v>
      </c>
    </row>
    <row r="686" s="1" customFormat="1" customHeight="1" spans="1:9">
      <c r="A686" s="18" t="str">
        <f t="shared" si="102"/>
        <v>B11G</v>
      </c>
      <c r="B686" s="19" t="s">
        <v>39</v>
      </c>
      <c r="C686" s="18" t="str">
        <f>"段敏娜"</f>
        <v>段敏娜</v>
      </c>
      <c r="D686" s="18" t="str">
        <f t="shared" si="107"/>
        <v>女</v>
      </c>
      <c r="E686" s="18" t="str">
        <f>"2022015626"</f>
        <v>2022015626</v>
      </c>
      <c r="F686" s="24">
        <v>0</v>
      </c>
      <c r="G686" s="22">
        <v>39</v>
      </c>
      <c r="H686" s="18" t="s">
        <v>13</v>
      </c>
      <c r="I686" s="18" t="s">
        <v>12</v>
      </c>
    </row>
    <row r="687" s="1" customFormat="1" customHeight="1" spans="1:9">
      <c r="A687" s="18" t="str">
        <f t="shared" si="102"/>
        <v>B11G</v>
      </c>
      <c r="B687" s="19" t="s">
        <v>39</v>
      </c>
      <c r="C687" s="18" t="str">
        <f>"曾惠涔"</f>
        <v>曾惠涔</v>
      </c>
      <c r="D687" s="18" t="str">
        <f t="shared" si="107"/>
        <v>女</v>
      </c>
      <c r="E687" s="18" t="str">
        <f>"2022015628"</f>
        <v>2022015628</v>
      </c>
      <c r="F687" s="25">
        <v>0</v>
      </c>
      <c r="G687" s="18">
        <v>39</v>
      </c>
      <c r="H687" s="26" t="s">
        <v>13</v>
      </c>
      <c r="I687" s="18" t="s">
        <v>12</v>
      </c>
    </row>
    <row r="688" s="1" customFormat="1" customHeight="1" spans="1:9">
      <c r="A688" s="18" t="str">
        <f t="shared" si="102"/>
        <v>B11G</v>
      </c>
      <c r="B688" s="19" t="s">
        <v>39</v>
      </c>
      <c r="C688" s="18" t="str">
        <f>"王璇"</f>
        <v>王璇</v>
      </c>
      <c r="D688" s="18" t="str">
        <f t="shared" si="107"/>
        <v>女</v>
      </c>
      <c r="E688" s="18" t="str">
        <f>"2022015703"</f>
        <v>2022015703</v>
      </c>
      <c r="F688" s="18">
        <v>0</v>
      </c>
      <c r="G688" s="22">
        <v>39</v>
      </c>
      <c r="H688" s="18" t="s">
        <v>13</v>
      </c>
      <c r="I688" s="18" t="s">
        <v>12</v>
      </c>
    </row>
    <row r="689" s="1" customFormat="1" customHeight="1" spans="1:9">
      <c r="A689" s="18" t="str">
        <f t="shared" si="102"/>
        <v>B11G</v>
      </c>
      <c r="B689" s="19" t="s">
        <v>39</v>
      </c>
      <c r="C689" s="18" t="str">
        <f>"龙旋"</f>
        <v>龙旋</v>
      </c>
      <c r="D689" s="18" t="str">
        <f t="shared" si="107"/>
        <v>女</v>
      </c>
      <c r="E689" s="18" t="str">
        <f>"2022015704"</f>
        <v>2022015704</v>
      </c>
      <c r="F689" s="18">
        <v>0</v>
      </c>
      <c r="G689" s="18">
        <v>39</v>
      </c>
      <c r="H689" s="18" t="s">
        <v>13</v>
      </c>
      <c r="I689" s="18" t="s">
        <v>12</v>
      </c>
    </row>
    <row r="690" s="1" customFormat="1" customHeight="1" spans="1:9">
      <c r="A690" s="18" t="str">
        <f t="shared" si="102"/>
        <v>B11G</v>
      </c>
      <c r="B690" s="19" t="s">
        <v>39</v>
      </c>
      <c r="C690" s="18" t="str">
        <f>"阳晶"</f>
        <v>阳晶</v>
      </c>
      <c r="D690" s="18" t="str">
        <f t="shared" si="107"/>
        <v>女</v>
      </c>
      <c r="E690" s="18" t="str">
        <f>"2022015705"</f>
        <v>2022015705</v>
      </c>
      <c r="F690" s="18">
        <v>0</v>
      </c>
      <c r="G690" s="22">
        <v>39</v>
      </c>
      <c r="H690" s="18" t="s">
        <v>13</v>
      </c>
      <c r="I690" s="18" t="s">
        <v>12</v>
      </c>
    </row>
    <row r="691" s="1" customFormat="1" customHeight="1" spans="1:9">
      <c r="A691" s="18" t="str">
        <f t="shared" ref="A691:A701" si="108">"B12F"</f>
        <v>B12F</v>
      </c>
      <c r="B691" s="19" t="s">
        <v>40</v>
      </c>
      <c r="C691" s="18" t="str">
        <f>"李维"</f>
        <v>李维</v>
      </c>
      <c r="D691" s="18" t="str">
        <f t="shared" ref="D691:D713" si="109">"男"</f>
        <v>男</v>
      </c>
      <c r="E691" s="18" t="str">
        <f>"2022014923"</f>
        <v>2022014923</v>
      </c>
      <c r="F691" s="18">
        <v>84.2</v>
      </c>
      <c r="G691" s="18">
        <v>1</v>
      </c>
      <c r="H691" s="18"/>
      <c r="I691" s="28" t="s">
        <v>11</v>
      </c>
    </row>
    <row r="692" s="1" customFormat="1" customHeight="1" spans="1:9">
      <c r="A692" s="18" t="str">
        <f t="shared" si="108"/>
        <v>B12F</v>
      </c>
      <c r="B692" s="19" t="s">
        <v>40</v>
      </c>
      <c r="C692" s="18" t="str">
        <f>"申巧鹏"</f>
        <v>申巧鹏</v>
      </c>
      <c r="D692" s="18" t="str">
        <f t="shared" si="109"/>
        <v>男</v>
      </c>
      <c r="E692" s="18" t="str">
        <f>"2022014928"</f>
        <v>2022014928</v>
      </c>
      <c r="F692" s="18">
        <v>69.2</v>
      </c>
      <c r="G692" s="18">
        <v>2</v>
      </c>
      <c r="H692" s="18"/>
      <c r="I692" s="28" t="s">
        <v>11</v>
      </c>
    </row>
    <row r="693" s="1" customFormat="1" customHeight="1" spans="1:9">
      <c r="A693" s="18" t="str">
        <f t="shared" si="108"/>
        <v>B12F</v>
      </c>
      <c r="B693" s="19" t="s">
        <v>40</v>
      </c>
      <c r="C693" s="18" t="str">
        <f>"阳成"</f>
        <v>阳成</v>
      </c>
      <c r="D693" s="18" t="str">
        <f t="shared" si="109"/>
        <v>男</v>
      </c>
      <c r="E693" s="18" t="str">
        <f>"2022014927"</f>
        <v>2022014927</v>
      </c>
      <c r="F693" s="18">
        <v>67.6</v>
      </c>
      <c r="G693" s="18">
        <v>3</v>
      </c>
      <c r="H693" s="18"/>
      <c r="I693" s="18" t="s">
        <v>12</v>
      </c>
    </row>
    <row r="694" s="1" customFormat="1" customHeight="1" spans="1:9">
      <c r="A694" s="18" t="str">
        <f t="shared" si="108"/>
        <v>B12F</v>
      </c>
      <c r="B694" s="19" t="s">
        <v>40</v>
      </c>
      <c r="C694" s="18" t="str">
        <f>"徐甲勇"</f>
        <v>徐甲勇</v>
      </c>
      <c r="D694" s="18" t="str">
        <f t="shared" si="109"/>
        <v>男</v>
      </c>
      <c r="E694" s="18" t="str">
        <f>"2022014925"</f>
        <v>2022014925</v>
      </c>
      <c r="F694" s="18">
        <v>57.9</v>
      </c>
      <c r="G694" s="18">
        <v>4</v>
      </c>
      <c r="H694" s="18"/>
      <c r="I694" s="18" t="s">
        <v>12</v>
      </c>
    </row>
    <row r="695" s="1" customFormat="1" customHeight="1" spans="1:9">
      <c r="A695" s="18" t="str">
        <f t="shared" si="108"/>
        <v>B12F</v>
      </c>
      <c r="B695" s="19" t="s">
        <v>40</v>
      </c>
      <c r="C695" s="18" t="str">
        <f>"李益波"</f>
        <v>李益波</v>
      </c>
      <c r="D695" s="18" t="str">
        <f t="shared" si="109"/>
        <v>男</v>
      </c>
      <c r="E695" s="18" t="str">
        <f>"2022014924"</f>
        <v>2022014924</v>
      </c>
      <c r="F695" s="18">
        <v>56.5</v>
      </c>
      <c r="G695" s="18">
        <v>5</v>
      </c>
      <c r="H695" s="18"/>
      <c r="I695" s="18" t="s">
        <v>12</v>
      </c>
    </row>
    <row r="696" s="1" customFormat="1" customHeight="1" spans="1:9">
      <c r="A696" s="18" t="str">
        <f t="shared" si="108"/>
        <v>B12F</v>
      </c>
      <c r="B696" s="19" t="s">
        <v>40</v>
      </c>
      <c r="C696" s="18" t="str">
        <f>"刘其林"</f>
        <v>刘其林</v>
      </c>
      <c r="D696" s="18" t="str">
        <f t="shared" si="109"/>
        <v>男</v>
      </c>
      <c r="E696" s="18" t="str">
        <f>"2022014930"</f>
        <v>2022014930</v>
      </c>
      <c r="F696" s="18">
        <v>54.7</v>
      </c>
      <c r="G696" s="18">
        <v>6</v>
      </c>
      <c r="H696" s="18"/>
      <c r="I696" s="18" t="s">
        <v>12</v>
      </c>
    </row>
    <row r="697" s="1" customFormat="1" customHeight="1" spans="1:9">
      <c r="A697" s="18" t="str">
        <f t="shared" si="108"/>
        <v>B12F</v>
      </c>
      <c r="B697" s="19" t="s">
        <v>40</v>
      </c>
      <c r="C697" s="18" t="str">
        <f>"唐道幸"</f>
        <v>唐道幸</v>
      </c>
      <c r="D697" s="18" t="str">
        <f t="shared" si="109"/>
        <v>男</v>
      </c>
      <c r="E697" s="18" t="str">
        <f>"2022014926"</f>
        <v>2022014926</v>
      </c>
      <c r="F697" s="18">
        <v>53.5</v>
      </c>
      <c r="G697" s="18">
        <v>7</v>
      </c>
      <c r="H697" s="18"/>
      <c r="I697" s="18" t="s">
        <v>12</v>
      </c>
    </row>
    <row r="698" s="1" customFormat="1" customHeight="1" spans="1:9">
      <c r="A698" s="18" t="str">
        <f t="shared" si="108"/>
        <v>B12F</v>
      </c>
      <c r="B698" s="19" t="s">
        <v>40</v>
      </c>
      <c r="C698" s="18" t="str">
        <f>"刘乾武"</f>
        <v>刘乾武</v>
      </c>
      <c r="D698" s="18" t="str">
        <f t="shared" si="109"/>
        <v>男</v>
      </c>
      <c r="E698" s="18" t="str">
        <f>"2022014920"</f>
        <v>2022014920</v>
      </c>
      <c r="F698" s="18">
        <v>50.2</v>
      </c>
      <c r="G698" s="18">
        <v>8</v>
      </c>
      <c r="H698" s="18"/>
      <c r="I698" s="18" t="s">
        <v>12</v>
      </c>
    </row>
    <row r="699" s="1" customFormat="1" customHeight="1" spans="1:9">
      <c r="A699" s="18" t="str">
        <f t="shared" si="108"/>
        <v>B12F</v>
      </c>
      <c r="B699" s="19" t="s">
        <v>40</v>
      </c>
      <c r="C699" s="18" t="str">
        <f>"袁佰发"</f>
        <v>袁佰发</v>
      </c>
      <c r="D699" s="18" t="str">
        <f t="shared" si="109"/>
        <v>男</v>
      </c>
      <c r="E699" s="18" t="str">
        <f>"2022014929"</f>
        <v>2022014929</v>
      </c>
      <c r="F699" s="18">
        <v>49.2</v>
      </c>
      <c r="G699" s="18">
        <v>9</v>
      </c>
      <c r="H699" s="18"/>
      <c r="I699" s="18" t="s">
        <v>12</v>
      </c>
    </row>
    <row r="700" s="1" customFormat="1" customHeight="1" spans="1:9">
      <c r="A700" s="18" t="str">
        <f t="shared" si="108"/>
        <v>B12F</v>
      </c>
      <c r="B700" s="19" t="s">
        <v>40</v>
      </c>
      <c r="C700" s="18" t="str">
        <f>"陈志杰"</f>
        <v>陈志杰</v>
      </c>
      <c r="D700" s="18" t="str">
        <f t="shared" si="109"/>
        <v>男</v>
      </c>
      <c r="E700" s="18" t="str">
        <f>"2022014921"</f>
        <v>2022014921</v>
      </c>
      <c r="F700" s="18">
        <v>0</v>
      </c>
      <c r="G700" s="18">
        <v>10</v>
      </c>
      <c r="H700" s="18" t="s">
        <v>13</v>
      </c>
      <c r="I700" s="18" t="s">
        <v>12</v>
      </c>
    </row>
    <row r="701" s="1" customFormat="1" customHeight="1" spans="1:9">
      <c r="A701" s="18" t="str">
        <f t="shared" si="108"/>
        <v>B12F</v>
      </c>
      <c r="B701" s="19" t="s">
        <v>40</v>
      </c>
      <c r="C701" s="18" t="str">
        <f>"周学锋"</f>
        <v>周学锋</v>
      </c>
      <c r="D701" s="18" t="str">
        <f t="shared" si="109"/>
        <v>男</v>
      </c>
      <c r="E701" s="18" t="str">
        <f>"2022014922"</f>
        <v>2022014922</v>
      </c>
      <c r="F701" s="18">
        <v>0</v>
      </c>
      <c r="G701" s="18">
        <v>10</v>
      </c>
      <c r="H701" s="18" t="s">
        <v>13</v>
      </c>
      <c r="I701" s="18" t="s">
        <v>12</v>
      </c>
    </row>
    <row r="702" s="1" customFormat="1" customHeight="1" spans="1:9">
      <c r="A702" s="18" t="str">
        <f t="shared" ref="A702:A713" si="110">"B12G"</f>
        <v>B12G</v>
      </c>
      <c r="B702" s="19" t="s">
        <v>41</v>
      </c>
      <c r="C702" s="18" t="str">
        <f>"李成"</f>
        <v>李成</v>
      </c>
      <c r="D702" s="18" t="str">
        <f t="shared" si="109"/>
        <v>男</v>
      </c>
      <c r="E702" s="18" t="str">
        <f>"2022016003"</f>
        <v>2022016003</v>
      </c>
      <c r="F702" s="18">
        <v>77.7</v>
      </c>
      <c r="G702" s="18">
        <v>1</v>
      </c>
      <c r="H702" s="18"/>
      <c r="I702" s="28" t="s">
        <v>11</v>
      </c>
    </row>
    <row r="703" s="1" customFormat="1" customHeight="1" spans="1:9">
      <c r="A703" s="18" t="str">
        <f t="shared" si="110"/>
        <v>B12G</v>
      </c>
      <c r="B703" s="19" t="s">
        <v>41</v>
      </c>
      <c r="C703" s="18" t="str">
        <f>"陈旭鹏"</f>
        <v>陈旭鹏</v>
      </c>
      <c r="D703" s="18" t="str">
        <f t="shared" si="109"/>
        <v>男</v>
      </c>
      <c r="E703" s="18" t="str">
        <f>"2022016007"</f>
        <v>2022016007</v>
      </c>
      <c r="F703" s="18">
        <v>74.1</v>
      </c>
      <c r="G703" s="18">
        <v>2</v>
      </c>
      <c r="H703" s="18"/>
      <c r="I703" s="28" t="s">
        <v>11</v>
      </c>
    </row>
    <row r="704" s="1" customFormat="1" customHeight="1" spans="1:9">
      <c r="A704" s="18" t="str">
        <f t="shared" si="110"/>
        <v>B12G</v>
      </c>
      <c r="B704" s="19" t="s">
        <v>41</v>
      </c>
      <c r="C704" s="18" t="str">
        <f>"曹镱鹏"</f>
        <v>曹镱鹏</v>
      </c>
      <c r="D704" s="18" t="str">
        <f t="shared" si="109"/>
        <v>男</v>
      </c>
      <c r="E704" s="18" t="str">
        <f>"2022016002"</f>
        <v>2022016002</v>
      </c>
      <c r="F704" s="18">
        <v>73.3</v>
      </c>
      <c r="G704" s="18">
        <v>3</v>
      </c>
      <c r="H704" s="18"/>
      <c r="I704" s="28" t="s">
        <v>11</v>
      </c>
    </row>
    <row r="705" s="1" customFormat="1" customHeight="1" spans="1:9">
      <c r="A705" s="18" t="str">
        <f t="shared" si="110"/>
        <v>B12G</v>
      </c>
      <c r="B705" s="19" t="s">
        <v>41</v>
      </c>
      <c r="C705" s="18" t="str">
        <f>"张弘贵"</f>
        <v>张弘贵</v>
      </c>
      <c r="D705" s="18" t="str">
        <f t="shared" si="109"/>
        <v>男</v>
      </c>
      <c r="E705" s="18" t="str">
        <f>"2022016004"</f>
        <v>2022016004</v>
      </c>
      <c r="F705" s="18">
        <v>70.4</v>
      </c>
      <c r="G705" s="18">
        <v>4</v>
      </c>
      <c r="H705" s="18"/>
      <c r="I705" s="28" t="s">
        <v>11</v>
      </c>
    </row>
    <row r="706" s="1" customFormat="1" customHeight="1" spans="1:9">
      <c r="A706" s="18" t="str">
        <f t="shared" si="110"/>
        <v>B12G</v>
      </c>
      <c r="B706" s="19" t="s">
        <v>41</v>
      </c>
      <c r="C706" s="18" t="str">
        <f>"瞿冠学"</f>
        <v>瞿冠学</v>
      </c>
      <c r="D706" s="18" t="str">
        <f t="shared" si="109"/>
        <v>男</v>
      </c>
      <c r="E706" s="18" t="str">
        <f>"2022016011"</f>
        <v>2022016011</v>
      </c>
      <c r="F706" s="18">
        <v>55.4</v>
      </c>
      <c r="G706" s="18">
        <v>5</v>
      </c>
      <c r="H706" s="18"/>
      <c r="I706" s="18" t="s">
        <v>12</v>
      </c>
    </row>
    <row r="707" s="1" customFormat="1" customHeight="1" spans="1:9">
      <c r="A707" s="18" t="str">
        <f t="shared" si="110"/>
        <v>B12G</v>
      </c>
      <c r="B707" s="19" t="s">
        <v>41</v>
      </c>
      <c r="C707" s="18" t="str">
        <f>"张佳健"</f>
        <v>张佳健</v>
      </c>
      <c r="D707" s="18" t="str">
        <f t="shared" si="109"/>
        <v>男</v>
      </c>
      <c r="E707" s="18" t="str">
        <f>"2022016001"</f>
        <v>2022016001</v>
      </c>
      <c r="F707" s="18">
        <v>50.9</v>
      </c>
      <c r="G707" s="18">
        <v>6</v>
      </c>
      <c r="H707" s="18"/>
      <c r="I707" s="18" t="s">
        <v>12</v>
      </c>
    </row>
    <row r="708" s="1" customFormat="1" customHeight="1" spans="1:9">
      <c r="A708" s="18" t="str">
        <f t="shared" si="110"/>
        <v>B12G</v>
      </c>
      <c r="B708" s="19" t="s">
        <v>41</v>
      </c>
      <c r="C708" s="18" t="str">
        <f>"银浩明"</f>
        <v>银浩明</v>
      </c>
      <c r="D708" s="18" t="str">
        <f t="shared" si="109"/>
        <v>男</v>
      </c>
      <c r="E708" s="18" t="str">
        <f>"2022016005"</f>
        <v>2022016005</v>
      </c>
      <c r="F708" s="18">
        <v>47.3</v>
      </c>
      <c r="G708" s="18">
        <v>7</v>
      </c>
      <c r="H708" s="18"/>
      <c r="I708" s="18" t="s">
        <v>12</v>
      </c>
    </row>
    <row r="709" s="1" customFormat="1" customHeight="1" spans="1:9">
      <c r="A709" s="18" t="str">
        <f t="shared" si="110"/>
        <v>B12G</v>
      </c>
      <c r="B709" s="19" t="s">
        <v>41</v>
      </c>
      <c r="C709" s="18" t="str">
        <f>"黄生成"</f>
        <v>黄生成</v>
      </c>
      <c r="D709" s="18" t="str">
        <f t="shared" si="109"/>
        <v>男</v>
      </c>
      <c r="E709" s="18" t="str">
        <f>"2022016010"</f>
        <v>2022016010</v>
      </c>
      <c r="F709" s="18">
        <v>44.7</v>
      </c>
      <c r="G709" s="18">
        <v>8</v>
      </c>
      <c r="H709" s="18"/>
      <c r="I709" s="18" t="s">
        <v>12</v>
      </c>
    </row>
    <row r="710" s="1" customFormat="1" customHeight="1" spans="1:9">
      <c r="A710" s="18" t="str">
        <f t="shared" si="110"/>
        <v>B12G</v>
      </c>
      <c r="B710" s="19" t="s">
        <v>41</v>
      </c>
      <c r="C710" s="18" t="str">
        <f>"周梓梁"</f>
        <v>周梓梁</v>
      </c>
      <c r="D710" s="18" t="str">
        <f t="shared" si="109"/>
        <v>男</v>
      </c>
      <c r="E710" s="18" t="str">
        <f>"2022016008"</f>
        <v>2022016008</v>
      </c>
      <c r="F710" s="18">
        <v>40.9</v>
      </c>
      <c r="G710" s="18">
        <v>9</v>
      </c>
      <c r="H710" s="18"/>
      <c r="I710" s="18" t="s">
        <v>12</v>
      </c>
    </row>
    <row r="711" s="1" customFormat="1" customHeight="1" spans="1:9">
      <c r="A711" s="18" t="str">
        <f t="shared" si="110"/>
        <v>B12G</v>
      </c>
      <c r="B711" s="19" t="s">
        <v>41</v>
      </c>
      <c r="C711" s="18" t="str">
        <f>"黎室佐"</f>
        <v>黎室佐</v>
      </c>
      <c r="D711" s="18" t="str">
        <f t="shared" si="109"/>
        <v>男</v>
      </c>
      <c r="E711" s="18" t="str">
        <f>"2022016006"</f>
        <v>2022016006</v>
      </c>
      <c r="F711" s="18">
        <v>0</v>
      </c>
      <c r="G711" s="18">
        <v>10</v>
      </c>
      <c r="H711" s="18" t="s">
        <v>13</v>
      </c>
      <c r="I711" s="18" t="s">
        <v>12</v>
      </c>
    </row>
    <row r="712" s="1" customFormat="1" customHeight="1" spans="1:9">
      <c r="A712" s="18" t="str">
        <f t="shared" si="110"/>
        <v>B12G</v>
      </c>
      <c r="B712" s="19" t="s">
        <v>41</v>
      </c>
      <c r="C712" s="18" t="str">
        <f>"高千喜"</f>
        <v>高千喜</v>
      </c>
      <c r="D712" s="18" t="str">
        <f t="shared" si="109"/>
        <v>男</v>
      </c>
      <c r="E712" s="18" t="str">
        <f>"2022016009"</f>
        <v>2022016009</v>
      </c>
      <c r="F712" s="18">
        <v>0</v>
      </c>
      <c r="G712" s="18">
        <v>10</v>
      </c>
      <c r="H712" s="18" t="s">
        <v>13</v>
      </c>
      <c r="I712" s="18" t="s">
        <v>12</v>
      </c>
    </row>
    <row r="713" s="1" customFormat="1" customHeight="1" spans="1:9">
      <c r="A713" s="18" t="str">
        <f t="shared" si="110"/>
        <v>B12G</v>
      </c>
      <c r="B713" s="19" t="s">
        <v>41</v>
      </c>
      <c r="C713" s="18" t="str">
        <f>"蔡健华"</f>
        <v>蔡健华</v>
      </c>
      <c r="D713" s="18" t="str">
        <f t="shared" si="109"/>
        <v>男</v>
      </c>
      <c r="E713" s="18" t="str">
        <f>"2022016012"</f>
        <v>2022016012</v>
      </c>
      <c r="F713" s="18">
        <v>0</v>
      </c>
      <c r="G713" s="18">
        <v>10</v>
      </c>
      <c r="H713" s="18" t="s">
        <v>13</v>
      </c>
      <c r="I713" s="18" t="s">
        <v>12</v>
      </c>
    </row>
    <row r="714" s="1" customFormat="1" customHeight="1" spans="1:9">
      <c r="A714" s="18" t="str">
        <f t="shared" ref="A714:A730" si="111">"B13F"</f>
        <v>B13F</v>
      </c>
      <c r="B714" s="19" t="s">
        <v>42</v>
      </c>
      <c r="C714" s="18" t="str">
        <f>"邓丽芬"</f>
        <v>邓丽芬</v>
      </c>
      <c r="D714" s="18" t="str">
        <f t="shared" ref="D714:D747" si="112">"女"</f>
        <v>女</v>
      </c>
      <c r="E714" s="18" t="str">
        <f>"2022016023"</f>
        <v>2022016023</v>
      </c>
      <c r="F714" s="18">
        <v>79.9</v>
      </c>
      <c r="G714" s="18">
        <v>1</v>
      </c>
      <c r="H714" s="18"/>
      <c r="I714" s="28" t="s">
        <v>11</v>
      </c>
    </row>
    <row r="715" s="1" customFormat="1" customHeight="1" spans="1:9">
      <c r="A715" s="18" t="str">
        <f t="shared" si="111"/>
        <v>B13F</v>
      </c>
      <c r="B715" s="19" t="s">
        <v>42</v>
      </c>
      <c r="C715" s="18" t="str">
        <f>"成诗思"</f>
        <v>成诗思</v>
      </c>
      <c r="D715" s="18" t="str">
        <f t="shared" si="112"/>
        <v>女</v>
      </c>
      <c r="E715" s="18" t="str">
        <f>"2022016021"</f>
        <v>2022016021</v>
      </c>
      <c r="F715" s="18">
        <v>78</v>
      </c>
      <c r="G715" s="18">
        <v>2</v>
      </c>
      <c r="H715" s="18"/>
      <c r="I715" s="28" t="s">
        <v>11</v>
      </c>
    </row>
    <row r="716" s="1" customFormat="1" customHeight="1" spans="1:9">
      <c r="A716" s="18" t="str">
        <f t="shared" si="111"/>
        <v>B13F</v>
      </c>
      <c r="B716" s="19" t="s">
        <v>42</v>
      </c>
      <c r="C716" s="18" t="str">
        <f>"李波"</f>
        <v>李波</v>
      </c>
      <c r="D716" s="18" t="str">
        <f t="shared" si="112"/>
        <v>女</v>
      </c>
      <c r="E716" s="18" t="str">
        <f>"2022016028"</f>
        <v>2022016028</v>
      </c>
      <c r="F716" s="18">
        <v>70.5</v>
      </c>
      <c r="G716" s="18">
        <v>3</v>
      </c>
      <c r="H716" s="18"/>
      <c r="I716" s="18" t="s">
        <v>12</v>
      </c>
    </row>
    <row r="717" s="1" customFormat="1" customHeight="1" spans="1:9">
      <c r="A717" s="18" t="str">
        <f t="shared" si="111"/>
        <v>B13F</v>
      </c>
      <c r="B717" s="19" t="s">
        <v>42</v>
      </c>
      <c r="C717" s="18" t="str">
        <f>"王思惠"</f>
        <v>王思惠</v>
      </c>
      <c r="D717" s="18" t="str">
        <f t="shared" si="112"/>
        <v>女</v>
      </c>
      <c r="E717" s="18" t="str">
        <f>"2022016029"</f>
        <v>2022016029</v>
      </c>
      <c r="F717" s="18">
        <v>64.1</v>
      </c>
      <c r="G717" s="18">
        <v>4</v>
      </c>
      <c r="H717" s="18"/>
      <c r="I717" s="18" t="s">
        <v>12</v>
      </c>
    </row>
    <row r="718" s="1" customFormat="1" customHeight="1" spans="1:9">
      <c r="A718" s="18" t="str">
        <f t="shared" si="111"/>
        <v>B13F</v>
      </c>
      <c r="B718" s="19" t="s">
        <v>42</v>
      </c>
      <c r="C718" s="18" t="str">
        <f>"周红艳"</f>
        <v>周红艳</v>
      </c>
      <c r="D718" s="18" t="str">
        <f t="shared" si="112"/>
        <v>女</v>
      </c>
      <c r="E718" s="18" t="str">
        <f>"2022016025"</f>
        <v>2022016025</v>
      </c>
      <c r="F718" s="18">
        <v>62.2</v>
      </c>
      <c r="G718" s="18">
        <v>5</v>
      </c>
      <c r="H718" s="18"/>
      <c r="I718" s="18" t="s">
        <v>12</v>
      </c>
    </row>
    <row r="719" s="1" customFormat="1" customHeight="1" spans="1:9">
      <c r="A719" s="18" t="str">
        <f t="shared" si="111"/>
        <v>B13F</v>
      </c>
      <c r="B719" s="19" t="s">
        <v>42</v>
      </c>
      <c r="C719" s="18" t="str">
        <f>"荆铭"</f>
        <v>荆铭</v>
      </c>
      <c r="D719" s="18" t="str">
        <f t="shared" si="112"/>
        <v>女</v>
      </c>
      <c r="E719" s="18" t="str">
        <f>"2022016020"</f>
        <v>2022016020</v>
      </c>
      <c r="F719" s="18">
        <v>55.9</v>
      </c>
      <c r="G719" s="18">
        <v>6</v>
      </c>
      <c r="H719" s="18"/>
      <c r="I719" s="18" t="s">
        <v>12</v>
      </c>
    </row>
    <row r="720" s="1" customFormat="1" customHeight="1" spans="1:9">
      <c r="A720" s="18" t="str">
        <f t="shared" si="111"/>
        <v>B13F</v>
      </c>
      <c r="B720" s="19" t="s">
        <v>42</v>
      </c>
      <c r="C720" s="18" t="str">
        <f>"刘洁"</f>
        <v>刘洁</v>
      </c>
      <c r="D720" s="18" t="str">
        <f t="shared" si="112"/>
        <v>女</v>
      </c>
      <c r="E720" s="18" t="str">
        <f>"2022016014"</f>
        <v>2022016014</v>
      </c>
      <c r="F720" s="18">
        <v>51.9</v>
      </c>
      <c r="G720" s="18">
        <v>7</v>
      </c>
      <c r="H720" s="18"/>
      <c r="I720" s="18" t="s">
        <v>12</v>
      </c>
    </row>
    <row r="721" s="1" customFormat="1" customHeight="1" spans="1:9">
      <c r="A721" s="18" t="str">
        <f t="shared" si="111"/>
        <v>B13F</v>
      </c>
      <c r="B721" s="19" t="s">
        <v>42</v>
      </c>
      <c r="C721" s="18" t="str">
        <f>"周孝金"</f>
        <v>周孝金</v>
      </c>
      <c r="D721" s="18" t="str">
        <f t="shared" si="112"/>
        <v>女</v>
      </c>
      <c r="E721" s="18" t="str">
        <f>"2022016017"</f>
        <v>2022016017</v>
      </c>
      <c r="F721" s="18">
        <v>48.1</v>
      </c>
      <c r="G721" s="18">
        <v>8</v>
      </c>
      <c r="H721" s="18"/>
      <c r="I721" s="18" t="s">
        <v>12</v>
      </c>
    </row>
    <row r="722" s="1" customFormat="1" customHeight="1" spans="1:9">
      <c r="A722" s="18" t="str">
        <f t="shared" si="111"/>
        <v>B13F</v>
      </c>
      <c r="B722" s="19" t="s">
        <v>42</v>
      </c>
      <c r="C722" s="18" t="str">
        <f>"易麦"</f>
        <v>易麦</v>
      </c>
      <c r="D722" s="18" t="str">
        <f t="shared" si="112"/>
        <v>女</v>
      </c>
      <c r="E722" s="18" t="str">
        <f>"2022016013"</f>
        <v>2022016013</v>
      </c>
      <c r="F722" s="18">
        <v>44.4</v>
      </c>
      <c r="G722" s="18">
        <v>9</v>
      </c>
      <c r="H722" s="18"/>
      <c r="I722" s="18" t="s">
        <v>12</v>
      </c>
    </row>
    <row r="723" s="1" customFormat="1" customHeight="1" spans="1:9">
      <c r="A723" s="18" t="str">
        <f t="shared" si="111"/>
        <v>B13F</v>
      </c>
      <c r="B723" s="19" t="s">
        <v>42</v>
      </c>
      <c r="C723" s="18" t="str">
        <f>"刘欢欢"</f>
        <v>刘欢欢</v>
      </c>
      <c r="D723" s="18" t="str">
        <f t="shared" si="112"/>
        <v>女</v>
      </c>
      <c r="E723" s="18" t="str">
        <f>"2022016027"</f>
        <v>2022016027</v>
      </c>
      <c r="F723" s="18">
        <v>40.6</v>
      </c>
      <c r="G723" s="18">
        <v>10</v>
      </c>
      <c r="H723" s="18"/>
      <c r="I723" s="18" t="s">
        <v>12</v>
      </c>
    </row>
    <row r="724" s="1" customFormat="1" customHeight="1" spans="1:9">
      <c r="A724" s="18" t="str">
        <f t="shared" si="111"/>
        <v>B13F</v>
      </c>
      <c r="B724" s="19" t="s">
        <v>42</v>
      </c>
      <c r="C724" s="18" t="str">
        <f>"何诗琪"</f>
        <v>何诗琪</v>
      </c>
      <c r="D724" s="18" t="str">
        <f t="shared" si="112"/>
        <v>女</v>
      </c>
      <c r="E724" s="18" t="str">
        <f>"2022016026"</f>
        <v>2022016026</v>
      </c>
      <c r="F724" s="18">
        <v>37.7</v>
      </c>
      <c r="G724" s="18">
        <v>11</v>
      </c>
      <c r="H724" s="18"/>
      <c r="I724" s="18" t="s">
        <v>12</v>
      </c>
    </row>
    <row r="725" s="1" customFormat="1" customHeight="1" spans="1:9">
      <c r="A725" s="18" t="str">
        <f t="shared" si="111"/>
        <v>B13F</v>
      </c>
      <c r="B725" s="19" t="s">
        <v>42</v>
      </c>
      <c r="C725" s="18" t="str">
        <f>"姚礼菲"</f>
        <v>姚礼菲</v>
      </c>
      <c r="D725" s="18" t="str">
        <f t="shared" si="112"/>
        <v>女</v>
      </c>
      <c r="E725" s="18" t="str">
        <f>"2022016015"</f>
        <v>2022016015</v>
      </c>
      <c r="F725" s="18">
        <v>0</v>
      </c>
      <c r="G725" s="18">
        <v>12</v>
      </c>
      <c r="H725" s="18" t="s">
        <v>13</v>
      </c>
      <c r="I725" s="18" t="s">
        <v>12</v>
      </c>
    </row>
    <row r="726" s="1" customFormat="1" customHeight="1" spans="1:9">
      <c r="A726" s="18" t="str">
        <f t="shared" si="111"/>
        <v>B13F</v>
      </c>
      <c r="B726" s="19" t="s">
        <v>42</v>
      </c>
      <c r="C726" s="18" t="str">
        <f>"夏叶青"</f>
        <v>夏叶青</v>
      </c>
      <c r="D726" s="18" t="str">
        <f t="shared" si="112"/>
        <v>女</v>
      </c>
      <c r="E726" s="18" t="str">
        <f>"2022016016"</f>
        <v>2022016016</v>
      </c>
      <c r="F726" s="18">
        <v>0</v>
      </c>
      <c r="G726" s="18">
        <v>12</v>
      </c>
      <c r="H726" s="18" t="s">
        <v>13</v>
      </c>
      <c r="I726" s="18" t="s">
        <v>12</v>
      </c>
    </row>
    <row r="727" s="1" customFormat="1" customHeight="1" spans="1:9">
      <c r="A727" s="18" t="str">
        <f t="shared" si="111"/>
        <v>B13F</v>
      </c>
      <c r="B727" s="19" t="s">
        <v>42</v>
      </c>
      <c r="C727" s="18" t="str">
        <f>"付兰桂"</f>
        <v>付兰桂</v>
      </c>
      <c r="D727" s="18" t="str">
        <f t="shared" si="112"/>
        <v>女</v>
      </c>
      <c r="E727" s="18" t="str">
        <f>"2022016018"</f>
        <v>2022016018</v>
      </c>
      <c r="F727" s="18">
        <v>0</v>
      </c>
      <c r="G727" s="18">
        <v>12</v>
      </c>
      <c r="H727" s="18" t="s">
        <v>13</v>
      </c>
      <c r="I727" s="18" t="s">
        <v>12</v>
      </c>
    </row>
    <row r="728" s="1" customFormat="1" customHeight="1" spans="1:9">
      <c r="A728" s="18" t="str">
        <f t="shared" si="111"/>
        <v>B13F</v>
      </c>
      <c r="B728" s="19" t="s">
        <v>42</v>
      </c>
      <c r="C728" s="18" t="str">
        <f>"贾庆玲"</f>
        <v>贾庆玲</v>
      </c>
      <c r="D728" s="18" t="str">
        <f t="shared" si="112"/>
        <v>女</v>
      </c>
      <c r="E728" s="18" t="str">
        <f>"2022016019"</f>
        <v>2022016019</v>
      </c>
      <c r="F728" s="18">
        <v>0</v>
      </c>
      <c r="G728" s="18">
        <v>12</v>
      </c>
      <c r="H728" s="18" t="s">
        <v>13</v>
      </c>
      <c r="I728" s="18" t="s">
        <v>12</v>
      </c>
    </row>
    <row r="729" s="1" customFormat="1" customHeight="1" spans="1:9">
      <c r="A729" s="18" t="str">
        <f t="shared" si="111"/>
        <v>B13F</v>
      </c>
      <c r="B729" s="19" t="s">
        <v>42</v>
      </c>
      <c r="C729" s="18" t="str">
        <f>"李归"</f>
        <v>李归</v>
      </c>
      <c r="D729" s="18" t="str">
        <f t="shared" si="112"/>
        <v>女</v>
      </c>
      <c r="E729" s="18" t="str">
        <f>"2022016022"</f>
        <v>2022016022</v>
      </c>
      <c r="F729" s="18">
        <v>0</v>
      </c>
      <c r="G729" s="18">
        <v>12</v>
      </c>
      <c r="H729" s="18" t="s">
        <v>13</v>
      </c>
      <c r="I729" s="18" t="s">
        <v>12</v>
      </c>
    </row>
    <row r="730" s="1" customFormat="1" customHeight="1" spans="1:9">
      <c r="A730" s="18" t="str">
        <f t="shared" si="111"/>
        <v>B13F</v>
      </c>
      <c r="B730" s="19" t="s">
        <v>42</v>
      </c>
      <c r="C730" s="18" t="str">
        <f>"罗玲娟"</f>
        <v>罗玲娟</v>
      </c>
      <c r="D730" s="18" t="str">
        <f t="shared" si="112"/>
        <v>女</v>
      </c>
      <c r="E730" s="18" t="str">
        <f>"2022016024"</f>
        <v>2022016024</v>
      </c>
      <c r="F730" s="18">
        <v>0</v>
      </c>
      <c r="G730" s="18">
        <v>12</v>
      </c>
      <c r="H730" s="18" t="s">
        <v>13</v>
      </c>
      <c r="I730" s="18" t="s">
        <v>12</v>
      </c>
    </row>
    <row r="731" s="1" customFormat="1" customHeight="1" spans="1:9">
      <c r="A731" s="18" t="str">
        <f t="shared" ref="A731:A743" si="113">"B13G"</f>
        <v>B13G</v>
      </c>
      <c r="B731" s="19" t="s">
        <v>43</v>
      </c>
      <c r="C731" s="18" t="str">
        <f>"谢宇晴"</f>
        <v>谢宇晴</v>
      </c>
      <c r="D731" s="18" t="str">
        <f t="shared" si="112"/>
        <v>女</v>
      </c>
      <c r="E731" s="18" t="str">
        <f>"2022016107"</f>
        <v>2022016107</v>
      </c>
      <c r="F731" s="24">
        <v>70.7</v>
      </c>
      <c r="G731" s="24">
        <v>1</v>
      </c>
      <c r="H731" s="18"/>
      <c r="I731" s="28" t="s">
        <v>11</v>
      </c>
    </row>
    <row r="732" s="1" customFormat="1" customHeight="1" spans="1:9">
      <c r="A732" s="18" t="str">
        <f t="shared" si="113"/>
        <v>B13G</v>
      </c>
      <c r="B732" s="19" t="s">
        <v>43</v>
      </c>
      <c r="C732" s="18" t="str">
        <f>"欧阳楚楚"</f>
        <v>欧阳楚楚</v>
      </c>
      <c r="D732" s="18" t="str">
        <f t="shared" si="112"/>
        <v>女</v>
      </c>
      <c r="E732" s="18" t="str">
        <f>"2022016030"</f>
        <v>2022016030</v>
      </c>
      <c r="F732" s="24">
        <v>68.8</v>
      </c>
      <c r="G732" s="24">
        <v>2</v>
      </c>
      <c r="H732" s="18"/>
      <c r="I732" s="28" t="s">
        <v>11</v>
      </c>
    </row>
    <row r="733" s="1" customFormat="1" customHeight="1" spans="1:9">
      <c r="A733" s="18" t="str">
        <f t="shared" si="113"/>
        <v>B13G</v>
      </c>
      <c r="B733" s="19" t="s">
        <v>43</v>
      </c>
      <c r="C733" s="18" t="str">
        <f>"杨佳"</f>
        <v>杨佳</v>
      </c>
      <c r="D733" s="18" t="str">
        <f t="shared" si="112"/>
        <v>女</v>
      </c>
      <c r="E733" s="18" t="str">
        <f>"2022016108"</f>
        <v>2022016108</v>
      </c>
      <c r="F733" s="24">
        <v>56.3</v>
      </c>
      <c r="G733" s="24">
        <v>3</v>
      </c>
      <c r="H733" s="18"/>
      <c r="I733" s="28" t="s">
        <v>11</v>
      </c>
    </row>
    <row r="734" s="1" customFormat="1" customHeight="1" spans="1:9">
      <c r="A734" s="18" t="str">
        <f t="shared" si="113"/>
        <v>B13G</v>
      </c>
      <c r="B734" s="19" t="s">
        <v>43</v>
      </c>
      <c r="C734" s="18" t="str">
        <f>"李茹"</f>
        <v>李茹</v>
      </c>
      <c r="D734" s="18" t="str">
        <f t="shared" si="112"/>
        <v>女</v>
      </c>
      <c r="E734" s="18" t="str">
        <f>"2022016102"</f>
        <v>2022016102</v>
      </c>
      <c r="F734" s="25">
        <v>55.2</v>
      </c>
      <c r="G734" s="24">
        <v>4</v>
      </c>
      <c r="H734" s="26"/>
      <c r="I734" s="28" t="s">
        <v>11</v>
      </c>
    </row>
    <row r="735" s="1" customFormat="1" customHeight="1" spans="1:9">
      <c r="A735" s="18" t="str">
        <f t="shared" si="113"/>
        <v>B13G</v>
      </c>
      <c r="B735" s="19" t="s">
        <v>43</v>
      </c>
      <c r="C735" s="18" t="str">
        <f>"黄慧"</f>
        <v>黄慧</v>
      </c>
      <c r="D735" s="18" t="str">
        <f t="shared" si="112"/>
        <v>女</v>
      </c>
      <c r="E735" s="18" t="str">
        <f>"2022016111"</f>
        <v>2022016111</v>
      </c>
      <c r="F735" s="18">
        <v>53.8</v>
      </c>
      <c r="G735" s="24">
        <v>5</v>
      </c>
      <c r="H735" s="18"/>
      <c r="I735" s="18" t="s">
        <v>12</v>
      </c>
    </row>
    <row r="736" s="1" customFormat="1" customHeight="1" spans="1:9">
      <c r="A736" s="18" t="str">
        <f t="shared" si="113"/>
        <v>B13G</v>
      </c>
      <c r="B736" s="19" t="s">
        <v>43</v>
      </c>
      <c r="C736" s="18" t="str">
        <f>"欧阳甜"</f>
        <v>欧阳甜</v>
      </c>
      <c r="D736" s="18" t="str">
        <f t="shared" si="112"/>
        <v>女</v>
      </c>
      <c r="E736" s="18" t="str">
        <f>"2022016031"</f>
        <v>2022016031</v>
      </c>
      <c r="F736" s="18">
        <v>52.2</v>
      </c>
      <c r="G736" s="24">
        <v>6</v>
      </c>
      <c r="H736" s="18"/>
      <c r="I736" s="18" t="s">
        <v>12</v>
      </c>
    </row>
    <row r="737" s="1" customFormat="1" customHeight="1" spans="1:9">
      <c r="A737" s="18" t="str">
        <f t="shared" si="113"/>
        <v>B13G</v>
      </c>
      <c r="B737" s="19" t="s">
        <v>43</v>
      </c>
      <c r="C737" s="18" t="str">
        <f>"李琳"</f>
        <v>李琳</v>
      </c>
      <c r="D737" s="18" t="str">
        <f t="shared" si="112"/>
        <v>女</v>
      </c>
      <c r="E737" s="18" t="str">
        <f>"2022016101"</f>
        <v>2022016101</v>
      </c>
      <c r="F737" s="18">
        <v>48.8</v>
      </c>
      <c r="G737" s="24">
        <v>7</v>
      </c>
      <c r="H737" s="18"/>
      <c r="I737" s="18" t="s">
        <v>12</v>
      </c>
    </row>
    <row r="738" s="1" customFormat="1" customHeight="1" spans="1:9">
      <c r="A738" s="18" t="str">
        <f t="shared" si="113"/>
        <v>B13G</v>
      </c>
      <c r="B738" s="19" t="s">
        <v>43</v>
      </c>
      <c r="C738" s="18" t="str">
        <f>"龙晓慧"</f>
        <v>龙晓慧</v>
      </c>
      <c r="D738" s="18" t="str">
        <f t="shared" si="112"/>
        <v>女</v>
      </c>
      <c r="E738" s="18" t="str">
        <f>"2022016106"</f>
        <v>2022016106</v>
      </c>
      <c r="F738" s="22">
        <v>44.3</v>
      </c>
      <c r="G738" s="24">
        <v>8</v>
      </c>
      <c r="H738" s="23"/>
      <c r="I738" s="18" t="s">
        <v>12</v>
      </c>
    </row>
    <row r="739" s="1" customFormat="1" customHeight="1" spans="1:9">
      <c r="A739" s="18" t="str">
        <f t="shared" si="113"/>
        <v>B13G</v>
      </c>
      <c r="B739" s="19" t="s">
        <v>43</v>
      </c>
      <c r="C739" s="18" t="str">
        <f>"郑阳"</f>
        <v>郑阳</v>
      </c>
      <c r="D739" s="18" t="str">
        <f t="shared" si="112"/>
        <v>女</v>
      </c>
      <c r="E739" s="18" t="str">
        <f>"2022016110"</f>
        <v>2022016110</v>
      </c>
      <c r="F739" s="24">
        <v>10</v>
      </c>
      <c r="G739" s="24">
        <v>9</v>
      </c>
      <c r="H739" s="18"/>
      <c r="I739" s="18" t="s">
        <v>12</v>
      </c>
    </row>
    <row r="740" s="1" customFormat="1" customHeight="1" spans="1:9">
      <c r="A740" s="18" t="str">
        <f t="shared" si="113"/>
        <v>B13G</v>
      </c>
      <c r="B740" s="19" t="s">
        <v>43</v>
      </c>
      <c r="C740" s="18" t="str">
        <f>"戴任琼"</f>
        <v>戴任琼</v>
      </c>
      <c r="D740" s="18" t="str">
        <f t="shared" si="112"/>
        <v>女</v>
      </c>
      <c r="E740" s="18" t="str">
        <f>"2022016103"</f>
        <v>2022016103</v>
      </c>
      <c r="F740" s="25">
        <v>0</v>
      </c>
      <c r="G740" s="24">
        <v>10</v>
      </c>
      <c r="H740" s="26" t="s">
        <v>13</v>
      </c>
      <c r="I740" s="18" t="s">
        <v>12</v>
      </c>
    </row>
    <row r="741" s="1" customFormat="1" customHeight="1" spans="1:9">
      <c r="A741" s="18" t="str">
        <f t="shared" si="113"/>
        <v>B13G</v>
      </c>
      <c r="B741" s="19" t="s">
        <v>43</v>
      </c>
      <c r="C741" s="18" t="str">
        <f>"朱奕芷"</f>
        <v>朱奕芷</v>
      </c>
      <c r="D741" s="18" t="str">
        <f t="shared" si="112"/>
        <v>女</v>
      </c>
      <c r="E741" s="18" t="str">
        <f>"2022016104"</f>
        <v>2022016104</v>
      </c>
      <c r="F741" s="18">
        <v>0</v>
      </c>
      <c r="G741" s="24">
        <v>10</v>
      </c>
      <c r="H741" s="18" t="s">
        <v>13</v>
      </c>
      <c r="I741" s="18" t="s">
        <v>12</v>
      </c>
    </row>
    <row r="742" s="1" customFormat="1" customHeight="1" spans="1:9">
      <c r="A742" s="18" t="str">
        <f t="shared" si="113"/>
        <v>B13G</v>
      </c>
      <c r="B742" s="19" t="s">
        <v>43</v>
      </c>
      <c r="C742" s="18" t="str">
        <f>"邓寅翠"</f>
        <v>邓寅翠</v>
      </c>
      <c r="D742" s="18" t="str">
        <f t="shared" si="112"/>
        <v>女</v>
      </c>
      <c r="E742" s="18" t="str">
        <f>"2022016105"</f>
        <v>2022016105</v>
      </c>
      <c r="F742" s="22">
        <v>0</v>
      </c>
      <c r="G742" s="24">
        <v>10</v>
      </c>
      <c r="H742" s="23" t="s">
        <v>13</v>
      </c>
      <c r="I742" s="18" t="s">
        <v>12</v>
      </c>
    </row>
    <row r="743" s="1" customFormat="1" customHeight="1" spans="1:9">
      <c r="A743" s="18" t="str">
        <f t="shared" si="113"/>
        <v>B13G</v>
      </c>
      <c r="B743" s="19" t="s">
        <v>43</v>
      </c>
      <c r="C743" s="18" t="str">
        <f>"彭芳芳"</f>
        <v>彭芳芳</v>
      </c>
      <c r="D743" s="18" t="str">
        <f t="shared" si="112"/>
        <v>女</v>
      </c>
      <c r="E743" s="18" t="str">
        <f>"2022016109"</f>
        <v>2022016109</v>
      </c>
      <c r="F743" s="24">
        <v>0</v>
      </c>
      <c r="G743" s="24">
        <v>10</v>
      </c>
      <c r="H743" s="18" t="s">
        <v>13</v>
      </c>
      <c r="I743" s="18" t="s">
        <v>12</v>
      </c>
    </row>
    <row r="744" s="1" customFormat="1" customHeight="1" spans="1:9">
      <c r="A744" s="18" t="str">
        <f>"B14F"</f>
        <v>B14F</v>
      </c>
      <c r="B744" s="19" t="s">
        <v>44</v>
      </c>
      <c r="C744" s="18" t="str">
        <f>"殷丽娟"</f>
        <v>殷丽娟</v>
      </c>
      <c r="D744" s="18" t="str">
        <f t="shared" si="112"/>
        <v>女</v>
      </c>
      <c r="E744" s="18" t="str">
        <f>"2022011122"</f>
        <v>2022011122</v>
      </c>
      <c r="F744" s="18">
        <v>63.1</v>
      </c>
      <c r="G744" s="18">
        <v>1</v>
      </c>
      <c r="H744" s="18"/>
      <c r="I744" s="28" t="s">
        <v>11</v>
      </c>
    </row>
    <row r="745" s="1" customFormat="1" customHeight="1" spans="1:9">
      <c r="A745" s="18" t="str">
        <f>"B14F"</f>
        <v>B14F</v>
      </c>
      <c r="B745" s="19" t="s">
        <v>44</v>
      </c>
      <c r="C745" s="18" t="str">
        <f>"刘亚闽"</f>
        <v>刘亚闽</v>
      </c>
      <c r="D745" s="18" t="str">
        <f t="shared" si="112"/>
        <v>女</v>
      </c>
      <c r="E745" s="18" t="str">
        <f>"2022011123"</f>
        <v>2022011123</v>
      </c>
      <c r="F745" s="18">
        <v>58.6</v>
      </c>
      <c r="G745" s="18">
        <v>2</v>
      </c>
      <c r="H745" s="18"/>
      <c r="I745" s="18" t="s">
        <v>12</v>
      </c>
    </row>
    <row r="746" s="1" customFormat="1" customHeight="1" spans="1:9">
      <c r="A746" s="18" t="str">
        <f>"B14G"</f>
        <v>B14G</v>
      </c>
      <c r="B746" s="19" t="s">
        <v>45</v>
      </c>
      <c r="C746" s="18" t="str">
        <f>"杨章媛"</f>
        <v>杨章媛</v>
      </c>
      <c r="D746" s="18" t="str">
        <f t="shared" si="112"/>
        <v>女</v>
      </c>
      <c r="E746" s="18" t="str">
        <f>"2022011124"</f>
        <v>2022011124</v>
      </c>
      <c r="F746" s="25">
        <v>68.9</v>
      </c>
      <c r="G746" s="25">
        <v>1</v>
      </c>
      <c r="H746" s="26"/>
      <c r="I746" s="28" t="s">
        <v>11</v>
      </c>
    </row>
    <row r="747" s="1" customFormat="1" customHeight="1" spans="1:9">
      <c r="A747" s="18" t="str">
        <f>"B14G"</f>
        <v>B14G</v>
      </c>
      <c r="B747" s="19" t="s">
        <v>45</v>
      </c>
      <c r="C747" s="18" t="str">
        <f>"张苗"</f>
        <v>张苗</v>
      </c>
      <c r="D747" s="18" t="str">
        <f t="shared" si="112"/>
        <v>女</v>
      </c>
      <c r="E747" s="18" t="str">
        <f>"2022011125"</f>
        <v>2022011125</v>
      </c>
      <c r="F747" s="18">
        <v>0</v>
      </c>
      <c r="G747" s="18">
        <v>2</v>
      </c>
      <c r="H747" s="18" t="s">
        <v>13</v>
      </c>
      <c r="I747" s="18" t="s">
        <v>12</v>
      </c>
    </row>
    <row r="748" s="1" customFormat="1" customHeight="1" spans="1:9">
      <c r="A748" s="18" t="str">
        <f t="shared" ref="A748:A795" si="114">"B1F"</f>
        <v>B1F</v>
      </c>
      <c r="B748" s="19" t="s">
        <v>46</v>
      </c>
      <c r="C748" s="18" t="str">
        <f>"肖超"</f>
        <v>肖超</v>
      </c>
      <c r="D748" s="18" t="str">
        <f t="shared" ref="D748:D809" si="115">"男"</f>
        <v>男</v>
      </c>
      <c r="E748" s="18" t="str">
        <f>"2022011318"</f>
        <v>2022011318</v>
      </c>
      <c r="F748" s="18">
        <v>86.3</v>
      </c>
      <c r="G748" s="18">
        <v>1</v>
      </c>
      <c r="H748" s="18"/>
      <c r="I748" s="28" t="s">
        <v>11</v>
      </c>
    </row>
    <row r="749" s="1" customFormat="1" customHeight="1" spans="1:9">
      <c r="A749" s="18" t="str">
        <f t="shared" si="114"/>
        <v>B1F</v>
      </c>
      <c r="B749" s="19" t="s">
        <v>46</v>
      </c>
      <c r="C749" s="18" t="str">
        <f>"李凯凯"</f>
        <v>李凯凯</v>
      </c>
      <c r="D749" s="18" t="str">
        <f t="shared" si="115"/>
        <v>男</v>
      </c>
      <c r="E749" s="18" t="str">
        <f>"2022011316"</f>
        <v>2022011316</v>
      </c>
      <c r="F749" s="18">
        <v>85.2</v>
      </c>
      <c r="G749" s="18">
        <v>2</v>
      </c>
      <c r="H749" s="18"/>
      <c r="I749" s="28" t="s">
        <v>11</v>
      </c>
    </row>
    <row r="750" s="1" customFormat="1" customHeight="1" spans="1:9">
      <c r="A750" s="18" t="str">
        <f t="shared" si="114"/>
        <v>B1F</v>
      </c>
      <c r="B750" s="19" t="s">
        <v>46</v>
      </c>
      <c r="C750" s="18" t="str">
        <f>"段汝泳"</f>
        <v>段汝泳</v>
      </c>
      <c r="D750" s="18" t="str">
        <f t="shared" si="115"/>
        <v>男</v>
      </c>
      <c r="E750" s="18" t="str">
        <f>"2022011415"</f>
        <v>2022011415</v>
      </c>
      <c r="F750" s="18">
        <v>85</v>
      </c>
      <c r="G750" s="18">
        <v>3</v>
      </c>
      <c r="H750" s="18"/>
      <c r="I750" s="18" t="s">
        <v>12</v>
      </c>
    </row>
    <row r="751" s="1" customFormat="1" customHeight="1" spans="1:9">
      <c r="A751" s="18" t="str">
        <f t="shared" si="114"/>
        <v>B1F</v>
      </c>
      <c r="B751" s="19" t="s">
        <v>46</v>
      </c>
      <c r="C751" s="18" t="str">
        <f>"刘培"</f>
        <v>刘培</v>
      </c>
      <c r="D751" s="18" t="str">
        <f t="shared" si="115"/>
        <v>男</v>
      </c>
      <c r="E751" s="18" t="str">
        <f>"2022011303"</f>
        <v>2022011303</v>
      </c>
      <c r="F751" s="18">
        <v>84</v>
      </c>
      <c r="G751" s="18">
        <v>4</v>
      </c>
      <c r="H751" s="18"/>
      <c r="I751" s="18" t="s">
        <v>12</v>
      </c>
    </row>
    <row r="752" s="1" customFormat="1" customHeight="1" spans="1:9">
      <c r="A752" s="18" t="str">
        <f t="shared" si="114"/>
        <v>B1F</v>
      </c>
      <c r="B752" s="19" t="s">
        <v>46</v>
      </c>
      <c r="C752" s="18" t="str">
        <f>"胡东红"</f>
        <v>胡东红</v>
      </c>
      <c r="D752" s="18" t="str">
        <f t="shared" si="115"/>
        <v>男</v>
      </c>
      <c r="E752" s="18" t="str">
        <f>"2022011305"</f>
        <v>2022011305</v>
      </c>
      <c r="F752" s="18">
        <v>82.5</v>
      </c>
      <c r="G752" s="18">
        <v>5</v>
      </c>
      <c r="H752" s="18"/>
      <c r="I752" s="18" t="s">
        <v>12</v>
      </c>
    </row>
    <row r="753" s="1" customFormat="1" customHeight="1" spans="1:9">
      <c r="A753" s="18" t="str">
        <f t="shared" si="114"/>
        <v>B1F</v>
      </c>
      <c r="B753" s="19" t="s">
        <v>46</v>
      </c>
      <c r="C753" s="18" t="str">
        <f>"杨威"</f>
        <v>杨威</v>
      </c>
      <c r="D753" s="18" t="str">
        <f t="shared" si="115"/>
        <v>男</v>
      </c>
      <c r="E753" s="18" t="str">
        <f>"2022011327"</f>
        <v>2022011327</v>
      </c>
      <c r="F753" s="18">
        <v>82.5</v>
      </c>
      <c r="G753" s="18">
        <v>5</v>
      </c>
      <c r="H753" s="18"/>
      <c r="I753" s="18" t="s">
        <v>12</v>
      </c>
    </row>
    <row r="754" s="1" customFormat="1" customHeight="1" spans="1:9">
      <c r="A754" s="18" t="str">
        <f t="shared" si="114"/>
        <v>B1F</v>
      </c>
      <c r="B754" s="19" t="s">
        <v>46</v>
      </c>
      <c r="C754" s="18" t="str">
        <f>"邓腾飞"</f>
        <v>邓腾飞</v>
      </c>
      <c r="D754" s="18" t="str">
        <f t="shared" si="115"/>
        <v>男</v>
      </c>
      <c r="E754" s="18" t="str">
        <f>"2022011309"</f>
        <v>2022011309</v>
      </c>
      <c r="F754" s="18">
        <v>80.8</v>
      </c>
      <c r="G754" s="18">
        <v>7</v>
      </c>
      <c r="H754" s="18"/>
      <c r="I754" s="18" t="s">
        <v>12</v>
      </c>
    </row>
    <row r="755" s="1" customFormat="1" customHeight="1" spans="1:9">
      <c r="A755" s="18" t="str">
        <f t="shared" si="114"/>
        <v>B1F</v>
      </c>
      <c r="B755" s="19" t="s">
        <v>46</v>
      </c>
      <c r="C755" s="18" t="str">
        <f>"杨声烨"</f>
        <v>杨声烨</v>
      </c>
      <c r="D755" s="18" t="str">
        <f t="shared" si="115"/>
        <v>男</v>
      </c>
      <c r="E755" s="18" t="str">
        <f>"2022011410"</f>
        <v>2022011410</v>
      </c>
      <c r="F755" s="18">
        <v>80.5</v>
      </c>
      <c r="G755" s="18">
        <v>8</v>
      </c>
      <c r="H755" s="18"/>
      <c r="I755" s="18" t="s">
        <v>12</v>
      </c>
    </row>
    <row r="756" s="1" customFormat="1" customHeight="1" spans="1:9">
      <c r="A756" s="18" t="str">
        <f t="shared" si="114"/>
        <v>B1F</v>
      </c>
      <c r="B756" s="19" t="s">
        <v>46</v>
      </c>
      <c r="C756" s="18" t="str">
        <f>"范轶"</f>
        <v>范轶</v>
      </c>
      <c r="D756" s="18" t="str">
        <f t="shared" si="115"/>
        <v>男</v>
      </c>
      <c r="E756" s="18" t="str">
        <f>"2022011313"</f>
        <v>2022011313</v>
      </c>
      <c r="F756" s="18">
        <v>80</v>
      </c>
      <c r="G756" s="18">
        <v>9</v>
      </c>
      <c r="H756" s="18"/>
      <c r="I756" s="18" t="s">
        <v>12</v>
      </c>
    </row>
    <row r="757" s="1" customFormat="1" customHeight="1" spans="1:9">
      <c r="A757" s="18" t="str">
        <f t="shared" si="114"/>
        <v>B1F</v>
      </c>
      <c r="B757" s="19" t="s">
        <v>46</v>
      </c>
      <c r="C757" s="18" t="str">
        <f>"李志君"</f>
        <v>李志君</v>
      </c>
      <c r="D757" s="18" t="str">
        <f t="shared" si="115"/>
        <v>男</v>
      </c>
      <c r="E757" s="18" t="str">
        <f>"2022011324"</f>
        <v>2022011324</v>
      </c>
      <c r="F757" s="18">
        <v>80</v>
      </c>
      <c r="G757" s="18">
        <v>9</v>
      </c>
      <c r="H757" s="18"/>
      <c r="I757" s="18" t="s">
        <v>12</v>
      </c>
    </row>
    <row r="758" s="1" customFormat="1" customHeight="1" spans="1:9">
      <c r="A758" s="18" t="str">
        <f t="shared" si="114"/>
        <v>B1F</v>
      </c>
      <c r="B758" s="19" t="s">
        <v>46</v>
      </c>
      <c r="C758" s="18" t="str">
        <f>"欧君贵"</f>
        <v>欧君贵</v>
      </c>
      <c r="D758" s="18" t="str">
        <f t="shared" si="115"/>
        <v>男</v>
      </c>
      <c r="E758" s="18" t="str">
        <f>"2022011413"</f>
        <v>2022011413</v>
      </c>
      <c r="F758" s="18">
        <v>79.5</v>
      </c>
      <c r="G758" s="18">
        <v>11</v>
      </c>
      <c r="H758" s="18"/>
      <c r="I758" s="18" t="s">
        <v>12</v>
      </c>
    </row>
    <row r="759" s="1" customFormat="1" customHeight="1" spans="1:9">
      <c r="A759" s="18" t="str">
        <f t="shared" si="114"/>
        <v>B1F</v>
      </c>
      <c r="B759" s="19" t="s">
        <v>46</v>
      </c>
      <c r="C759" s="18" t="str">
        <f>"刘柠"</f>
        <v>刘柠</v>
      </c>
      <c r="D759" s="18" t="str">
        <f t="shared" si="115"/>
        <v>男</v>
      </c>
      <c r="E759" s="18" t="str">
        <f>"2022011402"</f>
        <v>2022011402</v>
      </c>
      <c r="F759" s="18">
        <v>78</v>
      </c>
      <c r="G759" s="18">
        <v>12</v>
      </c>
      <c r="H759" s="18"/>
      <c r="I759" s="18" t="s">
        <v>12</v>
      </c>
    </row>
    <row r="760" s="1" customFormat="1" customHeight="1" spans="1:9">
      <c r="A760" s="18" t="str">
        <f t="shared" si="114"/>
        <v>B1F</v>
      </c>
      <c r="B760" s="19" t="s">
        <v>46</v>
      </c>
      <c r="C760" s="18" t="str">
        <f>"管显雄"</f>
        <v>管显雄</v>
      </c>
      <c r="D760" s="18" t="str">
        <f t="shared" si="115"/>
        <v>男</v>
      </c>
      <c r="E760" s="18" t="str">
        <f>"2022011317"</f>
        <v>2022011317</v>
      </c>
      <c r="F760" s="18">
        <v>77.7</v>
      </c>
      <c r="G760" s="18">
        <v>13</v>
      </c>
      <c r="H760" s="18"/>
      <c r="I760" s="18" t="s">
        <v>12</v>
      </c>
    </row>
    <row r="761" s="1" customFormat="1" customHeight="1" spans="1:9">
      <c r="A761" s="18" t="str">
        <f t="shared" si="114"/>
        <v>B1F</v>
      </c>
      <c r="B761" s="19" t="s">
        <v>46</v>
      </c>
      <c r="C761" s="18" t="str">
        <f>"杨杨"</f>
        <v>杨杨</v>
      </c>
      <c r="D761" s="18" t="str">
        <f t="shared" si="115"/>
        <v>男</v>
      </c>
      <c r="E761" s="18" t="str">
        <f>"2022011414"</f>
        <v>2022011414</v>
      </c>
      <c r="F761" s="18">
        <v>77.5</v>
      </c>
      <c r="G761" s="18">
        <v>14</v>
      </c>
      <c r="H761" s="18"/>
      <c r="I761" s="18" t="s">
        <v>12</v>
      </c>
    </row>
    <row r="762" s="1" customFormat="1" customHeight="1" spans="1:9">
      <c r="A762" s="18" t="str">
        <f t="shared" si="114"/>
        <v>B1F</v>
      </c>
      <c r="B762" s="19" t="s">
        <v>46</v>
      </c>
      <c r="C762" s="18" t="str">
        <f>"陈奕林"</f>
        <v>陈奕林</v>
      </c>
      <c r="D762" s="18" t="str">
        <f t="shared" si="115"/>
        <v>男</v>
      </c>
      <c r="E762" s="18" t="str">
        <f>"2022011403"</f>
        <v>2022011403</v>
      </c>
      <c r="F762" s="18">
        <v>77</v>
      </c>
      <c r="G762" s="18">
        <v>15</v>
      </c>
      <c r="H762" s="18"/>
      <c r="I762" s="18" t="s">
        <v>12</v>
      </c>
    </row>
    <row r="763" s="1" customFormat="1" customHeight="1" spans="1:9">
      <c r="A763" s="18" t="str">
        <f t="shared" si="114"/>
        <v>B1F</v>
      </c>
      <c r="B763" s="19" t="s">
        <v>46</v>
      </c>
      <c r="C763" s="18" t="str">
        <f>"毛民主"</f>
        <v>毛民主</v>
      </c>
      <c r="D763" s="18" t="str">
        <f t="shared" si="115"/>
        <v>男</v>
      </c>
      <c r="E763" s="18" t="str">
        <f>"2022011319"</f>
        <v>2022011319</v>
      </c>
      <c r="F763" s="18">
        <v>76</v>
      </c>
      <c r="G763" s="18">
        <v>16</v>
      </c>
      <c r="H763" s="18"/>
      <c r="I763" s="18" t="s">
        <v>12</v>
      </c>
    </row>
    <row r="764" s="1" customFormat="1" customHeight="1" spans="1:9">
      <c r="A764" s="18" t="str">
        <f t="shared" si="114"/>
        <v>B1F</v>
      </c>
      <c r="B764" s="19" t="s">
        <v>46</v>
      </c>
      <c r="C764" s="18" t="str">
        <f>"尹飘"</f>
        <v>尹飘</v>
      </c>
      <c r="D764" s="18" t="str">
        <f t="shared" si="115"/>
        <v>男</v>
      </c>
      <c r="E764" s="18" t="str">
        <f>"2022011310"</f>
        <v>2022011310</v>
      </c>
      <c r="F764" s="18">
        <v>75.5</v>
      </c>
      <c r="G764" s="18">
        <v>17</v>
      </c>
      <c r="H764" s="18"/>
      <c r="I764" s="18" t="s">
        <v>12</v>
      </c>
    </row>
    <row r="765" s="1" customFormat="1" customHeight="1" spans="1:9">
      <c r="A765" s="18" t="str">
        <f t="shared" si="114"/>
        <v>B1F</v>
      </c>
      <c r="B765" s="19" t="s">
        <v>46</v>
      </c>
      <c r="C765" s="18" t="str">
        <f>"陈富强"</f>
        <v>陈富强</v>
      </c>
      <c r="D765" s="18" t="str">
        <f t="shared" si="115"/>
        <v>男</v>
      </c>
      <c r="E765" s="18" t="str">
        <f>"2022011314"</f>
        <v>2022011314</v>
      </c>
      <c r="F765" s="18">
        <v>75.5</v>
      </c>
      <c r="G765" s="18">
        <v>17</v>
      </c>
      <c r="H765" s="18"/>
      <c r="I765" s="18" t="s">
        <v>12</v>
      </c>
    </row>
    <row r="766" s="1" customFormat="1" customHeight="1" spans="1:9">
      <c r="A766" s="18" t="str">
        <f t="shared" si="114"/>
        <v>B1F</v>
      </c>
      <c r="B766" s="19" t="s">
        <v>46</v>
      </c>
      <c r="C766" s="18" t="str">
        <f>"曹琳"</f>
        <v>曹琳</v>
      </c>
      <c r="D766" s="18" t="str">
        <f t="shared" si="115"/>
        <v>男</v>
      </c>
      <c r="E766" s="18" t="str">
        <f>"2022011326"</f>
        <v>2022011326</v>
      </c>
      <c r="F766" s="18">
        <v>75</v>
      </c>
      <c r="G766" s="18">
        <v>19</v>
      </c>
      <c r="H766" s="18"/>
      <c r="I766" s="18" t="s">
        <v>12</v>
      </c>
    </row>
    <row r="767" s="1" customFormat="1" customHeight="1" spans="1:9">
      <c r="A767" s="18" t="str">
        <f t="shared" si="114"/>
        <v>B1F</v>
      </c>
      <c r="B767" s="19" t="s">
        <v>46</v>
      </c>
      <c r="C767" s="18" t="str">
        <f>"何俊林"</f>
        <v>何俊林</v>
      </c>
      <c r="D767" s="18" t="str">
        <f t="shared" si="115"/>
        <v>男</v>
      </c>
      <c r="E767" s="18" t="str">
        <f>"2022011328"</f>
        <v>2022011328</v>
      </c>
      <c r="F767" s="18">
        <v>75</v>
      </c>
      <c r="G767" s="18">
        <v>19</v>
      </c>
      <c r="H767" s="18"/>
      <c r="I767" s="18" t="s">
        <v>12</v>
      </c>
    </row>
    <row r="768" s="1" customFormat="1" customHeight="1" spans="1:9">
      <c r="A768" s="18" t="str">
        <f t="shared" si="114"/>
        <v>B1F</v>
      </c>
      <c r="B768" s="19" t="s">
        <v>46</v>
      </c>
      <c r="C768" s="18" t="str">
        <f>"袁曾鹏"</f>
        <v>袁曾鹏</v>
      </c>
      <c r="D768" s="18" t="str">
        <f t="shared" si="115"/>
        <v>男</v>
      </c>
      <c r="E768" s="18" t="str">
        <f>"2022011320"</f>
        <v>2022011320</v>
      </c>
      <c r="F768" s="18">
        <v>74.5</v>
      </c>
      <c r="G768" s="18">
        <v>21</v>
      </c>
      <c r="H768" s="18"/>
      <c r="I768" s="18" t="s">
        <v>12</v>
      </c>
    </row>
    <row r="769" s="1" customFormat="1" customHeight="1" spans="1:9">
      <c r="A769" s="18" t="str">
        <f t="shared" si="114"/>
        <v>B1F</v>
      </c>
      <c r="B769" s="19" t="s">
        <v>46</v>
      </c>
      <c r="C769" s="18" t="str">
        <f>"刘兴源"</f>
        <v>刘兴源</v>
      </c>
      <c r="D769" s="18" t="str">
        <f t="shared" si="115"/>
        <v>男</v>
      </c>
      <c r="E769" s="18" t="str">
        <f>"2022011407"</f>
        <v>2022011407</v>
      </c>
      <c r="F769" s="18">
        <v>74</v>
      </c>
      <c r="G769" s="18">
        <v>22</v>
      </c>
      <c r="H769" s="18"/>
      <c r="I769" s="18" t="s">
        <v>12</v>
      </c>
    </row>
    <row r="770" s="1" customFormat="1" customHeight="1" spans="1:9">
      <c r="A770" s="18" t="str">
        <f t="shared" si="114"/>
        <v>B1F</v>
      </c>
      <c r="B770" s="19" t="s">
        <v>46</v>
      </c>
      <c r="C770" s="18" t="str">
        <f>"肖辉辉"</f>
        <v>肖辉辉</v>
      </c>
      <c r="D770" s="18" t="str">
        <f t="shared" si="115"/>
        <v>男</v>
      </c>
      <c r="E770" s="18" t="str">
        <f>"2022011408"</f>
        <v>2022011408</v>
      </c>
      <c r="F770" s="18">
        <v>73.5</v>
      </c>
      <c r="G770" s="18">
        <v>23</v>
      </c>
      <c r="H770" s="18"/>
      <c r="I770" s="18" t="s">
        <v>12</v>
      </c>
    </row>
    <row r="771" s="1" customFormat="1" customHeight="1" spans="1:9">
      <c r="A771" s="18" t="str">
        <f t="shared" si="114"/>
        <v>B1F</v>
      </c>
      <c r="B771" s="19" t="s">
        <v>46</v>
      </c>
      <c r="C771" s="18" t="str">
        <f>"李林"</f>
        <v>李林</v>
      </c>
      <c r="D771" s="18" t="str">
        <f t="shared" si="115"/>
        <v>男</v>
      </c>
      <c r="E771" s="18" t="str">
        <f>"2022011411"</f>
        <v>2022011411</v>
      </c>
      <c r="F771" s="18">
        <v>73</v>
      </c>
      <c r="G771" s="18">
        <v>24</v>
      </c>
      <c r="H771" s="18"/>
      <c r="I771" s="18" t="s">
        <v>12</v>
      </c>
    </row>
    <row r="772" s="1" customFormat="1" customHeight="1" spans="1:9">
      <c r="A772" s="18" t="str">
        <f t="shared" si="114"/>
        <v>B1F</v>
      </c>
      <c r="B772" s="19" t="s">
        <v>46</v>
      </c>
      <c r="C772" s="18" t="str">
        <f>"于合敏"</f>
        <v>于合敏</v>
      </c>
      <c r="D772" s="18" t="str">
        <f t="shared" si="115"/>
        <v>男</v>
      </c>
      <c r="E772" s="18" t="str">
        <f>"2022011302"</f>
        <v>2022011302</v>
      </c>
      <c r="F772" s="18">
        <v>71.8</v>
      </c>
      <c r="G772" s="18">
        <v>25</v>
      </c>
      <c r="H772" s="18"/>
      <c r="I772" s="18" t="s">
        <v>12</v>
      </c>
    </row>
    <row r="773" s="1" customFormat="1" customHeight="1" spans="1:9">
      <c r="A773" s="18" t="str">
        <f t="shared" si="114"/>
        <v>B1F</v>
      </c>
      <c r="B773" s="19" t="s">
        <v>46</v>
      </c>
      <c r="C773" s="18" t="str">
        <f>"曾益武"</f>
        <v>曾益武</v>
      </c>
      <c r="D773" s="18" t="str">
        <f t="shared" si="115"/>
        <v>男</v>
      </c>
      <c r="E773" s="18" t="str">
        <f>"2022011405"</f>
        <v>2022011405</v>
      </c>
      <c r="F773" s="18">
        <v>71.5</v>
      </c>
      <c r="G773" s="18">
        <v>26</v>
      </c>
      <c r="H773" s="18"/>
      <c r="I773" s="18" t="s">
        <v>12</v>
      </c>
    </row>
    <row r="774" s="1" customFormat="1" customHeight="1" spans="1:9">
      <c r="A774" s="18" t="str">
        <f t="shared" si="114"/>
        <v>B1F</v>
      </c>
      <c r="B774" s="19" t="s">
        <v>46</v>
      </c>
      <c r="C774" s="18" t="str">
        <f>"王拾朵"</f>
        <v>王拾朵</v>
      </c>
      <c r="D774" s="18" t="str">
        <f t="shared" si="115"/>
        <v>男</v>
      </c>
      <c r="E774" s="18" t="str">
        <f>"2022011418"</f>
        <v>2022011418</v>
      </c>
      <c r="F774" s="18">
        <v>71</v>
      </c>
      <c r="G774" s="18">
        <v>27</v>
      </c>
      <c r="H774" s="18"/>
      <c r="I774" s="18" t="s">
        <v>12</v>
      </c>
    </row>
    <row r="775" s="1" customFormat="1" customHeight="1" spans="1:9">
      <c r="A775" s="18" t="str">
        <f t="shared" si="114"/>
        <v>B1F</v>
      </c>
      <c r="B775" s="19" t="s">
        <v>46</v>
      </c>
      <c r="C775" s="18" t="str">
        <f>"袁义根"</f>
        <v>袁义根</v>
      </c>
      <c r="D775" s="18" t="str">
        <f t="shared" si="115"/>
        <v>男</v>
      </c>
      <c r="E775" s="18" t="str">
        <f>"2022011321"</f>
        <v>2022011321</v>
      </c>
      <c r="F775" s="18">
        <v>70.3</v>
      </c>
      <c r="G775" s="18">
        <v>28</v>
      </c>
      <c r="H775" s="18"/>
      <c r="I775" s="18" t="s">
        <v>12</v>
      </c>
    </row>
    <row r="776" s="1" customFormat="1" customHeight="1" spans="1:9">
      <c r="A776" s="18" t="str">
        <f t="shared" si="114"/>
        <v>B1F</v>
      </c>
      <c r="B776" s="19" t="s">
        <v>46</v>
      </c>
      <c r="C776" s="18" t="str">
        <f>"周广琳"</f>
        <v>周广琳</v>
      </c>
      <c r="D776" s="18" t="str">
        <f t="shared" si="115"/>
        <v>男</v>
      </c>
      <c r="E776" s="18" t="str">
        <f>"2022011304"</f>
        <v>2022011304</v>
      </c>
      <c r="F776" s="18">
        <v>70.2</v>
      </c>
      <c r="G776" s="18">
        <v>29</v>
      </c>
      <c r="H776" s="18"/>
      <c r="I776" s="18" t="s">
        <v>12</v>
      </c>
    </row>
    <row r="777" s="1" customFormat="1" customHeight="1" spans="1:9">
      <c r="A777" s="18" t="str">
        <f t="shared" si="114"/>
        <v>B1F</v>
      </c>
      <c r="B777" s="19" t="s">
        <v>46</v>
      </c>
      <c r="C777" s="18" t="str">
        <f>"杨恢兵"</f>
        <v>杨恢兵</v>
      </c>
      <c r="D777" s="18" t="str">
        <f t="shared" si="115"/>
        <v>男</v>
      </c>
      <c r="E777" s="18" t="str">
        <f>"2022011404"</f>
        <v>2022011404</v>
      </c>
      <c r="F777" s="18">
        <v>70</v>
      </c>
      <c r="G777" s="18">
        <v>30</v>
      </c>
      <c r="H777" s="18"/>
      <c r="I777" s="18" t="s">
        <v>12</v>
      </c>
    </row>
    <row r="778" s="1" customFormat="1" customHeight="1" spans="1:9">
      <c r="A778" s="18" t="str">
        <f t="shared" si="114"/>
        <v>B1F</v>
      </c>
      <c r="B778" s="19" t="s">
        <v>46</v>
      </c>
      <c r="C778" s="18" t="str">
        <f>"戴求根"</f>
        <v>戴求根</v>
      </c>
      <c r="D778" s="18" t="str">
        <f t="shared" si="115"/>
        <v>男</v>
      </c>
      <c r="E778" s="18" t="str">
        <f>"2022011409"</f>
        <v>2022011409</v>
      </c>
      <c r="F778" s="18">
        <v>69</v>
      </c>
      <c r="G778" s="18">
        <v>31</v>
      </c>
      <c r="H778" s="18"/>
      <c r="I778" s="18" t="s">
        <v>12</v>
      </c>
    </row>
    <row r="779" s="1" customFormat="1" customHeight="1" spans="1:9">
      <c r="A779" s="18" t="str">
        <f t="shared" si="114"/>
        <v>B1F</v>
      </c>
      <c r="B779" s="19" t="s">
        <v>46</v>
      </c>
      <c r="C779" s="18" t="str">
        <f>"刘惠"</f>
        <v>刘惠</v>
      </c>
      <c r="D779" s="18" t="str">
        <f t="shared" si="115"/>
        <v>男</v>
      </c>
      <c r="E779" s="18" t="str">
        <f>"2022011417"</f>
        <v>2022011417</v>
      </c>
      <c r="F779" s="18">
        <v>67</v>
      </c>
      <c r="G779" s="18">
        <v>32</v>
      </c>
      <c r="H779" s="18"/>
      <c r="I779" s="18" t="s">
        <v>12</v>
      </c>
    </row>
    <row r="780" s="1" customFormat="1" customHeight="1" spans="1:9">
      <c r="A780" s="18" t="str">
        <f t="shared" si="114"/>
        <v>B1F</v>
      </c>
      <c r="B780" s="19" t="s">
        <v>46</v>
      </c>
      <c r="C780" s="18" t="str">
        <f>"彭波"</f>
        <v>彭波</v>
      </c>
      <c r="D780" s="18" t="str">
        <f t="shared" si="115"/>
        <v>男</v>
      </c>
      <c r="E780" s="18" t="str">
        <f>"2022011306"</f>
        <v>2022011306</v>
      </c>
      <c r="F780" s="18">
        <v>66.3</v>
      </c>
      <c r="G780" s="18">
        <v>33</v>
      </c>
      <c r="H780" s="18"/>
      <c r="I780" s="18" t="s">
        <v>12</v>
      </c>
    </row>
    <row r="781" s="1" customFormat="1" customHeight="1" spans="1:9">
      <c r="A781" s="18" t="str">
        <f t="shared" si="114"/>
        <v>B1F</v>
      </c>
      <c r="B781" s="19" t="s">
        <v>46</v>
      </c>
      <c r="C781" s="18" t="str">
        <f>"廖国凤"</f>
        <v>廖国凤</v>
      </c>
      <c r="D781" s="18" t="str">
        <f t="shared" si="115"/>
        <v>男</v>
      </c>
      <c r="E781" s="18" t="str">
        <f>"2022011323"</f>
        <v>2022011323</v>
      </c>
      <c r="F781" s="18">
        <v>52.5</v>
      </c>
      <c r="G781" s="18">
        <v>34</v>
      </c>
      <c r="H781" s="18"/>
      <c r="I781" s="18" t="s">
        <v>12</v>
      </c>
    </row>
    <row r="782" s="1" customFormat="1" customHeight="1" spans="1:9">
      <c r="A782" s="18" t="str">
        <f t="shared" si="114"/>
        <v>B1F</v>
      </c>
      <c r="B782" s="19" t="s">
        <v>46</v>
      </c>
      <c r="C782" s="18" t="str">
        <f>"周苏天"</f>
        <v>周苏天</v>
      </c>
      <c r="D782" s="18" t="str">
        <f t="shared" si="115"/>
        <v>男</v>
      </c>
      <c r="E782" s="18" t="str">
        <f>"2022011311"</f>
        <v>2022011311</v>
      </c>
      <c r="F782" s="18">
        <v>9.5</v>
      </c>
      <c r="G782" s="18">
        <v>35</v>
      </c>
      <c r="H782" s="18"/>
      <c r="I782" s="18" t="s">
        <v>12</v>
      </c>
    </row>
    <row r="783" s="1" customFormat="1" customHeight="1" spans="1:9">
      <c r="A783" s="18" t="str">
        <f t="shared" si="114"/>
        <v>B1F</v>
      </c>
      <c r="B783" s="19" t="s">
        <v>46</v>
      </c>
      <c r="C783" s="18" t="str">
        <f>"李道欣"</f>
        <v>李道欣</v>
      </c>
      <c r="D783" s="18" t="str">
        <f t="shared" si="115"/>
        <v>男</v>
      </c>
      <c r="E783" s="18" t="str">
        <f>"2022011301"</f>
        <v>2022011301</v>
      </c>
      <c r="F783" s="18">
        <v>0</v>
      </c>
      <c r="G783" s="18">
        <v>36</v>
      </c>
      <c r="H783" s="18" t="s">
        <v>13</v>
      </c>
      <c r="I783" s="18" t="s">
        <v>12</v>
      </c>
    </row>
    <row r="784" s="1" customFormat="1" customHeight="1" spans="1:9">
      <c r="A784" s="18" t="str">
        <f t="shared" si="114"/>
        <v>B1F</v>
      </c>
      <c r="B784" s="19" t="s">
        <v>46</v>
      </c>
      <c r="C784" s="18" t="str">
        <f>"朱昱"</f>
        <v>朱昱</v>
      </c>
      <c r="D784" s="18" t="str">
        <f t="shared" si="115"/>
        <v>男</v>
      </c>
      <c r="E784" s="18" t="str">
        <f>"2022011307"</f>
        <v>2022011307</v>
      </c>
      <c r="F784" s="18">
        <v>0</v>
      </c>
      <c r="G784" s="18">
        <v>36</v>
      </c>
      <c r="H784" s="18" t="s">
        <v>13</v>
      </c>
      <c r="I784" s="18" t="s">
        <v>12</v>
      </c>
    </row>
    <row r="785" s="1" customFormat="1" customHeight="1" spans="1:9">
      <c r="A785" s="18" t="str">
        <f t="shared" si="114"/>
        <v>B1F</v>
      </c>
      <c r="B785" s="19" t="s">
        <v>46</v>
      </c>
      <c r="C785" s="18" t="str">
        <f>"唐建杰"</f>
        <v>唐建杰</v>
      </c>
      <c r="D785" s="18" t="str">
        <f t="shared" si="115"/>
        <v>男</v>
      </c>
      <c r="E785" s="18" t="str">
        <f>"2022011308"</f>
        <v>2022011308</v>
      </c>
      <c r="F785" s="18">
        <v>0</v>
      </c>
      <c r="G785" s="18">
        <v>36</v>
      </c>
      <c r="H785" s="18" t="s">
        <v>13</v>
      </c>
      <c r="I785" s="18" t="s">
        <v>12</v>
      </c>
    </row>
    <row r="786" s="1" customFormat="1" customHeight="1" spans="1:9">
      <c r="A786" s="18" t="str">
        <f t="shared" si="114"/>
        <v>B1F</v>
      </c>
      <c r="B786" s="19" t="s">
        <v>46</v>
      </c>
      <c r="C786" s="18" t="str">
        <f>"易琛"</f>
        <v>易琛</v>
      </c>
      <c r="D786" s="18" t="str">
        <f t="shared" si="115"/>
        <v>男</v>
      </c>
      <c r="E786" s="18" t="str">
        <f>"2022011312"</f>
        <v>2022011312</v>
      </c>
      <c r="F786" s="18">
        <v>0</v>
      </c>
      <c r="G786" s="18">
        <v>36</v>
      </c>
      <c r="H786" s="18" t="s">
        <v>13</v>
      </c>
      <c r="I786" s="18" t="s">
        <v>12</v>
      </c>
    </row>
    <row r="787" s="1" customFormat="1" customHeight="1" spans="1:9">
      <c r="A787" s="18" t="str">
        <f t="shared" si="114"/>
        <v>B1F</v>
      </c>
      <c r="B787" s="19" t="s">
        <v>46</v>
      </c>
      <c r="C787" s="18" t="str">
        <f>"杨启航"</f>
        <v>杨启航</v>
      </c>
      <c r="D787" s="18" t="str">
        <f t="shared" si="115"/>
        <v>男</v>
      </c>
      <c r="E787" s="18" t="str">
        <f>"2022011315"</f>
        <v>2022011315</v>
      </c>
      <c r="F787" s="18">
        <v>0</v>
      </c>
      <c r="G787" s="18">
        <v>36</v>
      </c>
      <c r="H787" s="18" t="s">
        <v>13</v>
      </c>
      <c r="I787" s="18" t="s">
        <v>12</v>
      </c>
    </row>
    <row r="788" s="1" customFormat="1" customHeight="1" spans="1:9">
      <c r="A788" s="18" t="str">
        <f t="shared" si="114"/>
        <v>B1F</v>
      </c>
      <c r="B788" s="19" t="s">
        <v>46</v>
      </c>
      <c r="C788" s="18" t="str">
        <f>"周晓林"</f>
        <v>周晓林</v>
      </c>
      <c r="D788" s="18" t="str">
        <f t="shared" si="115"/>
        <v>男</v>
      </c>
      <c r="E788" s="18" t="str">
        <f>"2022011322"</f>
        <v>2022011322</v>
      </c>
      <c r="F788" s="18">
        <v>0</v>
      </c>
      <c r="G788" s="18">
        <v>36</v>
      </c>
      <c r="H788" s="18" t="s">
        <v>13</v>
      </c>
      <c r="I788" s="18" t="s">
        <v>12</v>
      </c>
    </row>
    <row r="789" s="1" customFormat="1" customHeight="1" spans="1:9">
      <c r="A789" s="18" t="str">
        <f t="shared" si="114"/>
        <v>B1F</v>
      </c>
      <c r="B789" s="19" t="s">
        <v>46</v>
      </c>
      <c r="C789" s="18" t="str">
        <f>"王磊"</f>
        <v>王磊</v>
      </c>
      <c r="D789" s="18" t="str">
        <f t="shared" si="115"/>
        <v>男</v>
      </c>
      <c r="E789" s="18" t="str">
        <f>"2022011325"</f>
        <v>2022011325</v>
      </c>
      <c r="F789" s="18">
        <v>0</v>
      </c>
      <c r="G789" s="18">
        <v>36</v>
      </c>
      <c r="H789" s="18" t="s">
        <v>13</v>
      </c>
      <c r="I789" s="18" t="s">
        <v>12</v>
      </c>
    </row>
    <row r="790" s="1" customFormat="1" customHeight="1" spans="1:9">
      <c r="A790" s="18" t="str">
        <f t="shared" si="114"/>
        <v>B1F</v>
      </c>
      <c r="B790" s="19" t="s">
        <v>46</v>
      </c>
      <c r="C790" s="18" t="str">
        <f>"杨钤坤"</f>
        <v>杨钤坤</v>
      </c>
      <c r="D790" s="18" t="str">
        <f t="shared" si="115"/>
        <v>男</v>
      </c>
      <c r="E790" s="18" t="str">
        <f>"2022011329"</f>
        <v>2022011329</v>
      </c>
      <c r="F790" s="18">
        <v>0</v>
      </c>
      <c r="G790" s="18">
        <v>36</v>
      </c>
      <c r="H790" s="18" t="s">
        <v>13</v>
      </c>
      <c r="I790" s="18" t="s">
        <v>12</v>
      </c>
    </row>
    <row r="791" s="1" customFormat="1" customHeight="1" spans="1:9">
      <c r="A791" s="18" t="str">
        <f t="shared" si="114"/>
        <v>B1F</v>
      </c>
      <c r="B791" s="19" t="s">
        <v>46</v>
      </c>
      <c r="C791" s="18" t="str">
        <f>"王承辉"</f>
        <v>王承辉</v>
      </c>
      <c r="D791" s="18" t="str">
        <f t="shared" si="115"/>
        <v>男</v>
      </c>
      <c r="E791" s="18" t="str">
        <f>"2022011330"</f>
        <v>2022011330</v>
      </c>
      <c r="F791" s="18">
        <v>0</v>
      </c>
      <c r="G791" s="18">
        <v>36</v>
      </c>
      <c r="H791" s="18" t="s">
        <v>13</v>
      </c>
      <c r="I791" s="18" t="s">
        <v>12</v>
      </c>
    </row>
    <row r="792" s="1" customFormat="1" customHeight="1" spans="1:9">
      <c r="A792" s="18" t="str">
        <f t="shared" si="114"/>
        <v>B1F</v>
      </c>
      <c r="B792" s="19" t="s">
        <v>46</v>
      </c>
      <c r="C792" s="18" t="str">
        <f>"陈政"</f>
        <v>陈政</v>
      </c>
      <c r="D792" s="18" t="str">
        <f t="shared" si="115"/>
        <v>男</v>
      </c>
      <c r="E792" s="18" t="str">
        <f>"2022011401"</f>
        <v>2022011401</v>
      </c>
      <c r="F792" s="18">
        <v>0</v>
      </c>
      <c r="G792" s="18">
        <v>36</v>
      </c>
      <c r="H792" s="18" t="s">
        <v>13</v>
      </c>
      <c r="I792" s="18" t="s">
        <v>12</v>
      </c>
    </row>
    <row r="793" s="1" customFormat="1" customHeight="1" spans="1:9">
      <c r="A793" s="18" t="str">
        <f t="shared" si="114"/>
        <v>B1F</v>
      </c>
      <c r="B793" s="19" t="s">
        <v>46</v>
      </c>
      <c r="C793" s="18" t="str">
        <f>"李俊"</f>
        <v>李俊</v>
      </c>
      <c r="D793" s="18" t="str">
        <f t="shared" si="115"/>
        <v>男</v>
      </c>
      <c r="E793" s="18" t="str">
        <f>"2022011406"</f>
        <v>2022011406</v>
      </c>
      <c r="F793" s="18">
        <v>0</v>
      </c>
      <c r="G793" s="18">
        <v>36</v>
      </c>
      <c r="H793" s="18" t="s">
        <v>13</v>
      </c>
      <c r="I793" s="18" t="s">
        <v>12</v>
      </c>
    </row>
    <row r="794" s="1" customFormat="1" customHeight="1" spans="1:9">
      <c r="A794" s="18" t="str">
        <f t="shared" si="114"/>
        <v>B1F</v>
      </c>
      <c r="B794" s="19" t="s">
        <v>46</v>
      </c>
      <c r="C794" s="18" t="str">
        <f>"张凯"</f>
        <v>张凯</v>
      </c>
      <c r="D794" s="18" t="str">
        <f t="shared" si="115"/>
        <v>男</v>
      </c>
      <c r="E794" s="18" t="str">
        <f>"2022011412"</f>
        <v>2022011412</v>
      </c>
      <c r="F794" s="18">
        <v>0</v>
      </c>
      <c r="G794" s="18">
        <v>36</v>
      </c>
      <c r="H794" s="18" t="s">
        <v>13</v>
      </c>
      <c r="I794" s="18" t="s">
        <v>12</v>
      </c>
    </row>
    <row r="795" s="1" customFormat="1" customHeight="1" spans="1:9">
      <c r="A795" s="18" t="str">
        <f t="shared" si="114"/>
        <v>B1F</v>
      </c>
      <c r="B795" s="19" t="s">
        <v>46</v>
      </c>
      <c r="C795" s="18" t="str">
        <f>"曾林民"</f>
        <v>曾林民</v>
      </c>
      <c r="D795" s="18" t="str">
        <f t="shared" si="115"/>
        <v>男</v>
      </c>
      <c r="E795" s="18" t="str">
        <f>"2022011416"</f>
        <v>2022011416</v>
      </c>
      <c r="F795" s="18">
        <v>0</v>
      </c>
      <c r="G795" s="18">
        <v>36</v>
      </c>
      <c r="H795" s="18" t="s">
        <v>13</v>
      </c>
      <c r="I795" s="18" t="s">
        <v>12</v>
      </c>
    </row>
    <row r="796" s="1" customFormat="1" customHeight="1" spans="1:9">
      <c r="A796" s="18" t="str">
        <f t="shared" ref="A796:A809" si="116">"B1G"</f>
        <v>B1G</v>
      </c>
      <c r="B796" s="19" t="s">
        <v>47</v>
      </c>
      <c r="C796" s="18" t="str">
        <f>"鞠远甜"</f>
        <v>鞠远甜</v>
      </c>
      <c r="D796" s="18" t="str">
        <f t="shared" si="115"/>
        <v>男</v>
      </c>
      <c r="E796" s="18" t="str">
        <f>"2022011431"</f>
        <v>2022011431</v>
      </c>
      <c r="F796" s="18">
        <v>86.5</v>
      </c>
      <c r="G796" s="18">
        <v>1</v>
      </c>
      <c r="H796" s="18"/>
      <c r="I796" s="28" t="s">
        <v>11</v>
      </c>
    </row>
    <row r="797" s="1" customFormat="1" customHeight="1" spans="1:9">
      <c r="A797" s="18" t="str">
        <f t="shared" si="116"/>
        <v>B1G</v>
      </c>
      <c r="B797" s="19" t="s">
        <v>47</v>
      </c>
      <c r="C797" s="18" t="str">
        <f>"姜舒涵"</f>
        <v>姜舒涵</v>
      </c>
      <c r="D797" s="18" t="str">
        <f t="shared" si="115"/>
        <v>男</v>
      </c>
      <c r="E797" s="18" t="str">
        <f>"2022011424"</f>
        <v>2022011424</v>
      </c>
      <c r="F797" s="18">
        <v>86</v>
      </c>
      <c r="G797" s="18">
        <v>2</v>
      </c>
      <c r="H797" s="18"/>
      <c r="I797" s="28" t="s">
        <v>11</v>
      </c>
    </row>
    <row r="798" s="1" customFormat="1" customHeight="1" spans="1:9">
      <c r="A798" s="18" t="str">
        <f t="shared" si="116"/>
        <v>B1G</v>
      </c>
      <c r="B798" s="19" t="s">
        <v>47</v>
      </c>
      <c r="C798" s="18" t="str">
        <f>"廖翊帆"</f>
        <v>廖翊帆</v>
      </c>
      <c r="D798" s="18" t="str">
        <f t="shared" si="115"/>
        <v>男</v>
      </c>
      <c r="E798" s="18" t="str">
        <f>"2022011432"</f>
        <v>2022011432</v>
      </c>
      <c r="F798" s="18">
        <v>83</v>
      </c>
      <c r="G798" s="18">
        <v>3</v>
      </c>
      <c r="H798" s="18"/>
      <c r="I798" s="18" t="s">
        <v>12</v>
      </c>
    </row>
    <row r="799" s="1" customFormat="1" customHeight="1" spans="1:9">
      <c r="A799" s="18" t="str">
        <f t="shared" si="116"/>
        <v>B1G</v>
      </c>
      <c r="B799" s="19" t="s">
        <v>47</v>
      </c>
      <c r="C799" s="18" t="str">
        <f>"唐宇飞"</f>
        <v>唐宇飞</v>
      </c>
      <c r="D799" s="18" t="str">
        <f t="shared" si="115"/>
        <v>男</v>
      </c>
      <c r="E799" s="18" t="str">
        <f>"2022011422"</f>
        <v>2022011422</v>
      </c>
      <c r="F799" s="18">
        <v>81.5</v>
      </c>
      <c r="G799" s="18">
        <v>4</v>
      </c>
      <c r="H799" s="18"/>
      <c r="I799" s="18" t="s">
        <v>12</v>
      </c>
    </row>
    <row r="800" s="1" customFormat="1" customHeight="1" spans="1:9">
      <c r="A800" s="18" t="str">
        <f t="shared" si="116"/>
        <v>B1G</v>
      </c>
      <c r="B800" s="19" t="s">
        <v>47</v>
      </c>
      <c r="C800" s="18" t="str">
        <f>"王定柯"</f>
        <v>王定柯</v>
      </c>
      <c r="D800" s="18" t="str">
        <f t="shared" si="115"/>
        <v>男</v>
      </c>
      <c r="E800" s="18" t="str">
        <f>"2022011420"</f>
        <v>2022011420</v>
      </c>
      <c r="F800" s="18">
        <v>79</v>
      </c>
      <c r="G800" s="18">
        <v>5</v>
      </c>
      <c r="H800" s="18"/>
      <c r="I800" s="18" t="s">
        <v>12</v>
      </c>
    </row>
    <row r="801" s="1" customFormat="1" customHeight="1" spans="1:9">
      <c r="A801" s="18" t="str">
        <f t="shared" si="116"/>
        <v>B1G</v>
      </c>
      <c r="B801" s="19" t="s">
        <v>47</v>
      </c>
      <c r="C801" s="18" t="str">
        <f>"肖嘉顺"</f>
        <v>肖嘉顺</v>
      </c>
      <c r="D801" s="18" t="str">
        <f t="shared" si="115"/>
        <v>男</v>
      </c>
      <c r="E801" s="18" t="str">
        <f>"2022011423"</f>
        <v>2022011423</v>
      </c>
      <c r="F801" s="18">
        <v>77.5</v>
      </c>
      <c r="G801" s="18">
        <v>6</v>
      </c>
      <c r="H801" s="18"/>
      <c r="I801" s="18" t="s">
        <v>12</v>
      </c>
    </row>
    <row r="802" s="1" customFormat="1" customHeight="1" spans="1:9">
      <c r="A802" s="18" t="str">
        <f t="shared" si="116"/>
        <v>B1G</v>
      </c>
      <c r="B802" s="19" t="s">
        <v>47</v>
      </c>
      <c r="C802" s="18" t="str">
        <f>"舒田林"</f>
        <v>舒田林</v>
      </c>
      <c r="D802" s="18" t="str">
        <f t="shared" si="115"/>
        <v>男</v>
      </c>
      <c r="E802" s="18" t="str">
        <f>"2022011429"</f>
        <v>2022011429</v>
      </c>
      <c r="F802" s="18">
        <v>77</v>
      </c>
      <c r="G802" s="18">
        <v>7</v>
      </c>
      <c r="H802" s="18"/>
      <c r="I802" s="18" t="s">
        <v>12</v>
      </c>
    </row>
    <row r="803" s="1" customFormat="1" customHeight="1" spans="1:9">
      <c r="A803" s="18" t="str">
        <f t="shared" si="116"/>
        <v>B1G</v>
      </c>
      <c r="B803" s="19" t="s">
        <v>47</v>
      </c>
      <c r="C803" s="18" t="str">
        <f>"曾涛"</f>
        <v>曾涛</v>
      </c>
      <c r="D803" s="18" t="str">
        <f t="shared" si="115"/>
        <v>男</v>
      </c>
      <c r="E803" s="18" t="str">
        <f>"2022011428"</f>
        <v>2022011428</v>
      </c>
      <c r="F803" s="18">
        <v>76</v>
      </c>
      <c r="G803" s="18">
        <v>8</v>
      </c>
      <c r="H803" s="18"/>
      <c r="I803" s="18" t="s">
        <v>12</v>
      </c>
    </row>
    <row r="804" s="1" customFormat="1" customHeight="1" spans="1:9">
      <c r="A804" s="18" t="str">
        <f t="shared" si="116"/>
        <v>B1G</v>
      </c>
      <c r="B804" s="19" t="s">
        <v>47</v>
      </c>
      <c r="C804" s="18" t="str">
        <f>"唐才福"</f>
        <v>唐才福</v>
      </c>
      <c r="D804" s="18" t="str">
        <f t="shared" si="115"/>
        <v>男</v>
      </c>
      <c r="E804" s="18" t="str">
        <f>"2022011426"</f>
        <v>2022011426</v>
      </c>
      <c r="F804" s="18">
        <v>74.5</v>
      </c>
      <c r="G804" s="18">
        <v>9</v>
      </c>
      <c r="H804" s="18"/>
      <c r="I804" s="18" t="s">
        <v>12</v>
      </c>
    </row>
    <row r="805" s="1" customFormat="1" customHeight="1" spans="1:9">
      <c r="A805" s="18" t="str">
        <f t="shared" si="116"/>
        <v>B1G</v>
      </c>
      <c r="B805" s="19" t="s">
        <v>47</v>
      </c>
      <c r="C805" s="18" t="str">
        <f>"杨盛坚"</f>
        <v>杨盛坚</v>
      </c>
      <c r="D805" s="18" t="str">
        <f t="shared" si="115"/>
        <v>男</v>
      </c>
      <c r="E805" s="18" t="str">
        <f>"2022011430"</f>
        <v>2022011430</v>
      </c>
      <c r="F805" s="18">
        <v>73.5</v>
      </c>
      <c r="G805" s="18">
        <v>10</v>
      </c>
      <c r="H805" s="18"/>
      <c r="I805" s="18" t="s">
        <v>12</v>
      </c>
    </row>
    <row r="806" s="1" customFormat="1" customHeight="1" spans="1:9">
      <c r="A806" s="18" t="str">
        <f t="shared" si="116"/>
        <v>B1G</v>
      </c>
      <c r="B806" s="19" t="s">
        <v>47</v>
      </c>
      <c r="C806" s="18" t="str">
        <f>"刘华旦"</f>
        <v>刘华旦</v>
      </c>
      <c r="D806" s="18" t="str">
        <f t="shared" si="115"/>
        <v>男</v>
      </c>
      <c r="E806" s="18" t="str">
        <f>"2022011419"</f>
        <v>2022011419</v>
      </c>
      <c r="F806" s="18">
        <v>71</v>
      </c>
      <c r="G806" s="18">
        <v>11</v>
      </c>
      <c r="H806" s="18"/>
      <c r="I806" s="18" t="s">
        <v>12</v>
      </c>
    </row>
    <row r="807" s="1" customFormat="1" customHeight="1" spans="1:9">
      <c r="A807" s="18" t="str">
        <f t="shared" si="116"/>
        <v>B1G</v>
      </c>
      <c r="B807" s="19" t="s">
        <v>47</v>
      </c>
      <c r="C807" s="18" t="str">
        <f>"杨仁福"</f>
        <v>杨仁福</v>
      </c>
      <c r="D807" s="18" t="str">
        <f t="shared" si="115"/>
        <v>男</v>
      </c>
      <c r="E807" s="18" t="str">
        <f>"2022011421"</f>
        <v>2022011421</v>
      </c>
      <c r="F807" s="18">
        <v>69</v>
      </c>
      <c r="G807" s="18">
        <v>12</v>
      </c>
      <c r="H807" s="18"/>
      <c r="I807" s="18" t="s">
        <v>12</v>
      </c>
    </row>
    <row r="808" s="1" customFormat="1" customHeight="1" spans="1:9">
      <c r="A808" s="18" t="str">
        <f t="shared" si="116"/>
        <v>B1G</v>
      </c>
      <c r="B808" s="19" t="s">
        <v>47</v>
      </c>
      <c r="C808" s="18" t="str">
        <f>"尹杰"</f>
        <v>尹杰</v>
      </c>
      <c r="D808" s="18" t="str">
        <f t="shared" si="115"/>
        <v>男</v>
      </c>
      <c r="E808" s="18" t="str">
        <f>"2022011425"</f>
        <v>2022011425</v>
      </c>
      <c r="F808" s="18">
        <v>67.5</v>
      </c>
      <c r="G808" s="18">
        <v>13</v>
      </c>
      <c r="H808" s="18"/>
      <c r="I808" s="18" t="s">
        <v>12</v>
      </c>
    </row>
    <row r="809" s="1" customFormat="1" customHeight="1" spans="1:9">
      <c r="A809" s="18" t="str">
        <f t="shared" si="116"/>
        <v>B1G</v>
      </c>
      <c r="B809" s="19" t="s">
        <v>47</v>
      </c>
      <c r="C809" s="18" t="str">
        <f>"杨佩霖"</f>
        <v>杨佩霖</v>
      </c>
      <c r="D809" s="18" t="str">
        <f t="shared" si="115"/>
        <v>男</v>
      </c>
      <c r="E809" s="18" t="str">
        <f>"2022011427"</f>
        <v>2022011427</v>
      </c>
      <c r="F809" s="18">
        <v>0</v>
      </c>
      <c r="G809" s="18">
        <v>14</v>
      </c>
      <c r="H809" s="18" t="s">
        <v>13</v>
      </c>
      <c r="I809" s="18" t="s">
        <v>12</v>
      </c>
    </row>
    <row r="810" s="1" customFormat="1" customHeight="1" spans="1:9">
      <c r="A810" s="18" t="str">
        <f t="shared" ref="A810:A873" si="117">"B2F"</f>
        <v>B2F</v>
      </c>
      <c r="B810" s="19" t="s">
        <v>48</v>
      </c>
      <c r="C810" s="18" t="str">
        <f>"许海英"</f>
        <v>许海英</v>
      </c>
      <c r="D810" s="18" t="str">
        <f t="shared" ref="D810:D873" si="118">"女"</f>
        <v>女</v>
      </c>
      <c r="E810" s="18" t="str">
        <f>"2022011909"</f>
        <v>2022011909</v>
      </c>
      <c r="F810" s="25">
        <v>93</v>
      </c>
      <c r="G810" s="25">
        <v>1</v>
      </c>
      <c r="H810" s="26"/>
      <c r="I810" s="28" t="s">
        <v>11</v>
      </c>
    </row>
    <row r="811" s="1" customFormat="1" customHeight="1" spans="1:9">
      <c r="A811" s="18" t="str">
        <f t="shared" si="117"/>
        <v>B2F</v>
      </c>
      <c r="B811" s="19" t="s">
        <v>48</v>
      </c>
      <c r="C811" s="18" t="str">
        <f>"田慧"</f>
        <v>田慧</v>
      </c>
      <c r="D811" s="18" t="str">
        <f t="shared" si="118"/>
        <v>女</v>
      </c>
      <c r="E811" s="18" t="str">
        <f>"2022011701"</f>
        <v>2022011701</v>
      </c>
      <c r="F811" s="18">
        <v>88.5</v>
      </c>
      <c r="G811" s="18">
        <v>2</v>
      </c>
      <c r="H811" s="18"/>
      <c r="I811" s="28" t="s">
        <v>11</v>
      </c>
    </row>
    <row r="812" s="1" customFormat="1" customHeight="1" spans="1:9">
      <c r="A812" s="18" t="str">
        <f t="shared" si="117"/>
        <v>B2F</v>
      </c>
      <c r="B812" s="19" t="s">
        <v>48</v>
      </c>
      <c r="C812" s="18" t="str">
        <f>"杨晓蓉"</f>
        <v>杨晓蓉</v>
      </c>
      <c r="D812" s="18" t="str">
        <f t="shared" si="118"/>
        <v>女</v>
      </c>
      <c r="E812" s="18" t="str">
        <f>"2022011724"</f>
        <v>2022011724</v>
      </c>
      <c r="F812" s="18">
        <v>88.4</v>
      </c>
      <c r="G812" s="25">
        <v>3</v>
      </c>
      <c r="H812" s="18"/>
      <c r="I812" s="18" t="s">
        <v>12</v>
      </c>
    </row>
    <row r="813" s="1" customFormat="1" customHeight="1" spans="1:9">
      <c r="A813" s="18" t="str">
        <f t="shared" si="117"/>
        <v>B2F</v>
      </c>
      <c r="B813" s="19" t="s">
        <v>48</v>
      </c>
      <c r="C813" s="18" t="str">
        <f>"仇玉娟"</f>
        <v>仇玉娟</v>
      </c>
      <c r="D813" s="18" t="str">
        <f t="shared" si="118"/>
        <v>女</v>
      </c>
      <c r="E813" s="18" t="str">
        <f>"2022011703"</f>
        <v>2022011703</v>
      </c>
      <c r="F813" s="18">
        <v>86.5</v>
      </c>
      <c r="G813" s="18">
        <v>4</v>
      </c>
      <c r="H813" s="18"/>
      <c r="I813" s="18" t="s">
        <v>12</v>
      </c>
    </row>
    <row r="814" s="1" customFormat="1" customHeight="1" spans="1:9">
      <c r="A814" s="18" t="str">
        <f t="shared" si="117"/>
        <v>B2F</v>
      </c>
      <c r="B814" s="19" t="s">
        <v>48</v>
      </c>
      <c r="C814" s="18" t="str">
        <f>"马倩"</f>
        <v>马倩</v>
      </c>
      <c r="D814" s="18" t="str">
        <f t="shared" si="118"/>
        <v>女</v>
      </c>
      <c r="E814" s="18" t="str">
        <f>"2022011731"</f>
        <v>2022011731</v>
      </c>
      <c r="F814" s="22">
        <v>86.5</v>
      </c>
      <c r="G814" s="25">
        <v>4</v>
      </c>
      <c r="H814" s="23"/>
      <c r="I814" s="18" t="s">
        <v>12</v>
      </c>
    </row>
    <row r="815" s="1" customFormat="1" customHeight="1" spans="1:9">
      <c r="A815" s="18" t="str">
        <f t="shared" si="117"/>
        <v>B2F</v>
      </c>
      <c r="B815" s="19" t="s">
        <v>48</v>
      </c>
      <c r="C815" s="18" t="str">
        <f>"周琼"</f>
        <v>周琼</v>
      </c>
      <c r="D815" s="18" t="str">
        <f t="shared" si="118"/>
        <v>女</v>
      </c>
      <c r="E815" s="18" t="str">
        <f>"2022012006"</f>
        <v>2022012006</v>
      </c>
      <c r="F815" s="24">
        <v>86.2</v>
      </c>
      <c r="G815" s="18">
        <v>6</v>
      </c>
      <c r="H815" s="18"/>
      <c r="I815" s="18" t="s">
        <v>12</v>
      </c>
    </row>
    <row r="816" s="1" customFormat="1" customHeight="1" spans="1:9">
      <c r="A816" s="18" t="str">
        <f t="shared" si="117"/>
        <v>B2F</v>
      </c>
      <c r="B816" s="19" t="s">
        <v>48</v>
      </c>
      <c r="C816" s="18" t="str">
        <f>"刘意惠"</f>
        <v>刘意惠</v>
      </c>
      <c r="D816" s="18" t="str">
        <f t="shared" si="118"/>
        <v>女</v>
      </c>
      <c r="E816" s="18" t="str">
        <f>"2022011718"</f>
        <v>2022011718</v>
      </c>
      <c r="F816" s="25">
        <v>85.9</v>
      </c>
      <c r="G816" s="25">
        <v>7</v>
      </c>
      <c r="H816" s="26"/>
      <c r="I816" s="18" t="s">
        <v>12</v>
      </c>
    </row>
    <row r="817" s="1" customFormat="1" customHeight="1" spans="1:9">
      <c r="A817" s="18" t="str">
        <f t="shared" si="117"/>
        <v>B2F</v>
      </c>
      <c r="B817" s="19" t="s">
        <v>48</v>
      </c>
      <c r="C817" s="18" t="str">
        <f>"肖尹焱"</f>
        <v>肖尹焱</v>
      </c>
      <c r="D817" s="18" t="str">
        <f t="shared" si="118"/>
        <v>女</v>
      </c>
      <c r="E817" s="18" t="str">
        <f>"2022011831"</f>
        <v>2022011831</v>
      </c>
      <c r="F817" s="18">
        <v>85.6</v>
      </c>
      <c r="G817" s="18">
        <v>8</v>
      </c>
      <c r="H817" s="18"/>
      <c r="I817" s="18" t="s">
        <v>12</v>
      </c>
    </row>
    <row r="818" s="1" customFormat="1" customHeight="1" spans="1:9">
      <c r="A818" s="18" t="str">
        <f t="shared" si="117"/>
        <v>B2F</v>
      </c>
      <c r="B818" s="19" t="s">
        <v>48</v>
      </c>
      <c r="C818" s="18" t="str">
        <f>"贺燕"</f>
        <v>贺燕</v>
      </c>
      <c r="D818" s="18" t="str">
        <f t="shared" si="118"/>
        <v>女</v>
      </c>
      <c r="E818" s="18" t="str">
        <f>"2022011524"</f>
        <v>2022011524</v>
      </c>
      <c r="F818" s="20">
        <v>85.5</v>
      </c>
      <c r="G818" s="25">
        <v>9</v>
      </c>
      <c r="H818" s="21"/>
      <c r="I818" s="18" t="s">
        <v>12</v>
      </c>
    </row>
    <row r="819" s="1" customFormat="1" customHeight="1" spans="1:9">
      <c r="A819" s="18" t="str">
        <f t="shared" si="117"/>
        <v>B2F</v>
      </c>
      <c r="B819" s="19" t="s">
        <v>48</v>
      </c>
      <c r="C819" s="18" t="str">
        <f>"卓晓燕"</f>
        <v>卓晓燕</v>
      </c>
      <c r="D819" s="18" t="str">
        <f t="shared" si="118"/>
        <v>女</v>
      </c>
      <c r="E819" s="18" t="str">
        <f>"2022011710"</f>
        <v>2022011710</v>
      </c>
      <c r="F819" s="18">
        <v>85.5</v>
      </c>
      <c r="G819" s="18">
        <v>9</v>
      </c>
      <c r="H819" s="18"/>
      <c r="I819" s="18" t="s">
        <v>12</v>
      </c>
    </row>
    <row r="820" s="1" customFormat="1" customHeight="1" spans="1:9">
      <c r="A820" s="18" t="str">
        <f t="shared" si="117"/>
        <v>B2F</v>
      </c>
      <c r="B820" s="19" t="s">
        <v>48</v>
      </c>
      <c r="C820" s="18" t="str">
        <f>"邓娟"</f>
        <v>邓娟</v>
      </c>
      <c r="D820" s="18" t="str">
        <f t="shared" si="118"/>
        <v>女</v>
      </c>
      <c r="E820" s="18" t="str">
        <f>"2022011808"</f>
        <v>2022011808</v>
      </c>
      <c r="F820" s="22">
        <v>85.5</v>
      </c>
      <c r="G820" s="25">
        <v>9</v>
      </c>
      <c r="H820" s="23"/>
      <c r="I820" s="18" t="s">
        <v>12</v>
      </c>
    </row>
    <row r="821" s="1" customFormat="1" customHeight="1" spans="1:9">
      <c r="A821" s="18" t="str">
        <f t="shared" si="117"/>
        <v>B2F</v>
      </c>
      <c r="B821" s="19" t="s">
        <v>48</v>
      </c>
      <c r="C821" s="18" t="str">
        <f>"李盼"</f>
        <v>李盼</v>
      </c>
      <c r="D821" s="18" t="str">
        <f t="shared" si="118"/>
        <v>女</v>
      </c>
      <c r="E821" s="18" t="str">
        <f>"2022011812"</f>
        <v>2022011812</v>
      </c>
      <c r="F821" s="25">
        <v>85.5</v>
      </c>
      <c r="G821" s="18">
        <v>9</v>
      </c>
      <c r="H821" s="26"/>
      <c r="I821" s="18" t="s">
        <v>12</v>
      </c>
    </row>
    <row r="822" s="1" customFormat="1" customHeight="1" spans="1:9">
      <c r="A822" s="18" t="str">
        <f t="shared" si="117"/>
        <v>B2F</v>
      </c>
      <c r="B822" s="19" t="s">
        <v>48</v>
      </c>
      <c r="C822" s="18" t="str">
        <f>"王文倩"</f>
        <v>王文倩</v>
      </c>
      <c r="D822" s="18" t="str">
        <f t="shared" si="118"/>
        <v>女</v>
      </c>
      <c r="E822" s="18" t="str">
        <f>"2022011805"</f>
        <v>2022011805</v>
      </c>
      <c r="F822" s="18">
        <v>85.2</v>
      </c>
      <c r="G822" s="25">
        <v>13</v>
      </c>
      <c r="H822" s="18"/>
      <c r="I822" s="18" t="s">
        <v>12</v>
      </c>
    </row>
    <row r="823" s="1" customFormat="1" customHeight="1" spans="1:9">
      <c r="A823" s="18" t="str">
        <f t="shared" si="117"/>
        <v>B2F</v>
      </c>
      <c r="B823" s="19" t="s">
        <v>48</v>
      </c>
      <c r="C823" s="18" t="str">
        <f>"王跃园"</f>
        <v>王跃园</v>
      </c>
      <c r="D823" s="18" t="str">
        <f t="shared" si="118"/>
        <v>女</v>
      </c>
      <c r="E823" s="18" t="str">
        <f>"2022011615"</f>
        <v>2022011615</v>
      </c>
      <c r="F823" s="18">
        <v>85</v>
      </c>
      <c r="G823" s="18">
        <v>14</v>
      </c>
      <c r="H823" s="18"/>
      <c r="I823" s="18" t="s">
        <v>12</v>
      </c>
    </row>
    <row r="824" s="1" customFormat="1" customHeight="1" spans="1:9">
      <c r="A824" s="18" t="str">
        <f t="shared" si="117"/>
        <v>B2F</v>
      </c>
      <c r="B824" s="19" t="s">
        <v>48</v>
      </c>
      <c r="C824" s="18" t="str">
        <f>"唐莉"</f>
        <v>唐莉</v>
      </c>
      <c r="D824" s="18" t="str">
        <f t="shared" si="118"/>
        <v>女</v>
      </c>
      <c r="E824" s="18" t="str">
        <f>"2022011820"</f>
        <v>2022011820</v>
      </c>
      <c r="F824" s="22">
        <v>85</v>
      </c>
      <c r="G824" s="25">
        <v>14</v>
      </c>
      <c r="H824" s="23"/>
      <c r="I824" s="18" t="s">
        <v>12</v>
      </c>
    </row>
    <row r="825" s="1" customFormat="1" customHeight="1" spans="1:9">
      <c r="A825" s="18" t="str">
        <f t="shared" si="117"/>
        <v>B2F</v>
      </c>
      <c r="B825" s="19" t="s">
        <v>48</v>
      </c>
      <c r="C825" s="18" t="str">
        <f>"王姣姣"</f>
        <v>王姣姣</v>
      </c>
      <c r="D825" s="18" t="str">
        <f t="shared" si="118"/>
        <v>女</v>
      </c>
      <c r="E825" s="18" t="str">
        <f>"2022011822"</f>
        <v>2022011822</v>
      </c>
      <c r="F825" s="24">
        <v>84.9</v>
      </c>
      <c r="G825" s="18">
        <v>16</v>
      </c>
      <c r="H825" s="18"/>
      <c r="I825" s="18" t="s">
        <v>12</v>
      </c>
    </row>
    <row r="826" s="1" customFormat="1" customHeight="1" spans="1:9">
      <c r="A826" s="18" t="str">
        <f t="shared" si="117"/>
        <v>B2F</v>
      </c>
      <c r="B826" s="19" t="s">
        <v>48</v>
      </c>
      <c r="C826" s="18" t="str">
        <f>"李宏莉"</f>
        <v>李宏莉</v>
      </c>
      <c r="D826" s="18" t="str">
        <f t="shared" si="118"/>
        <v>女</v>
      </c>
      <c r="E826" s="18" t="str">
        <f>"2022011512"</f>
        <v>2022011512</v>
      </c>
      <c r="F826" s="24">
        <v>84.8</v>
      </c>
      <c r="G826" s="25">
        <v>17</v>
      </c>
      <c r="H826" s="18"/>
      <c r="I826" s="18" t="s">
        <v>12</v>
      </c>
    </row>
    <row r="827" s="1" customFormat="1" customHeight="1" spans="1:9">
      <c r="A827" s="18" t="str">
        <f t="shared" si="117"/>
        <v>B2F</v>
      </c>
      <c r="B827" s="19" t="s">
        <v>48</v>
      </c>
      <c r="C827" s="18" t="str">
        <f>"杨乐琴"</f>
        <v>杨乐琴</v>
      </c>
      <c r="D827" s="18" t="str">
        <f t="shared" si="118"/>
        <v>女</v>
      </c>
      <c r="E827" s="18" t="str">
        <f>"2022011819"</f>
        <v>2022011819</v>
      </c>
      <c r="F827" s="24">
        <v>84.8</v>
      </c>
      <c r="G827" s="18">
        <v>17</v>
      </c>
      <c r="H827" s="18"/>
      <c r="I827" s="18" t="s">
        <v>12</v>
      </c>
    </row>
    <row r="828" s="1" customFormat="1" customHeight="1" spans="1:9">
      <c r="A828" s="18" t="str">
        <f t="shared" si="117"/>
        <v>B2F</v>
      </c>
      <c r="B828" s="19" t="s">
        <v>48</v>
      </c>
      <c r="C828" s="18" t="str">
        <f>"肖丽君"</f>
        <v>肖丽君</v>
      </c>
      <c r="D828" s="18" t="str">
        <f t="shared" si="118"/>
        <v>女</v>
      </c>
      <c r="E828" s="18" t="str">
        <f>"2022011619"</f>
        <v>2022011619</v>
      </c>
      <c r="F828" s="24">
        <v>84.5</v>
      </c>
      <c r="G828" s="25">
        <v>19</v>
      </c>
      <c r="H828" s="18"/>
      <c r="I828" s="18" t="s">
        <v>12</v>
      </c>
    </row>
    <row r="829" s="1" customFormat="1" customHeight="1" spans="1:9">
      <c r="A829" s="18" t="str">
        <f t="shared" si="117"/>
        <v>B2F</v>
      </c>
      <c r="B829" s="19" t="s">
        <v>48</v>
      </c>
      <c r="C829" s="18" t="str">
        <f>"欧一婷"</f>
        <v>欧一婷</v>
      </c>
      <c r="D829" s="18" t="str">
        <f t="shared" si="118"/>
        <v>女</v>
      </c>
      <c r="E829" s="18" t="str">
        <f>"2022012005"</f>
        <v>2022012005</v>
      </c>
      <c r="F829" s="24">
        <v>84.5</v>
      </c>
      <c r="G829" s="18">
        <v>19</v>
      </c>
      <c r="H829" s="18"/>
      <c r="I829" s="18" t="s">
        <v>12</v>
      </c>
    </row>
    <row r="830" s="1" customFormat="1" customHeight="1" spans="1:9">
      <c r="A830" s="18" t="str">
        <f t="shared" si="117"/>
        <v>B2F</v>
      </c>
      <c r="B830" s="19" t="s">
        <v>48</v>
      </c>
      <c r="C830" s="18" t="str">
        <f>"曾爱君"</f>
        <v>曾爱君</v>
      </c>
      <c r="D830" s="18" t="str">
        <f t="shared" si="118"/>
        <v>女</v>
      </c>
      <c r="E830" s="18" t="str">
        <f>"2022012010"</f>
        <v>2022012010</v>
      </c>
      <c r="F830" s="25">
        <v>84.5</v>
      </c>
      <c r="G830" s="25">
        <v>19</v>
      </c>
      <c r="H830" s="26"/>
      <c r="I830" s="18" t="s">
        <v>12</v>
      </c>
    </row>
    <row r="831" s="1" customFormat="1" customHeight="1" spans="1:9">
      <c r="A831" s="18" t="str">
        <f t="shared" si="117"/>
        <v>B2F</v>
      </c>
      <c r="B831" s="19" t="s">
        <v>48</v>
      </c>
      <c r="C831" s="18" t="str">
        <f>"唐敏"</f>
        <v>唐敏</v>
      </c>
      <c r="D831" s="18" t="str">
        <f t="shared" si="118"/>
        <v>女</v>
      </c>
      <c r="E831" s="18" t="str">
        <f>"2022011519"</f>
        <v>2022011519</v>
      </c>
      <c r="F831" s="18">
        <v>84.3</v>
      </c>
      <c r="G831" s="18">
        <v>22</v>
      </c>
      <c r="H831" s="18"/>
      <c r="I831" s="18" t="s">
        <v>12</v>
      </c>
    </row>
    <row r="832" s="1" customFormat="1" customHeight="1" spans="1:9">
      <c r="A832" s="18" t="str">
        <f t="shared" si="117"/>
        <v>B2F</v>
      </c>
      <c r="B832" s="19" t="s">
        <v>48</v>
      </c>
      <c r="C832" s="18" t="str">
        <f>"肖婷"</f>
        <v>肖婷</v>
      </c>
      <c r="D832" s="18" t="str">
        <f t="shared" si="118"/>
        <v>女</v>
      </c>
      <c r="E832" s="18" t="str">
        <f>"2022011933"</f>
        <v>2022011933</v>
      </c>
      <c r="F832" s="18">
        <v>84.2</v>
      </c>
      <c r="G832" s="25">
        <v>23</v>
      </c>
      <c r="H832" s="18"/>
      <c r="I832" s="18" t="s">
        <v>12</v>
      </c>
    </row>
    <row r="833" s="1" customFormat="1" customHeight="1" spans="1:9">
      <c r="A833" s="18" t="str">
        <f t="shared" si="117"/>
        <v>B2F</v>
      </c>
      <c r="B833" s="19" t="s">
        <v>48</v>
      </c>
      <c r="C833" s="18" t="str">
        <f>"李新平"</f>
        <v>李新平</v>
      </c>
      <c r="D833" s="18" t="str">
        <f t="shared" si="118"/>
        <v>女</v>
      </c>
      <c r="E833" s="18" t="str">
        <f>"2022011630"</f>
        <v>2022011630</v>
      </c>
      <c r="F833" s="22">
        <v>84</v>
      </c>
      <c r="G833" s="18">
        <v>24</v>
      </c>
      <c r="H833" s="23"/>
      <c r="I833" s="18" t="s">
        <v>12</v>
      </c>
    </row>
    <row r="834" s="1" customFormat="1" customHeight="1" spans="1:9">
      <c r="A834" s="18" t="str">
        <f t="shared" si="117"/>
        <v>B2F</v>
      </c>
      <c r="B834" s="19" t="s">
        <v>48</v>
      </c>
      <c r="C834" s="18" t="str">
        <f>"杨杨"</f>
        <v>杨杨</v>
      </c>
      <c r="D834" s="18" t="str">
        <f t="shared" si="118"/>
        <v>女</v>
      </c>
      <c r="E834" s="18" t="str">
        <f>"2022012014"</f>
        <v>2022012014</v>
      </c>
      <c r="F834" s="25">
        <v>83.7</v>
      </c>
      <c r="G834" s="25">
        <v>25</v>
      </c>
      <c r="H834" s="26"/>
      <c r="I834" s="18" t="s">
        <v>12</v>
      </c>
    </row>
    <row r="835" s="1" customFormat="1" customHeight="1" spans="1:9">
      <c r="A835" s="18" t="str">
        <f t="shared" si="117"/>
        <v>B2F</v>
      </c>
      <c r="B835" s="19" t="s">
        <v>48</v>
      </c>
      <c r="C835" s="18" t="str">
        <f>"罗晓艳"</f>
        <v>罗晓艳</v>
      </c>
      <c r="D835" s="18" t="str">
        <f t="shared" si="118"/>
        <v>女</v>
      </c>
      <c r="E835" s="18" t="str">
        <f>"2022011702"</f>
        <v>2022011702</v>
      </c>
      <c r="F835" s="18">
        <v>83.5</v>
      </c>
      <c r="G835" s="18">
        <v>26</v>
      </c>
      <c r="H835" s="18"/>
      <c r="I835" s="18" t="s">
        <v>12</v>
      </c>
    </row>
    <row r="836" s="1" customFormat="1" customHeight="1" spans="1:9">
      <c r="A836" s="18" t="str">
        <f t="shared" si="117"/>
        <v>B2F</v>
      </c>
      <c r="B836" s="19" t="s">
        <v>48</v>
      </c>
      <c r="C836" s="18" t="str">
        <f>"周琳婷"</f>
        <v>周琳婷</v>
      </c>
      <c r="D836" s="18" t="str">
        <f t="shared" si="118"/>
        <v>女</v>
      </c>
      <c r="E836" s="18" t="str">
        <f>"2022011908"</f>
        <v>2022011908</v>
      </c>
      <c r="F836" s="18">
        <v>83.2</v>
      </c>
      <c r="G836" s="25">
        <v>27</v>
      </c>
      <c r="H836" s="18"/>
      <c r="I836" s="18" t="s">
        <v>12</v>
      </c>
    </row>
    <row r="837" s="1" customFormat="1" customHeight="1" spans="1:9">
      <c r="A837" s="18" t="str">
        <f t="shared" si="117"/>
        <v>B2F</v>
      </c>
      <c r="B837" s="19" t="s">
        <v>48</v>
      </c>
      <c r="C837" s="18" t="str">
        <f>"肖小娣"</f>
        <v>肖小娣</v>
      </c>
      <c r="D837" s="18" t="str">
        <f t="shared" si="118"/>
        <v>女</v>
      </c>
      <c r="E837" s="18" t="str">
        <f>"2022011725"</f>
        <v>2022011725</v>
      </c>
      <c r="F837" s="18">
        <v>83</v>
      </c>
      <c r="G837" s="18">
        <v>28</v>
      </c>
      <c r="H837" s="18"/>
      <c r="I837" s="18" t="s">
        <v>12</v>
      </c>
    </row>
    <row r="838" s="1" customFormat="1" customHeight="1" spans="1:9">
      <c r="A838" s="18" t="str">
        <f t="shared" si="117"/>
        <v>B2F</v>
      </c>
      <c r="B838" s="19" t="s">
        <v>48</v>
      </c>
      <c r="C838" s="18" t="str">
        <f>"陈春蓉"</f>
        <v>陈春蓉</v>
      </c>
      <c r="D838" s="18" t="str">
        <f t="shared" si="118"/>
        <v>女</v>
      </c>
      <c r="E838" s="18" t="str">
        <f>"2022011616"</f>
        <v>2022011616</v>
      </c>
      <c r="F838" s="18">
        <v>82.8</v>
      </c>
      <c r="G838" s="25">
        <v>29</v>
      </c>
      <c r="H838" s="18"/>
      <c r="I838" s="18" t="s">
        <v>12</v>
      </c>
    </row>
    <row r="839" s="1" customFormat="1" customHeight="1" spans="1:9">
      <c r="A839" s="18" t="str">
        <f t="shared" si="117"/>
        <v>B2F</v>
      </c>
      <c r="B839" s="19" t="s">
        <v>48</v>
      </c>
      <c r="C839" s="18" t="str">
        <f>"肖兰妹"</f>
        <v>肖兰妹</v>
      </c>
      <c r="D839" s="18" t="str">
        <f t="shared" si="118"/>
        <v>女</v>
      </c>
      <c r="E839" s="18" t="str">
        <f>"2022011829"</f>
        <v>2022011829</v>
      </c>
      <c r="F839" s="18">
        <v>82.8</v>
      </c>
      <c r="G839" s="18">
        <v>29</v>
      </c>
      <c r="H839" s="18"/>
      <c r="I839" s="18" t="s">
        <v>12</v>
      </c>
    </row>
    <row r="840" s="1" customFormat="1" customHeight="1" spans="1:9">
      <c r="A840" s="18" t="str">
        <f t="shared" si="117"/>
        <v>B2F</v>
      </c>
      <c r="B840" s="19" t="s">
        <v>48</v>
      </c>
      <c r="C840" s="18" t="str">
        <f>"戴鑫辉"</f>
        <v>戴鑫辉</v>
      </c>
      <c r="D840" s="18" t="str">
        <f t="shared" si="118"/>
        <v>女</v>
      </c>
      <c r="E840" s="18" t="str">
        <f>"2022011715"</f>
        <v>2022011715</v>
      </c>
      <c r="F840" s="20">
        <v>82.5</v>
      </c>
      <c r="G840" s="25">
        <v>31</v>
      </c>
      <c r="H840" s="21"/>
      <c r="I840" s="18" t="s">
        <v>12</v>
      </c>
    </row>
    <row r="841" s="1" customFormat="1" customHeight="1" spans="1:9">
      <c r="A841" s="18" t="str">
        <f t="shared" si="117"/>
        <v>B2F</v>
      </c>
      <c r="B841" s="19" t="s">
        <v>48</v>
      </c>
      <c r="C841" s="18" t="str">
        <f>"欧艳清"</f>
        <v>欧艳清</v>
      </c>
      <c r="D841" s="18" t="str">
        <f t="shared" si="118"/>
        <v>女</v>
      </c>
      <c r="E841" s="18" t="str">
        <f>"2022011505"</f>
        <v>2022011505</v>
      </c>
      <c r="F841" s="18">
        <v>82.4</v>
      </c>
      <c r="G841" s="18">
        <v>32</v>
      </c>
      <c r="H841" s="18"/>
      <c r="I841" s="18" t="s">
        <v>12</v>
      </c>
    </row>
    <row r="842" s="1" customFormat="1" customHeight="1" spans="1:9">
      <c r="A842" s="18" t="str">
        <f t="shared" si="117"/>
        <v>B2F</v>
      </c>
      <c r="B842" s="19" t="s">
        <v>48</v>
      </c>
      <c r="C842" s="18" t="str">
        <f>"刘丹娜"</f>
        <v>刘丹娜</v>
      </c>
      <c r="D842" s="18" t="str">
        <f t="shared" si="118"/>
        <v>女</v>
      </c>
      <c r="E842" s="18" t="str">
        <f>"2022011921"</f>
        <v>2022011921</v>
      </c>
      <c r="F842" s="20">
        <v>82.4</v>
      </c>
      <c r="G842" s="25">
        <v>32</v>
      </c>
      <c r="H842" s="21"/>
      <c r="I842" s="18" t="s">
        <v>12</v>
      </c>
    </row>
    <row r="843" s="1" customFormat="1" customHeight="1" spans="1:9">
      <c r="A843" s="18" t="str">
        <f t="shared" si="117"/>
        <v>B2F</v>
      </c>
      <c r="B843" s="19" t="s">
        <v>48</v>
      </c>
      <c r="C843" s="18" t="str">
        <f>"杨小丽"</f>
        <v>杨小丽</v>
      </c>
      <c r="D843" s="18" t="str">
        <f t="shared" si="118"/>
        <v>女</v>
      </c>
      <c r="E843" s="18" t="str">
        <f>"2022011924"</f>
        <v>2022011924</v>
      </c>
      <c r="F843" s="18">
        <v>82.2</v>
      </c>
      <c r="G843" s="18">
        <v>34</v>
      </c>
      <c r="H843" s="18"/>
      <c r="I843" s="18" t="s">
        <v>12</v>
      </c>
    </row>
    <row r="844" s="1" customFormat="1" customHeight="1" spans="1:9">
      <c r="A844" s="18" t="str">
        <f t="shared" si="117"/>
        <v>B2F</v>
      </c>
      <c r="B844" s="19" t="s">
        <v>48</v>
      </c>
      <c r="C844" s="18" t="str">
        <f>"李茜"</f>
        <v>李茜</v>
      </c>
      <c r="D844" s="18" t="str">
        <f t="shared" si="118"/>
        <v>女</v>
      </c>
      <c r="E844" s="18" t="str">
        <f>"2022011712"</f>
        <v>2022011712</v>
      </c>
      <c r="F844" s="22">
        <v>82.1</v>
      </c>
      <c r="G844" s="25">
        <v>35</v>
      </c>
      <c r="H844" s="23"/>
      <c r="I844" s="18" t="s">
        <v>12</v>
      </c>
    </row>
    <row r="845" s="1" customFormat="1" customHeight="1" spans="1:9">
      <c r="A845" s="18" t="str">
        <f t="shared" si="117"/>
        <v>B2F</v>
      </c>
      <c r="B845" s="19" t="s">
        <v>48</v>
      </c>
      <c r="C845" s="18" t="str">
        <f>"彭旭"</f>
        <v>彭旭</v>
      </c>
      <c r="D845" s="18" t="str">
        <f t="shared" si="118"/>
        <v>女</v>
      </c>
      <c r="E845" s="18" t="str">
        <f>"2022011621"</f>
        <v>2022011621</v>
      </c>
      <c r="F845" s="24">
        <v>82</v>
      </c>
      <c r="G845" s="18">
        <v>36</v>
      </c>
      <c r="H845" s="18"/>
      <c r="I845" s="18" t="s">
        <v>12</v>
      </c>
    </row>
    <row r="846" s="1" customFormat="1" customHeight="1" spans="1:9">
      <c r="A846" s="18" t="str">
        <f t="shared" si="117"/>
        <v>B2F</v>
      </c>
      <c r="B846" s="19" t="s">
        <v>48</v>
      </c>
      <c r="C846" s="18" t="str">
        <f>"周娟"</f>
        <v>周娟</v>
      </c>
      <c r="D846" s="18" t="str">
        <f t="shared" si="118"/>
        <v>女</v>
      </c>
      <c r="E846" s="18" t="str">
        <f>"2022011629"</f>
        <v>2022011629</v>
      </c>
      <c r="F846" s="24">
        <v>82</v>
      </c>
      <c r="G846" s="25">
        <v>36</v>
      </c>
      <c r="H846" s="18"/>
      <c r="I846" s="18" t="s">
        <v>12</v>
      </c>
    </row>
    <row r="847" s="1" customFormat="1" customHeight="1" spans="1:9">
      <c r="A847" s="18" t="str">
        <f t="shared" si="117"/>
        <v>B2F</v>
      </c>
      <c r="B847" s="19" t="s">
        <v>48</v>
      </c>
      <c r="C847" s="18" t="str">
        <f>"罗璜钰"</f>
        <v>罗璜钰</v>
      </c>
      <c r="D847" s="18" t="str">
        <f t="shared" si="118"/>
        <v>女</v>
      </c>
      <c r="E847" s="18" t="str">
        <f>"2022011714"</f>
        <v>2022011714</v>
      </c>
      <c r="F847" s="24">
        <v>81.9</v>
      </c>
      <c r="G847" s="18">
        <v>38</v>
      </c>
      <c r="H847" s="18"/>
      <c r="I847" s="18" t="s">
        <v>12</v>
      </c>
    </row>
    <row r="848" s="1" customFormat="1" customHeight="1" spans="1:9">
      <c r="A848" s="18" t="str">
        <f t="shared" si="117"/>
        <v>B2F</v>
      </c>
      <c r="B848" s="19" t="s">
        <v>48</v>
      </c>
      <c r="C848" s="18" t="str">
        <f>"黄昕喆"</f>
        <v>黄昕喆</v>
      </c>
      <c r="D848" s="18" t="str">
        <f t="shared" si="118"/>
        <v>女</v>
      </c>
      <c r="E848" s="18" t="str">
        <f>"2022011520"</f>
        <v>2022011520</v>
      </c>
      <c r="F848" s="24">
        <v>81.8</v>
      </c>
      <c r="G848" s="25">
        <v>39</v>
      </c>
      <c r="H848" s="18"/>
      <c r="I848" s="18" t="s">
        <v>12</v>
      </c>
    </row>
    <row r="849" s="1" customFormat="1" customHeight="1" spans="1:9">
      <c r="A849" s="18" t="str">
        <f t="shared" si="117"/>
        <v>B2F</v>
      </c>
      <c r="B849" s="19" t="s">
        <v>48</v>
      </c>
      <c r="C849" s="18" t="str">
        <f>"陈彦全"</f>
        <v>陈彦全</v>
      </c>
      <c r="D849" s="18" t="str">
        <f t="shared" si="118"/>
        <v>女</v>
      </c>
      <c r="E849" s="18" t="str">
        <f>"2022011610"</f>
        <v>2022011610</v>
      </c>
      <c r="F849" s="24">
        <v>81.8</v>
      </c>
      <c r="G849" s="18">
        <v>39</v>
      </c>
      <c r="H849" s="18"/>
      <c r="I849" s="18" t="s">
        <v>12</v>
      </c>
    </row>
    <row r="850" s="1" customFormat="1" customHeight="1" spans="1:9">
      <c r="A850" s="18" t="str">
        <f t="shared" si="117"/>
        <v>B2F</v>
      </c>
      <c r="B850" s="19" t="s">
        <v>48</v>
      </c>
      <c r="C850" s="18" t="str">
        <f>"曾李平"</f>
        <v>曾李平</v>
      </c>
      <c r="D850" s="18" t="str">
        <f t="shared" si="118"/>
        <v>女</v>
      </c>
      <c r="E850" s="18" t="str">
        <f>"2022011721"</f>
        <v>2022011721</v>
      </c>
      <c r="F850" s="24">
        <v>81.8</v>
      </c>
      <c r="G850" s="25">
        <v>39</v>
      </c>
      <c r="H850" s="18"/>
      <c r="I850" s="18" t="s">
        <v>12</v>
      </c>
    </row>
    <row r="851" s="1" customFormat="1" customHeight="1" spans="1:9">
      <c r="A851" s="18" t="str">
        <f t="shared" si="117"/>
        <v>B2F</v>
      </c>
      <c r="B851" s="19" t="s">
        <v>48</v>
      </c>
      <c r="C851" s="18" t="str">
        <f>"肖辉滔"</f>
        <v>肖辉滔</v>
      </c>
      <c r="D851" s="18" t="str">
        <f t="shared" si="118"/>
        <v>女</v>
      </c>
      <c r="E851" s="18" t="str">
        <f>"2022011918"</f>
        <v>2022011918</v>
      </c>
      <c r="F851" s="25">
        <v>81.5</v>
      </c>
      <c r="G851" s="18">
        <v>42</v>
      </c>
      <c r="H851" s="26"/>
      <c r="I851" s="18" t="s">
        <v>12</v>
      </c>
    </row>
    <row r="852" s="1" customFormat="1" customHeight="1" spans="1:9">
      <c r="A852" s="18" t="str">
        <f t="shared" si="117"/>
        <v>B2F</v>
      </c>
      <c r="B852" s="19" t="s">
        <v>48</v>
      </c>
      <c r="C852" s="18" t="str">
        <f>"戴利"</f>
        <v>戴利</v>
      </c>
      <c r="D852" s="18" t="str">
        <f t="shared" si="118"/>
        <v>女</v>
      </c>
      <c r="E852" s="18" t="str">
        <f>"2022011813"</f>
        <v>2022011813</v>
      </c>
      <c r="F852" s="18">
        <v>81.3</v>
      </c>
      <c r="G852" s="25">
        <v>43</v>
      </c>
      <c r="H852" s="18"/>
      <c r="I852" s="18" t="s">
        <v>12</v>
      </c>
    </row>
    <row r="853" s="1" customFormat="1" customHeight="1" spans="1:9">
      <c r="A853" s="18" t="str">
        <f t="shared" si="117"/>
        <v>B2F</v>
      </c>
      <c r="B853" s="19" t="s">
        <v>48</v>
      </c>
      <c r="C853" s="18" t="str">
        <f>"禹文君"</f>
        <v>禹文君</v>
      </c>
      <c r="D853" s="18" t="str">
        <f t="shared" si="118"/>
        <v>女</v>
      </c>
      <c r="E853" s="18" t="str">
        <f>"2022011917"</f>
        <v>2022011917</v>
      </c>
      <c r="F853" s="22">
        <v>81.3</v>
      </c>
      <c r="G853" s="18">
        <v>43</v>
      </c>
      <c r="H853" s="23"/>
      <c r="I853" s="18" t="s">
        <v>12</v>
      </c>
    </row>
    <row r="854" s="1" customFormat="1" customHeight="1" spans="1:9">
      <c r="A854" s="18" t="str">
        <f t="shared" si="117"/>
        <v>B2F</v>
      </c>
      <c r="B854" s="19" t="s">
        <v>48</v>
      </c>
      <c r="C854" s="18" t="str">
        <f>"唐文艳"</f>
        <v>唐文艳</v>
      </c>
      <c r="D854" s="18" t="str">
        <f t="shared" si="118"/>
        <v>女</v>
      </c>
      <c r="E854" s="18" t="str">
        <f>"2022012008"</f>
        <v>2022012008</v>
      </c>
      <c r="F854" s="24">
        <v>80.8</v>
      </c>
      <c r="G854" s="25">
        <v>45</v>
      </c>
      <c r="H854" s="18"/>
      <c r="I854" s="18" t="s">
        <v>12</v>
      </c>
    </row>
    <row r="855" s="1" customFormat="1" customHeight="1" spans="1:9">
      <c r="A855" s="18" t="str">
        <f t="shared" si="117"/>
        <v>B2F</v>
      </c>
      <c r="B855" s="19" t="s">
        <v>48</v>
      </c>
      <c r="C855" s="18" t="str">
        <f>"陈归香"</f>
        <v>陈归香</v>
      </c>
      <c r="D855" s="18" t="str">
        <f t="shared" si="118"/>
        <v>女</v>
      </c>
      <c r="E855" s="18" t="str">
        <f>"2022012015"</f>
        <v>2022012015</v>
      </c>
      <c r="F855" s="24">
        <v>80.8</v>
      </c>
      <c r="G855" s="18">
        <v>45</v>
      </c>
      <c r="H855" s="18"/>
      <c r="I855" s="18" t="s">
        <v>12</v>
      </c>
    </row>
    <row r="856" s="1" customFormat="1" customHeight="1" spans="1:9">
      <c r="A856" s="18" t="str">
        <f t="shared" si="117"/>
        <v>B2F</v>
      </c>
      <c r="B856" s="19" t="s">
        <v>48</v>
      </c>
      <c r="C856" s="18" t="str">
        <f>"肖映霜"</f>
        <v>肖映霜</v>
      </c>
      <c r="D856" s="18" t="str">
        <f t="shared" si="118"/>
        <v>女</v>
      </c>
      <c r="E856" s="18" t="str">
        <f>"2022011612"</f>
        <v>2022011612</v>
      </c>
      <c r="F856" s="24">
        <v>80.7</v>
      </c>
      <c r="G856" s="25">
        <v>47</v>
      </c>
      <c r="H856" s="18"/>
      <c r="I856" s="18" t="s">
        <v>12</v>
      </c>
    </row>
    <row r="857" s="1" customFormat="1" customHeight="1" spans="1:9">
      <c r="A857" s="18" t="str">
        <f t="shared" si="117"/>
        <v>B2F</v>
      </c>
      <c r="B857" s="19" t="s">
        <v>48</v>
      </c>
      <c r="C857" s="18" t="str">
        <f>"刘艳花"</f>
        <v>刘艳花</v>
      </c>
      <c r="D857" s="18" t="str">
        <f t="shared" si="118"/>
        <v>女</v>
      </c>
      <c r="E857" s="18" t="str">
        <f>"2022012016"</f>
        <v>2022012016</v>
      </c>
      <c r="F857" s="24">
        <v>80.6</v>
      </c>
      <c r="G857" s="18">
        <v>48</v>
      </c>
      <c r="H857" s="18"/>
      <c r="I857" s="18" t="s">
        <v>12</v>
      </c>
    </row>
    <row r="858" s="1" customFormat="1" customHeight="1" spans="1:9">
      <c r="A858" s="18" t="str">
        <f t="shared" si="117"/>
        <v>B2F</v>
      </c>
      <c r="B858" s="19" t="s">
        <v>48</v>
      </c>
      <c r="C858" s="18" t="str">
        <f>"刘懿"</f>
        <v>刘懿</v>
      </c>
      <c r="D858" s="18" t="str">
        <f t="shared" si="118"/>
        <v>女</v>
      </c>
      <c r="E858" s="18" t="str">
        <f>"2022011907"</f>
        <v>2022011907</v>
      </c>
      <c r="F858" s="25">
        <v>80.5</v>
      </c>
      <c r="G858" s="25">
        <v>49</v>
      </c>
      <c r="H858" s="26"/>
      <c r="I858" s="18" t="s">
        <v>12</v>
      </c>
    </row>
    <row r="859" s="1" customFormat="1" customHeight="1" spans="1:9">
      <c r="A859" s="18" t="str">
        <f t="shared" si="117"/>
        <v>B2F</v>
      </c>
      <c r="B859" s="19" t="s">
        <v>48</v>
      </c>
      <c r="C859" s="18" t="str">
        <f>"岳锦"</f>
        <v>岳锦</v>
      </c>
      <c r="D859" s="18" t="str">
        <f t="shared" si="118"/>
        <v>女</v>
      </c>
      <c r="E859" s="18" t="str">
        <f>"2022011928"</f>
        <v>2022011928</v>
      </c>
      <c r="F859" s="18">
        <v>80.5</v>
      </c>
      <c r="G859" s="18">
        <v>49</v>
      </c>
      <c r="H859" s="18"/>
      <c r="I859" s="18" t="s">
        <v>12</v>
      </c>
    </row>
    <row r="860" s="1" customFormat="1" customHeight="1" spans="1:9">
      <c r="A860" s="18" t="str">
        <f t="shared" si="117"/>
        <v>B2F</v>
      </c>
      <c r="B860" s="19" t="s">
        <v>48</v>
      </c>
      <c r="C860" s="18" t="str">
        <f>"胡要梅"</f>
        <v>胡要梅</v>
      </c>
      <c r="D860" s="18" t="str">
        <f t="shared" si="118"/>
        <v>女</v>
      </c>
      <c r="E860" s="18" t="str">
        <f>"2022012019"</f>
        <v>2022012019</v>
      </c>
      <c r="F860" s="20">
        <v>80.3</v>
      </c>
      <c r="G860" s="25">
        <v>51</v>
      </c>
      <c r="H860" s="21"/>
      <c r="I860" s="18" t="s">
        <v>12</v>
      </c>
    </row>
    <row r="861" s="1" customFormat="1" customHeight="1" spans="1:9">
      <c r="A861" s="18" t="str">
        <f t="shared" si="117"/>
        <v>B2F</v>
      </c>
      <c r="B861" s="19" t="s">
        <v>48</v>
      </c>
      <c r="C861" s="18" t="str">
        <f>"李仙"</f>
        <v>李仙</v>
      </c>
      <c r="D861" s="18" t="str">
        <f t="shared" si="118"/>
        <v>女</v>
      </c>
      <c r="E861" s="18" t="str">
        <f>"2022012012"</f>
        <v>2022012012</v>
      </c>
      <c r="F861" s="18">
        <v>80.2</v>
      </c>
      <c r="G861" s="18">
        <v>52</v>
      </c>
      <c r="H861" s="18"/>
      <c r="I861" s="18" t="s">
        <v>12</v>
      </c>
    </row>
    <row r="862" s="1" customFormat="1" customHeight="1" spans="1:9">
      <c r="A862" s="18" t="str">
        <f t="shared" si="117"/>
        <v>B2F</v>
      </c>
      <c r="B862" s="19" t="s">
        <v>48</v>
      </c>
      <c r="C862" s="18" t="str">
        <f>"汤志霞"</f>
        <v>汤志霞</v>
      </c>
      <c r="D862" s="18" t="str">
        <f t="shared" si="118"/>
        <v>女</v>
      </c>
      <c r="E862" s="18" t="str">
        <f>"2022011927"</f>
        <v>2022011927</v>
      </c>
      <c r="F862" s="22">
        <v>80</v>
      </c>
      <c r="G862" s="25">
        <v>53</v>
      </c>
      <c r="H862" s="23"/>
      <c r="I862" s="18" t="s">
        <v>12</v>
      </c>
    </row>
    <row r="863" s="1" customFormat="1" customHeight="1" spans="1:9">
      <c r="A863" s="18" t="str">
        <f t="shared" si="117"/>
        <v>B2F</v>
      </c>
      <c r="B863" s="19" t="s">
        <v>48</v>
      </c>
      <c r="C863" s="18" t="str">
        <f>"吴云燕"</f>
        <v>吴云燕</v>
      </c>
      <c r="D863" s="18" t="str">
        <f t="shared" si="118"/>
        <v>女</v>
      </c>
      <c r="E863" s="18" t="str">
        <f>"2022012013"</f>
        <v>2022012013</v>
      </c>
      <c r="F863" s="25">
        <v>79.8</v>
      </c>
      <c r="G863" s="18">
        <v>54</v>
      </c>
      <c r="H863" s="26"/>
      <c r="I863" s="18" t="s">
        <v>12</v>
      </c>
    </row>
    <row r="864" s="1" customFormat="1" customHeight="1" spans="1:9">
      <c r="A864" s="18" t="str">
        <f t="shared" si="117"/>
        <v>B2F</v>
      </c>
      <c r="B864" s="19" t="s">
        <v>48</v>
      </c>
      <c r="C864" s="18" t="str">
        <f>"夏欢玲"</f>
        <v>夏欢玲</v>
      </c>
      <c r="D864" s="18" t="str">
        <f t="shared" si="118"/>
        <v>女</v>
      </c>
      <c r="E864" s="18" t="str">
        <f>"2022012023"</f>
        <v>2022012023</v>
      </c>
      <c r="F864" s="18">
        <v>79.8</v>
      </c>
      <c r="G864" s="25">
        <v>54</v>
      </c>
      <c r="H864" s="18"/>
      <c r="I864" s="18" t="s">
        <v>12</v>
      </c>
    </row>
    <row r="865" s="1" customFormat="1" customHeight="1" spans="1:9">
      <c r="A865" s="18" t="str">
        <f t="shared" si="117"/>
        <v>B2F</v>
      </c>
      <c r="B865" s="19" t="s">
        <v>48</v>
      </c>
      <c r="C865" s="18" t="str">
        <f>"郭莉"</f>
        <v>郭莉</v>
      </c>
      <c r="D865" s="18" t="str">
        <f t="shared" si="118"/>
        <v>女</v>
      </c>
      <c r="E865" s="18" t="str">
        <f>"2022011606"</f>
        <v>2022011606</v>
      </c>
      <c r="F865" s="18">
        <v>79.7</v>
      </c>
      <c r="G865" s="18">
        <v>56</v>
      </c>
      <c r="H865" s="18"/>
      <c r="I865" s="18" t="s">
        <v>12</v>
      </c>
    </row>
    <row r="866" s="1" customFormat="1" customHeight="1" spans="1:9">
      <c r="A866" s="18" t="str">
        <f t="shared" si="117"/>
        <v>B2F</v>
      </c>
      <c r="B866" s="19" t="s">
        <v>48</v>
      </c>
      <c r="C866" s="18" t="str">
        <f>"伍桂云"</f>
        <v>伍桂云</v>
      </c>
      <c r="D866" s="18" t="str">
        <f t="shared" si="118"/>
        <v>女</v>
      </c>
      <c r="E866" s="18" t="str">
        <f>"2022011922"</f>
        <v>2022011922</v>
      </c>
      <c r="F866" s="20">
        <v>79.7</v>
      </c>
      <c r="G866" s="25">
        <v>56</v>
      </c>
      <c r="H866" s="21"/>
      <c r="I866" s="18" t="s">
        <v>12</v>
      </c>
    </row>
    <row r="867" s="1" customFormat="1" customHeight="1" spans="1:9">
      <c r="A867" s="18" t="str">
        <f t="shared" si="117"/>
        <v>B2F</v>
      </c>
      <c r="B867" s="19" t="s">
        <v>48</v>
      </c>
      <c r="C867" s="18" t="str">
        <f>"吴雪花"</f>
        <v>吴雪花</v>
      </c>
      <c r="D867" s="18" t="str">
        <f t="shared" si="118"/>
        <v>女</v>
      </c>
      <c r="E867" s="18" t="str">
        <f>"2022011614"</f>
        <v>2022011614</v>
      </c>
      <c r="F867" s="18">
        <v>79.6</v>
      </c>
      <c r="G867" s="18">
        <v>58</v>
      </c>
      <c r="H867" s="18"/>
      <c r="I867" s="18" t="s">
        <v>12</v>
      </c>
    </row>
    <row r="868" s="1" customFormat="1" customHeight="1" spans="1:9">
      <c r="A868" s="18" t="str">
        <f t="shared" si="117"/>
        <v>B2F</v>
      </c>
      <c r="B868" s="19" t="s">
        <v>48</v>
      </c>
      <c r="C868" s="18" t="str">
        <f>"谢兰英"</f>
        <v>谢兰英</v>
      </c>
      <c r="D868" s="18" t="str">
        <f t="shared" si="118"/>
        <v>女</v>
      </c>
      <c r="E868" s="18" t="str">
        <f>"2022011516"</f>
        <v>2022011516</v>
      </c>
      <c r="F868" s="18">
        <v>79.5</v>
      </c>
      <c r="G868" s="25">
        <v>59</v>
      </c>
      <c r="H868" s="18"/>
      <c r="I868" s="18" t="s">
        <v>12</v>
      </c>
    </row>
    <row r="869" s="1" customFormat="1" customHeight="1" spans="1:9">
      <c r="A869" s="18" t="str">
        <f t="shared" si="117"/>
        <v>B2F</v>
      </c>
      <c r="B869" s="19" t="s">
        <v>48</v>
      </c>
      <c r="C869" s="18" t="str">
        <f>"王建华"</f>
        <v>王建华</v>
      </c>
      <c r="D869" s="18" t="str">
        <f t="shared" si="118"/>
        <v>女</v>
      </c>
      <c r="E869" s="18" t="str">
        <f>"2022011617"</f>
        <v>2022011617</v>
      </c>
      <c r="F869" s="18">
        <v>79.5</v>
      </c>
      <c r="G869" s="18">
        <v>59</v>
      </c>
      <c r="H869" s="18"/>
      <c r="I869" s="18" t="s">
        <v>12</v>
      </c>
    </row>
    <row r="870" s="1" customFormat="1" customHeight="1" spans="1:9">
      <c r="A870" s="18" t="str">
        <f t="shared" si="117"/>
        <v>B2F</v>
      </c>
      <c r="B870" s="19" t="s">
        <v>48</v>
      </c>
      <c r="C870" s="18" t="str">
        <f>"艾仟"</f>
        <v>艾仟</v>
      </c>
      <c r="D870" s="18" t="str">
        <f t="shared" si="118"/>
        <v>女</v>
      </c>
      <c r="E870" s="18" t="str">
        <f>"2022011622"</f>
        <v>2022011622</v>
      </c>
      <c r="F870" s="22">
        <v>79.5</v>
      </c>
      <c r="G870" s="25">
        <v>59</v>
      </c>
      <c r="H870" s="23"/>
      <c r="I870" s="18" t="s">
        <v>12</v>
      </c>
    </row>
    <row r="871" s="1" customFormat="1" customHeight="1" spans="1:9">
      <c r="A871" s="18" t="str">
        <f t="shared" si="117"/>
        <v>B2F</v>
      </c>
      <c r="B871" s="19" t="s">
        <v>48</v>
      </c>
      <c r="C871" s="18" t="str">
        <f>"何润婷"</f>
        <v>何润婷</v>
      </c>
      <c r="D871" s="18" t="str">
        <f t="shared" si="118"/>
        <v>女</v>
      </c>
      <c r="E871" s="18" t="str">
        <f>"2022011706"</f>
        <v>2022011706</v>
      </c>
      <c r="F871" s="24">
        <v>79.5</v>
      </c>
      <c r="G871" s="18">
        <v>59</v>
      </c>
      <c r="H871" s="18"/>
      <c r="I871" s="18" t="s">
        <v>12</v>
      </c>
    </row>
    <row r="872" s="1" customFormat="1" customHeight="1" spans="1:9">
      <c r="A872" s="18" t="str">
        <f t="shared" si="117"/>
        <v>B2F</v>
      </c>
      <c r="B872" s="19" t="s">
        <v>48</v>
      </c>
      <c r="C872" s="18" t="str">
        <f>"邱丽娟"</f>
        <v>邱丽娟</v>
      </c>
      <c r="D872" s="18" t="str">
        <f t="shared" si="118"/>
        <v>女</v>
      </c>
      <c r="E872" s="18" t="str">
        <f>"2022011632"</f>
        <v>2022011632</v>
      </c>
      <c r="F872" s="24">
        <v>79.4</v>
      </c>
      <c r="G872" s="25">
        <v>63</v>
      </c>
      <c r="H872" s="18"/>
      <c r="I872" s="18" t="s">
        <v>12</v>
      </c>
    </row>
    <row r="873" s="1" customFormat="1" customHeight="1" spans="1:9">
      <c r="A873" s="18" t="str">
        <f t="shared" si="117"/>
        <v>B2F</v>
      </c>
      <c r="B873" s="19" t="s">
        <v>48</v>
      </c>
      <c r="C873" s="18" t="str">
        <f>"刘慧"</f>
        <v>刘慧</v>
      </c>
      <c r="D873" s="18" t="str">
        <f t="shared" si="118"/>
        <v>女</v>
      </c>
      <c r="E873" s="18" t="str">
        <f>"2022011818"</f>
        <v>2022011818</v>
      </c>
      <c r="F873" s="24">
        <v>79.3</v>
      </c>
      <c r="G873" s="18">
        <v>64</v>
      </c>
      <c r="H873" s="18"/>
      <c r="I873" s="18" t="s">
        <v>12</v>
      </c>
    </row>
    <row r="874" s="1" customFormat="1" customHeight="1" spans="1:9">
      <c r="A874" s="18" t="str">
        <f t="shared" ref="A874:A937" si="119">"B2F"</f>
        <v>B2F</v>
      </c>
      <c r="B874" s="19" t="s">
        <v>48</v>
      </c>
      <c r="C874" s="18" t="str">
        <f>"庾玲玲"</f>
        <v>庾玲玲</v>
      </c>
      <c r="D874" s="18" t="str">
        <f t="shared" ref="D874:D937" si="120">"女"</f>
        <v>女</v>
      </c>
      <c r="E874" s="18" t="str">
        <f>"2022011625"</f>
        <v>2022011625</v>
      </c>
      <c r="F874" s="24">
        <v>79</v>
      </c>
      <c r="G874" s="25">
        <v>65</v>
      </c>
      <c r="H874" s="18"/>
      <c r="I874" s="18" t="s">
        <v>12</v>
      </c>
    </row>
    <row r="875" s="1" customFormat="1" customHeight="1" spans="1:9">
      <c r="A875" s="18" t="str">
        <f t="shared" si="119"/>
        <v>B2F</v>
      </c>
      <c r="B875" s="19" t="s">
        <v>48</v>
      </c>
      <c r="C875" s="18" t="str">
        <f>"肖琼"</f>
        <v>肖琼</v>
      </c>
      <c r="D875" s="18" t="str">
        <f t="shared" si="120"/>
        <v>女</v>
      </c>
      <c r="E875" s="18" t="str">
        <f>"2022011603"</f>
        <v>2022011603</v>
      </c>
      <c r="F875" s="24">
        <v>78.8</v>
      </c>
      <c r="G875" s="18">
        <v>66</v>
      </c>
      <c r="H875" s="18"/>
      <c r="I875" s="18" t="s">
        <v>12</v>
      </c>
    </row>
    <row r="876" s="1" customFormat="1" customHeight="1" spans="1:9">
      <c r="A876" s="18" t="str">
        <f t="shared" si="119"/>
        <v>B2F</v>
      </c>
      <c r="B876" s="19" t="s">
        <v>48</v>
      </c>
      <c r="C876" s="18" t="str">
        <f>"夏梅丽"</f>
        <v>夏梅丽</v>
      </c>
      <c r="D876" s="18" t="str">
        <f t="shared" si="120"/>
        <v>女</v>
      </c>
      <c r="E876" s="18" t="str">
        <f>"2022011810"</f>
        <v>2022011810</v>
      </c>
      <c r="F876" s="25">
        <v>78.8</v>
      </c>
      <c r="G876" s="25">
        <v>66</v>
      </c>
      <c r="H876" s="26"/>
      <c r="I876" s="18" t="s">
        <v>12</v>
      </c>
    </row>
    <row r="877" s="1" customFormat="1" customHeight="1" spans="1:9">
      <c r="A877" s="18" t="str">
        <f t="shared" si="119"/>
        <v>B2F</v>
      </c>
      <c r="B877" s="19" t="s">
        <v>48</v>
      </c>
      <c r="C877" s="18" t="str">
        <f>"王婷"</f>
        <v>王婷</v>
      </c>
      <c r="D877" s="18" t="str">
        <f t="shared" si="120"/>
        <v>女</v>
      </c>
      <c r="E877" s="18" t="str">
        <f>"2022011824"</f>
        <v>2022011824</v>
      </c>
      <c r="F877" s="18">
        <v>78.8</v>
      </c>
      <c r="G877" s="18">
        <v>66</v>
      </c>
      <c r="H877" s="18"/>
      <c r="I877" s="18" t="s">
        <v>12</v>
      </c>
    </row>
    <row r="878" s="1" customFormat="1" customHeight="1" spans="1:9">
      <c r="A878" s="18" t="str">
        <f t="shared" si="119"/>
        <v>B2F</v>
      </c>
      <c r="B878" s="19" t="s">
        <v>48</v>
      </c>
      <c r="C878" s="18" t="str">
        <f>"尹爱丽"</f>
        <v>尹爱丽</v>
      </c>
      <c r="D878" s="18" t="str">
        <f t="shared" si="120"/>
        <v>女</v>
      </c>
      <c r="E878" s="18" t="str">
        <f>"2022012011"</f>
        <v>2022012011</v>
      </c>
      <c r="F878" s="22">
        <v>78.7</v>
      </c>
      <c r="G878" s="25">
        <v>69</v>
      </c>
      <c r="H878" s="23"/>
      <c r="I878" s="18" t="s">
        <v>12</v>
      </c>
    </row>
    <row r="879" s="1" customFormat="1" customHeight="1" spans="1:9">
      <c r="A879" s="18" t="str">
        <f t="shared" si="119"/>
        <v>B2F</v>
      </c>
      <c r="B879" s="19" t="s">
        <v>48</v>
      </c>
      <c r="C879" s="18" t="str">
        <f>"向诗芬"</f>
        <v>向诗芬</v>
      </c>
      <c r="D879" s="18" t="str">
        <f t="shared" si="120"/>
        <v>女</v>
      </c>
      <c r="E879" s="18" t="str">
        <f>"2022011723"</f>
        <v>2022011723</v>
      </c>
      <c r="F879" s="25">
        <v>78.5</v>
      </c>
      <c r="G879" s="18">
        <v>70</v>
      </c>
      <c r="H879" s="26"/>
      <c r="I879" s="18" t="s">
        <v>12</v>
      </c>
    </row>
    <row r="880" s="1" customFormat="1" customHeight="1" spans="1:9">
      <c r="A880" s="18" t="str">
        <f t="shared" si="119"/>
        <v>B2F</v>
      </c>
      <c r="B880" s="19" t="s">
        <v>48</v>
      </c>
      <c r="C880" s="18" t="str">
        <f>"陈嘉乐"</f>
        <v>陈嘉乐</v>
      </c>
      <c r="D880" s="18" t="str">
        <f t="shared" si="120"/>
        <v>女</v>
      </c>
      <c r="E880" s="18" t="str">
        <f>"2022011916"</f>
        <v>2022011916</v>
      </c>
      <c r="F880" s="18">
        <v>78.5</v>
      </c>
      <c r="G880" s="25">
        <v>70</v>
      </c>
      <c r="H880" s="18"/>
      <c r="I880" s="18" t="s">
        <v>12</v>
      </c>
    </row>
    <row r="881" s="1" customFormat="1" customHeight="1" spans="1:9">
      <c r="A881" s="18" t="str">
        <f t="shared" si="119"/>
        <v>B2F</v>
      </c>
      <c r="B881" s="19" t="s">
        <v>48</v>
      </c>
      <c r="C881" s="18" t="str">
        <f>"李琳"</f>
        <v>李琳</v>
      </c>
      <c r="D881" s="18" t="str">
        <f t="shared" si="120"/>
        <v>女</v>
      </c>
      <c r="E881" s="18" t="str">
        <f>"2022011806"</f>
        <v>2022011806</v>
      </c>
      <c r="F881" s="18">
        <v>78.3</v>
      </c>
      <c r="G881" s="18">
        <v>72</v>
      </c>
      <c r="H881" s="18"/>
      <c r="I881" s="18" t="s">
        <v>12</v>
      </c>
    </row>
    <row r="882" s="1" customFormat="1" customHeight="1" spans="1:9">
      <c r="A882" s="18" t="str">
        <f t="shared" si="119"/>
        <v>B2F</v>
      </c>
      <c r="B882" s="19" t="s">
        <v>48</v>
      </c>
      <c r="C882" s="18" t="str">
        <f>"林显妍"</f>
        <v>林显妍</v>
      </c>
      <c r="D882" s="18" t="str">
        <f t="shared" si="120"/>
        <v>女</v>
      </c>
      <c r="E882" s="18" t="str">
        <f>"2022011807"</f>
        <v>2022011807</v>
      </c>
      <c r="F882" s="22">
        <v>78.3</v>
      </c>
      <c r="G882" s="25">
        <v>72</v>
      </c>
      <c r="H882" s="23"/>
      <c r="I882" s="18" t="s">
        <v>12</v>
      </c>
    </row>
    <row r="883" s="1" customFormat="1" customHeight="1" spans="1:9">
      <c r="A883" s="18" t="str">
        <f t="shared" si="119"/>
        <v>B2F</v>
      </c>
      <c r="B883" s="19" t="s">
        <v>48</v>
      </c>
      <c r="C883" s="18" t="str">
        <f>"李丽梅"</f>
        <v>李丽梅</v>
      </c>
      <c r="D883" s="18" t="str">
        <f t="shared" si="120"/>
        <v>女</v>
      </c>
      <c r="E883" s="18" t="str">
        <f>"2022012025"</f>
        <v>2022012025</v>
      </c>
      <c r="F883" s="25">
        <v>78.2</v>
      </c>
      <c r="G883" s="18">
        <v>74</v>
      </c>
      <c r="H883" s="26"/>
      <c r="I883" s="18" t="s">
        <v>12</v>
      </c>
    </row>
    <row r="884" s="1" customFormat="1" customHeight="1" spans="1:9">
      <c r="A884" s="18" t="str">
        <f t="shared" si="119"/>
        <v>B2F</v>
      </c>
      <c r="B884" s="19" t="s">
        <v>48</v>
      </c>
      <c r="C884" s="18" t="str">
        <f>"邹小丽"</f>
        <v>邹小丽</v>
      </c>
      <c r="D884" s="18" t="str">
        <f t="shared" si="120"/>
        <v>女</v>
      </c>
      <c r="E884" s="18" t="str">
        <f>"2022011815"</f>
        <v>2022011815</v>
      </c>
      <c r="F884" s="18">
        <v>78</v>
      </c>
      <c r="G884" s="25">
        <v>75</v>
      </c>
      <c r="H884" s="18"/>
      <c r="I884" s="18" t="s">
        <v>12</v>
      </c>
    </row>
    <row r="885" s="1" customFormat="1" customHeight="1" spans="1:9">
      <c r="A885" s="18" t="str">
        <f t="shared" si="119"/>
        <v>B2F</v>
      </c>
      <c r="B885" s="19" t="s">
        <v>48</v>
      </c>
      <c r="C885" s="18" t="str">
        <f>"罗巧穗"</f>
        <v>罗巧穗</v>
      </c>
      <c r="D885" s="18" t="str">
        <f t="shared" si="120"/>
        <v>女</v>
      </c>
      <c r="E885" s="18" t="str">
        <f>"2022011930"</f>
        <v>2022011930</v>
      </c>
      <c r="F885" s="20">
        <v>78</v>
      </c>
      <c r="G885" s="18">
        <v>75</v>
      </c>
      <c r="H885" s="21"/>
      <c r="I885" s="18" t="s">
        <v>12</v>
      </c>
    </row>
    <row r="886" s="1" customFormat="1" customHeight="1" spans="1:9">
      <c r="A886" s="18" t="str">
        <f t="shared" si="119"/>
        <v>B2F</v>
      </c>
      <c r="B886" s="19" t="s">
        <v>48</v>
      </c>
      <c r="C886" s="18" t="str">
        <f>"李晶"</f>
        <v>李晶</v>
      </c>
      <c r="D886" s="18" t="str">
        <f t="shared" si="120"/>
        <v>女</v>
      </c>
      <c r="E886" s="18" t="str">
        <f>"2022011825"</f>
        <v>2022011825</v>
      </c>
      <c r="F886" s="18">
        <v>77.9</v>
      </c>
      <c r="G886" s="25">
        <v>77</v>
      </c>
      <c r="H886" s="18"/>
      <c r="I886" s="18" t="s">
        <v>12</v>
      </c>
    </row>
    <row r="887" s="1" customFormat="1" customHeight="1" spans="1:9">
      <c r="A887" s="18" t="str">
        <f t="shared" si="119"/>
        <v>B2F</v>
      </c>
      <c r="B887" s="19" t="s">
        <v>48</v>
      </c>
      <c r="C887" s="18" t="str">
        <f>"阳艳霞"</f>
        <v>阳艳霞</v>
      </c>
      <c r="D887" s="18" t="str">
        <f t="shared" si="120"/>
        <v>女</v>
      </c>
      <c r="E887" s="18" t="str">
        <f>"2022011507"</f>
        <v>2022011507</v>
      </c>
      <c r="F887" s="22">
        <v>77.8</v>
      </c>
      <c r="G887" s="18">
        <v>78</v>
      </c>
      <c r="H887" s="23"/>
      <c r="I887" s="18" t="s">
        <v>12</v>
      </c>
    </row>
    <row r="888" s="1" customFormat="1" customHeight="1" spans="1:9">
      <c r="A888" s="18" t="str">
        <f t="shared" si="119"/>
        <v>B2F</v>
      </c>
      <c r="B888" s="19" t="s">
        <v>48</v>
      </c>
      <c r="C888" s="18" t="str">
        <f>"王宁红"</f>
        <v>王宁红</v>
      </c>
      <c r="D888" s="18" t="str">
        <f t="shared" si="120"/>
        <v>女</v>
      </c>
      <c r="E888" s="18" t="str">
        <f>"2022011833"</f>
        <v>2022011833</v>
      </c>
      <c r="F888" s="25">
        <v>77.4</v>
      </c>
      <c r="G888" s="25">
        <v>79</v>
      </c>
      <c r="H888" s="26"/>
      <c r="I888" s="18" t="s">
        <v>12</v>
      </c>
    </row>
    <row r="889" s="1" customFormat="1" customHeight="1" spans="1:9">
      <c r="A889" s="18" t="str">
        <f t="shared" si="119"/>
        <v>B2F</v>
      </c>
      <c r="B889" s="19" t="s">
        <v>48</v>
      </c>
      <c r="C889" s="18" t="str">
        <f>"孙玉波"</f>
        <v>孙玉波</v>
      </c>
      <c r="D889" s="18" t="str">
        <f t="shared" si="120"/>
        <v>女</v>
      </c>
      <c r="E889" s="18" t="str">
        <f>"2022011613"</f>
        <v>2022011613</v>
      </c>
      <c r="F889" s="18">
        <v>77.3</v>
      </c>
      <c r="G889" s="18">
        <v>80</v>
      </c>
      <c r="H889" s="18"/>
      <c r="I889" s="18" t="s">
        <v>12</v>
      </c>
    </row>
    <row r="890" s="1" customFormat="1" customHeight="1" spans="1:9">
      <c r="A890" s="18" t="str">
        <f t="shared" si="119"/>
        <v>B2F</v>
      </c>
      <c r="B890" s="19" t="s">
        <v>48</v>
      </c>
      <c r="C890" s="18" t="str">
        <f>"杨楚玉"</f>
        <v>杨楚玉</v>
      </c>
      <c r="D890" s="18" t="str">
        <f t="shared" si="120"/>
        <v>女</v>
      </c>
      <c r="E890" s="18" t="str">
        <f>"2022012009"</f>
        <v>2022012009</v>
      </c>
      <c r="F890" s="18">
        <v>77.2</v>
      </c>
      <c r="G890" s="25">
        <v>81</v>
      </c>
      <c r="H890" s="18"/>
      <c r="I890" s="18" t="s">
        <v>12</v>
      </c>
    </row>
    <row r="891" s="1" customFormat="1" customHeight="1" spans="1:9">
      <c r="A891" s="18" t="str">
        <f t="shared" si="119"/>
        <v>B2F</v>
      </c>
      <c r="B891" s="19" t="s">
        <v>48</v>
      </c>
      <c r="C891" s="18" t="str">
        <f>"蒋思琪"</f>
        <v>蒋思琪</v>
      </c>
      <c r="D891" s="18" t="str">
        <f t="shared" si="120"/>
        <v>女</v>
      </c>
      <c r="E891" s="18" t="str">
        <f>"2022011531"</f>
        <v>2022011531</v>
      </c>
      <c r="F891" s="22">
        <v>76.5</v>
      </c>
      <c r="G891" s="18">
        <v>82</v>
      </c>
      <c r="H891" s="23"/>
      <c r="I891" s="18" t="s">
        <v>12</v>
      </c>
    </row>
    <row r="892" s="1" customFormat="1" customHeight="1" spans="1:9">
      <c r="A892" s="18" t="str">
        <f t="shared" si="119"/>
        <v>B2F</v>
      </c>
      <c r="B892" s="19" t="s">
        <v>48</v>
      </c>
      <c r="C892" s="18" t="str">
        <f>"段烨"</f>
        <v>段烨</v>
      </c>
      <c r="D892" s="18" t="str">
        <f t="shared" si="120"/>
        <v>女</v>
      </c>
      <c r="E892" s="18" t="str">
        <f>"2022011827"</f>
        <v>2022011827</v>
      </c>
      <c r="F892" s="25">
        <v>76.3</v>
      </c>
      <c r="G892" s="25">
        <v>83</v>
      </c>
      <c r="H892" s="26"/>
      <c r="I892" s="18" t="s">
        <v>12</v>
      </c>
    </row>
    <row r="893" s="1" customFormat="1" customHeight="1" spans="1:9">
      <c r="A893" s="18" t="str">
        <f t="shared" si="119"/>
        <v>B2F</v>
      </c>
      <c r="B893" s="19" t="s">
        <v>48</v>
      </c>
      <c r="C893" s="18" t="str">
        <f>"黄丹"</f>
        <v>黄丹</v>
      </c>
      <c r="D893" s="18" t="str">
        <f t="shared" si="120"/>
        <v>女</v>
      </c>
      <c r="E893" s="18" t="str">
        <f>"2022011518"</f>
        <v>2022011518</v>
      </c>
      <c r="F893" s="18">
        <v>76.2</v>
      </c>
      <c r="G893" s="18">
        <v>84</v>
      </c>
      <c r="H893" s="18"/>
      <c r="I893" s="18" t="s">
        <v>12</v>
      </c>
    </row>
    <row r="894" s="1" customFormat="1" customHeight="1" spans="1:9">
      <c r="A894" s="18" t="str">
        <f t="shared" si="119"/>
        <v>B2F</v>
      </c>
      <c r="B894" s="19" t="s">
        <v>48</v>
      </c>
      <c r="C894" s="18" t="str">
        <f>"银欣"</f>
        <v>银欣</v>
      </c>
      <c r="D894" s="18" t="str">
        <f t="shared" si="120"/>
        <v>女</v>
      </c>
      <c r="E894" s="18" t="str">
        <f>"2022011726"</f>
        <v>2022011726</v>
      </c>
      <c r="F894" s="20">
        <v>76</v>
      </c>
      <c r="G894" s="25">
        <v>85</v>
      </c>
      <c r="H894" s="21"/>
      <c r="I894" s="18" t="s">
        <v>12</v>
      </c>
    </row>
    <row r="895" s="1" customFormat="1" customHeight="1" spans="1:9">
      <c r="A895" s="18" t="str">
        <f t="shared" si="119"/>
        <v>B2F</v>
      </c>
      <c r="B895" s="19" t="s">
        <v>48</v>
      </c>
      <c r="C895" s="18" t="str">
        <f>"曾丽晶"</f>
        <v>曾丽晶</v>
      </c>
      <c r="D895" s="18" t="str">
        <f t="shared" si="120"/>
        <v>女</v>
      </c>
      <c r="E895" s="18" t="str">
        <f>"2022011903"</f>
        <v>2022011903</v>
      </c>
      <c r="F895" s="18">
        <v>76</v>
      </c>
      <c r="G895" s="18">
        <v>85</v>
      </c>
      <c r="H895" s="18"/>
      <c r="I895" s="18" t="s">
        <v>12</v>
      </c>
    </row>
    <row r="896" s="1" customFormat="1" customHeight="1" spans="1:9">
      <c r="A896" s="18" t="str">
        <f t="shared" si="119"/>
        <v>B2F</v>
      </c>
      <c r="B896" s="19" t="s">
        <v>48</v>
      </c>
      <c r="C896" s="18" t="str">
        <f>"何思盼"</f>
        <v>何思盼</v>
      </c>
      <c r="D896" s="18" t="str">
        <f t="shared" si="120"/>
        <v>女</v>
      </c>
      <c r="E896" s="18" t="str">
        <f>"2022012003"</f>
        <v>2022012003</v>
      </c>
      <c r="F896" s="22">
        <v>76</v>
      </c>
      <c r="G896" s="25">
        <v>85</v>
      </c>
      <c r="H896" s="23"/>
      <c r="I896" s="18" t="s">
        <v>12</v>
      </c>
    </row>
    <row r="897" s="1" customFormat="1" customHeight="1" spans="1:9">
      <c r="A897" s="18" t="str">
        <f t="shared" si="119"/>
        <v>B2F</v>
      </c>
      <c r="B897" s="19" t="s">
        <v>48</v>
      </c>
      <c r="C897" s="18" t="str">
        <f>"黄园园"</f>
        <v>黄园园</v>
      </c>
      <c r="D897" s="18" t="str">
        <f t="shared" si="120"/>
        <v>女</v>
      </c>
      <c r="E897" s="18" t="str">
        <f>"2022011809"</f>
        <v>2022011809</v>
      </c>
      <c r="F897" s="24">
        <v>75.5</v>
      </c>
      <c r="G897" s="18">
        <v>88</v>
      </c>
      <c r="H897" s="18"/>
      <c r="I897" s="18" t="s">
        <v>12</v>
      </c>
    </row>
    <row r="898" s="1" customFormat="1" customHeight="1" spans="1:9">
      <c r="A898" s="18" t="str">
        <f t="shared" si="119"/>
        <v>B2F</v>
      </c>
      <c r="B898" s="19" t="s">
        <v>48</v>
      </c>
      <c r="C898" s="18" t="str">
        <f>"陈思诗"</f>
        <v>陈思诗</v>
      </c>
      <c r="D898" s="18" t="str">
        <f t="shared" si="120"/>
        <v>女</v>
      </c>
      <c r="E898" s="18" t="str">
        <f>"2022011521"</f>
        <v>2022011521</v>
      </c>
      <c r="F898" s="24">
        <v>75.3</v>
      </c>
      <c r="G898" s="25">
        <v>89</v>
      </c>
      <c r="H898" s="18"/>
      <c r="I898" s="18" t="s">
        <v>12</v>
      </c>
    </row>
    <row r="899" s="1" customFormat="1" customHeight="1" spans="1:9">
      <c r="A899" s="18" t="str">
        <f t="shared" si="119"/>
        <v>B2F</v>
      </c>
      <c r="B899" s="19" t="s">
        <v>48</v>
      </c>
      <c r="C899" s="18" t="str">
        <f>"韦聪"</f>
        <v>韦聪</v>
      </c>
      <c r="D899" s="18" t="str">
        <f t="shared" si="120"/>
        <v>女</v>
      </c>
      <c r="E899" s="18" t="str">
        <f>"2022011803"</f>
        <v>2022011803</v>
      </c>
      <c r="F899" s="24">
        <v>75.3</v>
      </c>
      <c r="G899" s="18">
        <v>89</v>
      </c>
      <c r="H899" s="18"/>
      <c r="I899" s="18" t="s">
        <v>12</v>
      </c>
    </row>
    <row r="900" s="1" customFormat="1" customHeight="1" spans="1:9">
      <c r="A900" s="18" t="str">
        <f t="shared" si="119"/>
        <v>B2F</v>
      </c>
      <c r="B900" s="19" t="s">
        <v>48</v>
      </c>
      <c r="C900" s="18" t="str">
        <f>"郑玉荣"</f>
        <v>郑玉荣</v>
      </c>
      <c r="D900" s="18" t="str">
        <f t="shared" si="120"/>
        <v>女</v>
      </c>
      <c r="E900" s="18" t="str">
        <f>"2022011604"</f>
        <v>2022011604</v>
      </c>
      <c r="F900" s="24">
        <v>75</v>
      </c>
      <c r="G900" s="25">
        <v>91</v>
      </c>
      <c r="H900" s="18"/>
      <c r="I900" s="18" t="s">
        <v>12</v>
      </c>
    </row>
    <row r="901" s="1" customFormat="1" customHeight="1" spans="1:9">
      <c r="A901" s="18" t="str">
        <f t="shared" si="119"/>
        <v>B2F</v>
      </c>
      <c r="B901" s="19" t="s">
        <v>48</v>
      </c>
      <c r="C901" s="18" t="str">
        <f>"杨洁"</f>
        <v>杨洁</v>
      </c>
      <c r="D901" s="18" t="str">
        <f t="shared" si="120"/>
        <v>女</v>
      </c>
      <c r="E901" s="18" t="str">
        <f>"2022011511"</f>
        <v>2022011511</v>
      </c>
      <c r="F901" s="25">
        <v>74.9</v>
      </c>
      <c r="G901" s="18">
        <v>92</v>
      </c>
      <c r="H901" s="26"/>
      <c r="I901" s="18" t="s">
        <v>12</v>
      </c>
    </row>
    <row r="902" s="1" customFormat="1" customHeight="1" spans="1:9">
      <c r="A902" s="18" t="str">
        <f t="shared" si="119"/>
        <v>B2F</v>
      </c>
      <c r="B902" s="19" t="s">
        <v>48</v>
      </c>
      <c r="C902" s="18" t="str">
        <f>"李春井"</f>
        <v>李春井</v>
      </c>
      <c r="D902" s="18" t="str">
        <f t="shared" si="120"/>
        <v>女</v>
      </c>
      <c r="E902" s="18" t="str">
        <f>"2022011929"</f>
        <v>2022011929</v>
      </c>
      <c r="F902" s="18">
        <v>74.8</v>
      </c>
      <c r="G902" s="25">
        <v>93</v>
      </c>
      <c r="H902" s="18"/>
      <c r="I902" s="18" t="s">
        <v>12</v>
      </c>
    </row>
    <row r="903" s="1" customFormat="1" customHeight="1" spans="1:9">
      <c r="A903" s="18" t="str">
        <f t="shared" si="119"/>
        <v>B2F</v>
      </c>
      <c r="B903" s="19" t="s">
        <v>48</v>
      </c>
      <c r="C903" s="18" t="str">
        <f>"肖梵"</f>
        <v>肖梵</v>
      </c>
      <c r="D903" s="18" t="str">
        <f t="shared" si="120"/>
        <v>女</v>
      </c>
      <c r="E903" s="18" t="str">
        <f>"2022011605"</f>
        <v>2022011605</v>
      </c>
      <c r="F903" s="18">
        <v>74.7</v>
      </c>
      <c r="G903" s="18">
        <v>94</v>
      </c>
      <c r="H903" s="18"/>
      <c r="I903" s="18" t="s">
        <v>12</v>
      </c>
    </row>
    <row r="904" s="1" customFormat="1" customHeight="1" spans="1:9">
      <c r="A904" s="18" t="str">
        <f t="shared" si="119"/>
        <v>B2F</v>
      </c>
      <c r="B904" s="19" t="s">
        <v>48</v>
      </c>
      <c r="C904" s="18" t="str">
        <f>"何景翠"</f>
        <v>何景翠</v>
      </c>
      <c r="D904" s="18" t="str">
        <f t="shared" si="120"/>
        <v>女</v>
      </c>
      <c r="E904" s="18" t="str">
        <f>"2022011727"</f>
        <v>2022011727</v>
      </c>
      <c r="F904" s="20">
        <v>74.7</v>
      </c>
      <c r="G904" s="25">
        <v>94</v>
      </c>
      <c r="H904" s="21"/>
      <c r="I904" s="18" t="s">
        <v>12</v>
      </c>
    </row>
    <row r="905" s="1" customFormat="1" customHeight="1" spans="1:9">
      <c r="A905" s="18" t="str">
        <f t="shared" si="119"/>
        <v>B2F</v>
      </c>
      <c r="B905" s="19" t="s">
        <v>48</v>
      </c>
      <c r="C905" s="18" t="str">
        <f>"黄慧文"</f>
        <v>黄慧文</v>
      </c>
      <c r="D905" s="18" t="str">
        <f t="shared" si="120"/>
        <v>女</v>
      </c>
      <c r="E905" s="18" t="str">
        <f>"2022011821"</f>
        <v>2022011821</v>
      </c>
      <c r="F905" s="18">
        <v>74.5</v>
      </c>
      <c r="G905" s="18">
        <v>96</v>
      </c>
      <c r="H905" s="18"/>
      <c r="I905" s="18" t="s">
        <v>12</v>
      </c>
    </row>
    <row r="906" s="1" customFormat="1" customHeight="1" spans="1:9">
      <c r="A906" s="18" t="str">
        <f t="shared" si="119"/>
        <v>B2F</v>
      </c>
      <c r="B906" s="19" t="s">
        <v>48</v>
      </c>
      <c r="C906" s="18" t="str">
        <f>"戴慕祺"</f>
        <v>戴慕祺</v>
      </c>
      <c r="D906" s="18" t="str">
        <f t="shared" si="120"/>
        <v>女</v>
      </c>
      <c r="E906" s="18" t="str">
        <f>"2022012017"</f>
        <v>2022012017</v>
      </c>
      <c r="F906" s="22">
        <v>74.5</v>
      </c>
      <c r="G906" s="25">
        <v>96</v>
      </c>
      <c r="H906" s="23"/>
      <c r="I906" s="18" t="s">
        <v>12</v>
      </c>
    </row>
    <row r="907" s="1" customFormat="1" customHeight="1" spans="1:9">
      <c r="A907" s="18" t="str">
        <f t="shared" si="119"/>
        <v>B2F</v>
      </c>
      <c r="B907" s="19" t="s">
        <v>48</v>
      </c>
      <c r="C907" s="18" t="str">
        <f>"伍晓芬"</f>
        <v>伍晓芬</v>
      </c>
      <c r="D907" s="18" t="str">
        <f t="shared" si="120"/>
        <v>女</v>
      </c>
      <c r="E907" s="18" t="str">
        <f>"2022011509"</f>
        <v>2022011509</v>
      </c>
      <c r="F907" s="25">
        <v>74.4</v>
      </c>
      <c r="G907" s="18">
        <v>98</v>
      </c>
      <c r="H907" s="26"/>
      <c r="I907" s="18" t="s">
        <v>12</v>
      </c>
    </row>
    <row r="908" s="1" customFormat="1" customHeight="1" spans="1:9">
      <c r="A908" s="18" t="str">
        <f t="shared" si="119"/>
        <v>B2F</v>
      </c>
      <c r="B908" s="19" t="s">
        <v>48</v>
      </c>
      <c r="C908" s="18" t="str">
        <f>"李花蝶"</f>
        <v>李花蝶</v>
      </c>
      <c r="D908" s="18" t="str">
        <f t="shared" si="120"/>
        <v>女</v>
      </c>
      <c r="E908" s="18" t="str">
        <f>"2022011607"</f>
        <v>2022011607</v>
      </c>
      <c r="F908" s="18">
        <v>74.2</v>
      </c>
      <c r="G908" s="25">
        <v>99</v>
      </c>
      <c r="H908" s="18"/>
      <c r="I908" s="18" t="s">
        <v>12</v>
      </c>
    </row>
    <row r="909" s="1" customFormat="1" customHeight="1" spans="1:9">
      <c r="A909" s="18" t="str">
        <f t="shared" si="119"/>
        <v>B2F</v>
      </c>
      <c r="B909" s="19" t="s">
        <v>48</v>
      </c>
      <c r="C909" s="18" t="str">
        <f>"邓瑜琳"</f>
        <v>邓瑜琳</v>
      </c>
      <c r="D909" s="18" t="str">
        <f t="shared" si="120"/>
        <v>女</v>
      </c>
      <c r="E909" s="18" t="str">
        <f>"2022011733"</f>
        <v>2022011733</v>
      </c>
      <c r="F909" s="22">
        <v>73.7</v>
      </c>
      <c r="G909" s="18">
        <v>100</v>
      </c>
      <c r="H909" s="23"/>
      <c r="I909" s="18" t="s">
        <v>12</v>
      </c>
    </row>
    <row r="910" s="1" customFormat="1" customHeight="1" spans="1:9">
      <c r="A910" s="18" t="str">
        <f t="shared" si="119"/>
        <v>B2F</v>
      </c>
      <c r="B910" s="19" t="s">
        <v>48</v>
      </c>
      <c r="C910" s="18" t="str">
        <f>"唐竺婳"</f>
        <v>唐竺婳</v>
      </c>
      <c r="D910" s="18" t="str">
        <f t="shared" si="120"/>
        <v>女</v>
      </c>
      <c r="E910" s="18" t="str">
        <f>"2022012027"</f>
        <v>2022012027</v>
      </c>
      <c r="F910" s="24">
        <v>73.4</v>
      </c>
      <c r="G910" s="25">
        <v>101</v>
      </c>
      <c r="H910" s="18"/>
      <c r="I910" s="18" t="s">
        <v>12</v>
      </c>
    </row>
    <row r="911" s="1" customFormat="1" customHeight="1" spans="1:9">
      <c r="A911" s="18" t="str">
        <f t="shared" si="119"/>
        <v>B2F</v>
      </c>
      <c r="B911" s="19" t="s">
        <v>48</v>
      </c>
      <c r="C911" s="18" t="str">
        <f>"向晖东"</f>
        <v>向晖东</v>
      </c>
      <c r="D911" s="18" t="str">
        <f t="shared" si="120"/>
        <v>女</v>
      </c>
      <c r="E911" s="18" t="str">
        <f>"2022011826"</f>
        <v>2022011826</v>
      </c>
      <c r="F911" s="24">
        <v>73.2</v>
      </c>
      <c r="G911" s="18">
        <v>102</v>
      </c>
      <c r="H911" s="18"/>
      <c r="I911" s="18" t="s">
        <v>12</v>
      </c>
    </row>
    <row r="912" s="1" customFormat="1" customHeight="1" spans="1:9">
      <c r="A912" s="18" t="str">
        <f t="shared" si="119"/>
        <v>B2F</v>
      </c>
      <c r="B912" s="19" t="s">
        <v>48</v>
      </c>
      <c r="C912" s="18" t="str">
        <f>"谢凌云"</f>
        <v>谢凌云</v>
      </c>
      <c r="D912" s="18" t="str">
        <f t="shared" si="120"/>
        <v>女</v>
      </c>
      <c r="E912" s="18" t="str">
        <f>"2022012018"</f>
        <v>2022012018</v>
      </c>
      <c r="F912" s="24">
        <v>73</v>
      </c>
      <c r="G912" s="25">
        <v>103</v>
      </c>
      <c r="H912" s="18"/>
      <c r="I912" s="18" t="s">
        <v>12</v>
      </c>
    </row>
    <row r="913" s="1" customFormat="1" customHeight="1" spans="1:9">
      <c r="A913" s="18" t="str">
        <f t="shared" si="119"/>
        <v>B2F</v>
      </c>
      <c r="B913" s="19" t="s">
        <v>48</v>
      </c>
      <c r="C913" s="18" t="str">
        <f>"蒋韬"</f>
        <v>蒋韬</v>
      </c>
      <c r="D913" s="18" t="str">
        <f t="shared" si="120"/>
        <v>女</v>
      </c>
      <c r="E913" s="18" t="str">
        <f>"2022011601"</f>
        <v>2022011601</v>
      </c>
      <c r="F913" s="24">
        <v>72.8</v>
      </c>
      <c r="G913" s="18">
        <v>104</v>
      </c>
      <c r="H913" s="18"/>
      <c r="I913" s="18" t="s">
        <v>12</v>
      </c>
    </row>
    <row r="914" s="1" customFormat="1" customHeight="1" spans="1:9">
      <c r="A914" s="18" t="str">
        <f t="shared" si="119"/>
        <v>B2F</v>
      </c>
      <c r="B914" s="19" t="s">
        <v>48</v>
      </c>
      <c r="C914" s="18" t="str">
        <f>"刘梦婷"</f>
        <v>刘梦婷</v>
      </c>
      <c r="D914" s="18" t="str">
        <f t="shared" si="120"/>
        <v>女</v>
      </c>
      <c r="E914" s="18" t="str">
        <f>"2022011525"</f>
        <v>2022011525</v>
      </c>
      <c r="F914" s="24">
        <v>72.6</v>
      </c>
      <c r="G914" s="25">
        <v>105</v>
      </c>
      <c r="H914" s="18"/>
      <c r="I914" s="18" t="s">
        <v>12</v>
      </c>
    </row>
    <row r="915" s="1" customFormat="1" customHeight="1" spans="1:9">
      <c r="A915" s="18" t="str">
        <f t="shared" si="119"/>
        <v>B2F</v>
      </c>
      <c r="B915" s="19" t="s">
        <v>48</v>
      </c>
      <c r="C915" s="18" t="str">
        <f>"饶丽娟"</f>
        <v>饶丽娟</v>
      </c>
      <c r="D915" s="18" t="str">
        <f t="shared" si="120"/>
        <v>女</v>
      </c>
      <c r="E915" s="18" t="str">
        <f>"2022011719"</f>
        <v>2022011719</v>
      </c>
      <c r="F915" s="24">
        <v>72.5</v>
      </c>
      <c r="G915" s="18">
        <v>106</v>
      </c>
      <c r="H915" s="18"/>
      <c r="I915" s="18" t="s">
        <v>12</v>
      </c>
    </row>
    <row r="916" s="1" customFormat="1" customHeight="1" spans="1:9">
      <c r="A916" s="18" t="str">
        <f t="shared" si="119"/>
        <v>B2F</v>
      </c>
      <c r="B916" s="19" t="s">
        <v>48</v>
      </c>
      <c r="C916" s="18" t="str">
        <f>"曾雪"</f>
        <v>曾雪</v>
      </c>
      <c r="D916" s="18" t="str">
        <f t="shared" si="120"/>
        <v>女</v>
      </c>
      <c r="E916" s="18" t="str">
        <f>"2022012032"</f>
        <v>2022012032</v>
      </c>
      <c r="F916" s="25">
        <v>72.5</v>
      </c>
      <c r="G916" s="25">
        <v>106</v>
      </c>
      <c r="H916" s="26"/>
      <c r="I916" s="18" t="s">
        <v>12</v>
      </c>
    </row>
    <row r="917" s="1" customFormat="1" customHeight="1" spans="1:9">
      <c r="A917" s="18" t="str">
        <f t="shared" si="119"/>
        <v>B2F</v>
      </c>
      <c r="B917" s="19" t="s">
        <v>48</v>
      </c>
      <c r="C917" s="18" t="str">
        <f>"周敏"</f>
        <v>周敏</v>
      </c>
      <c r="D917" s="18" t="str">
        <f t="shared" si="120"/>
        <v>女</v>
      </c>
      <c r="E917" s="18" t="str">
        <f>"2022012002"</f>
        <v>2022012002</v>
      </c>
      <c r="F917" s="18">
        <v>72.4</v>
      </c>
      <c r="G917" s="18">
        <v>108</v>
      </c>
      <c r="H917" s="18"/>
      <c r="I917" s="18" t="s">
        <v>12</v>
      </c>
    </row>
    <row r="918" s="1" customFormat="1" customHeight="1" spans="1:9">
      <c r="A918" s="18" t="str">
        <f t="shared" si="119"/>
        <v>B2F</v>
      </c>
      <c r="B918" s="19" t="s">
        <v>48</v>
      </c>
      <c r="C918" s="18" t="str">
        <f>"易响梅"</f>
        <v>易响梅</v>
      </c>
      <c r="D918" s="18" t="str">
        <f t="shared" si="120"/>
        <v>女</v>
      </c>
      <c r="E918" s="18" t="str">
        <f>"2022012029"</f>
        <v>2022012029</v>
      </c>
      <c r="F918" s="22">
        <v>72.1</v>
      </c>
      <c r="G918" s="25">
        <v>109</v>
      </c>
      <c r="H918" s="23"/>
      <c r="I918" s="18" t="s">
        <v>12</v>
      </c>
    </row>
    <row r="919" s="1" customFormat="1" customHeight="1" spans="1:9">
      <c r="A919" s="18" t="str">
        <f t="shared" si="119"/>
        <v>B2F</v>
      </c>
      <c r="B919" s="19" t="s">
        <v>48</v>
      </c>
      <c r="C919" s="18" t="str">
        <f>"邓沙沙"</f>
        <v>邓沙沙</v>
      </c>
      <c r="D919" s="18" t="str">
        <f t="shared" si="120"/>
        <v>女</v>
      </c>
      <c r="E919" s="18" t="str">
        <f>"2022011902"</f>
        <v>2022011902</v>
      </c>
      <c r="F919" s="24">
        <v>72</v>
      </c>
      <c r="G919" s="18">
        <v>110</v>
      </c>
      <c r="H919" s="18"/>
      <c r="I919" s="18" t="s">
        <v>12</v>
      </c>
    </row>
    <row r="920" s="1" customFormat="1" customHeight="1" spans="1:9">
      <c r="A920" s="18" t="str">
        <f t="shared" si="119"/>
        <v>B2F</v>
      </c>
      <c r="B920" s="19" t="s">
        <v>48</v>
      </c>
      <c r="C920" s="18" t="str">
        <f>"夏莹"</f>
        <v>夏莹</v>
      </c>
      <c r="D920" s="18" t="str">
        <f t="shared" si="120"/>
        <v>女</v>
      </c>
      <c r="E920" s="18" t="str">
        <f>"2022011515"</f>
        <v>2022011515</v>
      </c>
      <c r="F920" s="24">
        <v>71.9</v>
      </c>
      <c r="G920" s="25">
        <v>111</v>
      </c>
      <c r="H920" s="18"/>
      <c r="I920" s="18" t="s">
        <v>12</v>
      </c>
    </row>
    <row r="921" s="1" customFormat="1" customHeight="1" spans="1:9">
      <c r="A921" s="18" t="str">
        <f t="shared" si="119"/>
        <v>B2F</v>
      </c>
      <c r="B921" s="19" t="s">
        <v>48</v>
      </c>
      <c r="C921" s="18" t="str">
        <f>"王文惠"</f>
        <v>王文惠</v>
      </c>
      <c r="D921" s="18" t="str">
        <f t="shared" si="120"/>
        <v>女</v>
      </c>
      <c r="E921" s="18" t="str">
        <f>"2022011609"</f>
        <v>2022011609</v>
      </c>
      <c r="F921" s="25">
        <v>71.9</v>
      </c>
      <c r="G921" s="18">
        <v>111</v>
      </c>
      <c r="H921" s="26"/>
      <c r="I921" s="18" t="s">
        <v>12</v>
      </c>
    </row>
    <row r="922" s="1" customFormat="1" customHeight="1" spans="1:9">
      <c r="A922" s="18" t="str">
        <f t="shared" si="119"/>
        <v>B2F</v>
      </c>
      <c r="B922" s="19" t="s">
        <v>48</v>
      </c>
      <c r="C922" s="18" t="str">
        <f>"齐思思"</f>
        <v>齐思思</v>
      </c>
      <c r="D922" s="18" t="str">
        <f t="shared" si="120"/>
        <v>女</v>
      </c>
      <c r="E922" s="18" t="str">
        <f>"2022012031"</f>
        <v>2022012031</v>
      </c>
      <c r="F922" s="18">
        <v>71.7</v>
      </c>
      <c r="G922" s="25">
        <v>113</v>
      </c>
      <c r="H922" s="18"/>
      <c r="I922" s="18" t="s">
        <v>12</v>
      </c>
    </row>
    <row r="923" s="1" customFormat="1" customHeight="1" spans="1:9">
      <c r="A923" s="18" t="str">
        <f t="shared" si="119"/>
        <v>B2F</v>
      </c>
      <c r="B923" s="19" t="s">
        <v>48</v>
      </c>
      <c r="C923" s="18" t="str">
        <f>"达慧"</f>
        <v>达慧</v>
      </c>
      <c r="D923" s="18" t="str">
        <f t="shared" si="120"/>
        <v>女</v>
      </c>
      <c r="E923" s="18" t="str">
        <f>"2022011828"</f>
        <v>2022011828</v>
      </c>
      <c r="F923" s="18">
        <v>71.5</v>
      </c>
      <c r="G923" s="18">
        <v>114</v>
      </c>
      <c r="H923" s="18"/>
      <c r="I923" s="18" t="s">
        <v>12</v>
      </c>
    </row>
    <row r="924" s="1" customFormat="1" customHeight="1" spans="1:9">
      <c r="A924" s="18" t="str">
        <f t="shared" si="119"/>
        <v>B2F</v>
      </c>
      <c r="B924" s="19" t="s">
        <v>48</v>
      </c>
      <c r="C924" s="18" t="str">
        <f>"高娟"</f>
        <v>高娟</v>
      </c>
      <c r="D924" s="18" t="str">
        <f t="shared" si="120"/>
        <v>女</v>
      </c>
      <c r="E924" s="18" t="str">
        <f>"2022011608"</f>
        <v>2022011608</v>
      </c>
      <c r="F924" s="22">
        <v>71.4</v>
      </c>
      <c r="G924" s="25">
        <v>115</v>
      </c>
      <c r="H924" s="23"/>
      <c r="I924" s="18" t="s">
        <v>12</v>
      </c>
    </row>
    <row r="925" s="1" customFormat="1" customHeight="1" spans="1:9">
      <c r="A925" s="18" t="str">
        <f t="shared" si="119"/>
        <v>B2F</v>
      </c>
      <c r="B925" s="19" t="s">
        <v>48</v>
      </c>
      <c r="C925" s="18" t="str">
        <f>"王红林"</f>
        <v>王红林</v>
      </c>
      <c r="D925" s="18" t="str">
        <f t="shared" si="120"/>
        <v>女</v>
      </c>
      <c r="E925" s="18" t="str">
        <f>"2022011709"</f>
        <v>2022011709</v>
      </c>
      <c r="F925" s="24">
        <v>70.8</v>
      </c>
      <c r="G925" s="18">
        <v>116</v>
      </c>
      <c r="H925" s="18"/>
      <c r="I925" s="18" t="s">
        <v>12</v>
      </c>
    </row>
    <row r="926" s="1" customFormat="1" customHeight="1" spans="1:9">
      <c r="A926" s="18" t="str">
        <f t="shared" si="119"/>
        <v>B2F</v>
      </c>
      <c r="B926" s="19" t="s">
        <v>48</v>
      </c>
      <c r="C926" s="18" t="str">
        <f>"肖颖"</f>
        <v>肖颖</v>
      </c>
      <c r="D926" s="18" t="str">
        <f t="shared" si="120"/>
        <v>女</v>
      </c>
      <c r="E926" s="18" t="str">
        <f>"2022011506"</f>
        <v>2022011506</v>
      </c>
      <c r="F926" s="24">
        <v>70</v>
      </c>
      <c r="G926" s="25">
        <v>117</v>
      </c>
      <c r="H926" s="18"/>
      <c r="I926" s="18" t="s">
        <v>12</v>
      </c>
    </row>
    <row r="927" s="1" customFormat="1" customHeight="1" spans="1:9">
      <c r="A927" s="18" t="str">
        <f t="shared" si="119"/>
        <v>B2F</v>
      </c>
      <c r="B927" s="19" t="s">
        <v>48</v>
      </c>
      <c r="C927" s="18" t="str">
        <f>"段金铃"</f>
        <v>段金铃</v>
      </c>
      <c r="D927" s="18" t="str">
        <f t="shared" si="120"/>
        <v>女</v>
      </c>
      <c r="E927" s="18" t="str">
        <f>"2022011804"</f>
        <v>2022011804</v>
      </c>
      <c r="F927" s="24">
        <v>70</v>
      </c>
      <c r="G927" s="18">
        <v>117</v>
      </c>
      <c r="H927" s="18"/>
      <c r="I927" s="18" t="s">
        <v>12</v>
      </c>
    </row>
    <row r="928" s="1" customFormat="1" customHeight="1" spans="1:9">
      <c r="A928" s="18" t="str">
        <f t="shared" si="119"/>
        <v>B2F</v>
      </c>
      <c r="B928" s="19" t="s">
        <v>48</v>
      </c>
      <c r="C928" s="18" t="str">
        <f>"郑碧玲"</f>
        <v>郑碧玲</v>
      </c>
      <c r="D928" s="18" t="str">
        <f t="shared" si="120"/>
        <v>女</v>
      </c>
      <c r="E928" s="18" t="str">
        <f>"2022011801"</f>
        <v>2022011801</v>
      </c>
      <c r="F928" s="24">
        <v>69.9</v>
      </c>
      <c r="G928" s="25">
        <v>119</v>
      </c>
      <c r="H928" s="18"/>
      <c r="I928" s="18" t="s">
        <v>12</v>
      </c>
    </row>
    <row r="929" s="1" customFormat="1" customHeight="1" spans="1:9">
      <c r="A929" s="18" t="str">
        <f t="shared" si="119"/>
        <v>B2F</v>
      </c>
      <c r="B929" s="19" t="s">
        <v>48</v>
      </c>
      <c r="C929" s="18" t="str">
        <f>"刘黎姿"</f>
        <v>刘黎姿</v>
      </c>
      <c r="D929" s="18" t="str">
        <f t="shared" si="120"/>
        <v>女</v>
      </c>
      <c r="E929" s="18" t="str">
        <f>"2022012024"</f>
        <v>2022012024</v>
      </c>
      <c r="F929" s="24">
        <v>69.8</v>
      </c>
      <c r="G929" s="18">
        <v>120</v>
      </c>
      <c r="H929" s="18"/>
      <c r="I929" s="18" t="s">
        <v>12</v>
      </c>
    </row>
    <row r="930" s="1" customFormat="1" customHeight="1" spans="1:9">
      <c r="A930" s="18" t="str">
        <f t="shared" si="119"/>
        <v>B2F</v>
      </c>
      <c r="B930" s="19" t="s">
        <v>48</v>
      </c>
      <c r="C930" s="18" t="str">
        <f>"袁涪芹"</f>
        <v>袁涪芹</v>
      </c>
      <c r="D930" s="18" t="str">
        <f t="shared" si="120"/>
        <v>女</v>
      </c>
      <c r="E930" s="18" t="str">
        <f>"2022011823"</f>
        <v>2022011823</v>
      </c>
      <c r="F930" s="24">
        <v>69</v>
      </c>
      <c r="G930" s="25">
        <v>121</v>
      </c>
      <c r="H930" s="18"/>
      <c r="I930" s="18" t="s">
        <v>12</v>
      </c>
    </row>
    <row r="931" s="1" customFormat="1" customHeight="1" spans="1:9">
      <c r="A931" s="18" t="str">
        <f t="shared" si="119"/>
        <v>B2F</v>
      </c>
      <c r="B931" s="19" t="s">
        <v>48</v>
      </c>
      <c r="C931" s="18" t="str">
        <f>"尹双洋"</f>
        <v>尹双洋</v>
      </c>
      <c r="D931" s="18" t="str">
        <f t="shared" si="120"/>
        <v>女</v>
      </c>
      <c r="E931" s="18" t="str">
        <f>"2022011517"</f>
        <v>2022011517</v>
      </c>
      <c r="F931" s="24">
        <v>68.5</v>
      </c>
      <c r="G931" s="18">
        <v>122</v>
      </c>
      <c r="H931" s="18"/>
      <c r="I931" s="18" t="s">
        <v>12</v>
      </c>
    </row>
    <row r="932" s="1" customFormat="1" customHeight="1" spans="1:9">
      <c r="A932" s="18" t="str">
        <f t="shared" si="119"/>
        <v>B2F</v>
      </c>
      <c r="B932" s="19" t="s">
        <v>48</v>
      </c>
      <c r="C932" s="18" t="str">
        <f>"周程"</f>
        <v>周程</v>
      </c>
      <c r="D932" s="18" t="str">
        <f t="shared" si="120"/>
        <v>女</v>
      </c>
      <c r="E932" s="18" t="str">
        <f>"2022011919"</f>
        <v>2022011919</v>
      </c>
      <c r="F932" s="24">
        <v>67.5</v>
      </c>
      <c r="G932" s="25">
        <v>123</v>
      </c>
      <c r="H932" s="18"/>
      <c r="I932" s="18" t="s">
        <v>12</v>
      </c>
    </row>
    <row r="933" s="1" customFormat="1" customHeight="1" spans="1:9">
      <c r="A933" s="18" t="str">
        <f t="shared" si="119"/>
        <v>B2F</v>
      </c>
      <c r="B933" s="19" t="s">
        <v>48</v>
      </c>
      <c r="C933" s="18" t="str">
        <f>"杨芳梅"</f>
        <v>杨芳梅</v>
      </c>
      <c r="D933" s="18" t="str">
        <f t="shared" si="120"/>
        <v>女</v>
      </c>
      <c r="E933" s="18" t="str">
        <f>"2022011631"</f>
        <v>2022011631</v>
      </c>
      <c r="F933" s="24">
        <v>67</v>
      </c>
      <c r="G933" s="18">
        <v>124</v>
      </c>
      <c r="H933" s="18"/>
      <c r="I933" s="18" t="s">
        <v>12</v>
      </c>
    </row>
    <row r="934" s="1" customFormat="1" customHeight="1" spans="1:9">
      <c r="A934" s="18" t="str">
        <f t="shared" si="119"/>
        <v>B2F</v>
      </c>
      <c r="B934" s="19" t="s">
        <v>48</v>
      </c>
      <c r="C934" s="18" t="str">
        <f>"许莎莎"</f>
        <v>许莎莎</v>
      </c>
      <c r="D934" s="18" t="str">
        <f t="shared" si="120"/>
        <v>女</v>
      </c>
      <c r="E934" s="18" t="str">
        <f>"2022011814"</f>
        <v>2022011814</v>
      </c>
      <c r="F934" s="24">
        <v>67</v>
      </c>
      <c r="G934" s="25">
        <v>124</v>
      </c>
      <c r="H934" s="18"/>
      <c r="I934" s="18" t="s">
        <v>12</v>
      </c>
    </row>
    <row r="935" s="1" customFormat="1" customHeight="1" spans="1:9">
      <c r="A935" s="18" t="str">
        <f t="shared" si="119"/>
        <v>B2F</v>
      </c>
      <c r="B935" s="19" t="s">
        <v>48</v>
      </c>
      <c r="C935" s="18" t="str">
        <f>"于江雪"</f>
        <v>于江雪</v>
      </c>
      <c r="D935" s="18" t="str">
        <f t="shared" si="120"/>
        <v>女</v>
      </c>
      <c r="E935" s="18" t="str">
        <f>"2022011705"</f>
        <v>2022011705</v>
      </c>
      <c r="F935" s="25">
        <v>66.3</v>
      </c>
      <c r="G935" s="18">
        <v>126</v>
      </c>
      <c r="H935" s="26"/>
      <c r="I935" s="18" t="s">
        <v>12</v>
      </c>
    </row>
    <row r="936" s="1" customFormat="1" customHeight="1" spans="1:9">
      <c r="A936" s="18" t="str">
        <f t="shared" si="119"/>
        <v>B2F</v>
      </c>
      <c r="B936" s="19" t="s">
        <v>48</v>
      </c>
      <c r="C936" s="18" t="str">
        <f>"杨小玲"</f>
        <v>杨小玲</v>
      </c>
      <c r="D936" s="18" t="str">
        <f t="shared" si="120"/>
        <v>女</v>
      </c>
      <c r="E936" s="18" t="str">
        <f>"2022011501"</f>
        <v>2022011501</v>
      </c>
      <c r="F936" s="18">
        <v>63.7</v>
      </c>
      <c r="G936" s="25">
        <v>127</v>
      </c>
      <c r="H936" s="18"/>
      <c r="I936" s="18" t="s">
        <v>12</v>
      </c>
    </row>
    <row r="937" s="1" customFormat="1" customHeight="1" spans="1:9">
      <c r="A937" s="18" t="str">
        <f t="shared" si="119"/>
        <v>B2F</v>
      </c>
      <c r="B937" s="19" t="s">
        <v>48</v>
      </c>
      <c r="C937" s="18" t="str">
        <f>"徐新兴"</f>
        <v>徐新兴</v>
      </c>
      <c r="D937" s="18" t="str">
        <f t="shared" si="120"/>
        <v>女</v>
      </c>
      <c r="E937" s="18" t="str">
        <f>"2022011920"</f>
        <v>2022011920</v>
      </c>
      <c r="F937" s="20">
        <v>63.6</v>
      </c>
      <c r="G937" s="18">
        <v>128</v>
      </c>
      <c r="H937" s="21"/>
      <c r="I937" s="18" t="s">
        <v>12</v>
      </c>
    </row>
    <row r="938" s="1" customFormat="1" customHeight="1" spans="1:9">
      <c r="A938" s="18" t="str">
        <f t="shared" ref="A938:A1001" si="121">"B2F"</f>
        <v>B2F</v>
      </c>
      <c r="B938" s="19" t="s">
        <v>48</v>
      </c>
      <c r="C938" s="18" t="str">
        <f>"唐丽"</f>
        <v>唐丽</v>
      </c>
      <c r="D938" s="18" t="str">
        <f t="shared" ref="D938:D1001" si="122">"女"</f>
        <v>女</v>
      </c>
      <c r="E938" s="18" t="str">
        <f>"2022011911"</f>
        <v>2022011911</v>
      </c>
      <c r="F938" s="18">
        <v>60</v>
      </c>
      <c r="G938" s="25">
        <v>129</v>
      </c>
      <c r="H938" s="18"/>
      <c r="I938" s="18" t="s">
        <v>12</v>
      </c>
    </row>
    <row r="939" s="1" customFormat="1" customHeight="1" spans="1:9">
      <c r="A939" s="18" t="str">
        <f t="shared" si="121"/>
        <v>B2F</v>
      </c>
      <c r="B939" s="19" t="s">
        <v>48</v>
      </c>
      <c r="C939" s="18" t="str">
        <f>"唐烛源"</f>
        <v>唐烛源</v>
      </c>
      <c r="D939" s="18" t="str">
        <f t="shared" si="122"/>
        <v>女</v>
      </c>
      <c r="E939" s="18" t="str">
        <f>"2022012026"</f>
        <v>2022012026</v>
      </c>
      <c r="F939" s="20">
        <v>60</v>
      </c>
      <c r="G939" s="18">
        <v>129</v>
      </c>
      <c r="H939" s="21"/>
      <c r="I939" s="18" t="s">
        <v>12</v>
      </c>
    </row>
    <row r="940" s="1" customFormat="1" customHeight="1" spans="1:9">
      <c r="A940" s="18" t="str">
        <f t="shared" si="121"/>
        <v>B2F</v>
      </c>
      <c r="B940" s="19" t="s">
        <v>48</v>
      </c>
      <c r="C940" s="18" t="str">
        <f>"刘邓菡婷"</f>
        <v>刘邓菡婷</v>
      </c>
      <c r="D940" s="18" t="str">
        <f t="shared" si="122"/>
        <v>女</v>
      </c>
      <c r="E940" s="18" t="str">
        <f>"2022011728"</f>
        <v>2022011728</v>
      </c>
      <c r="F940" s="18">
        <v>53</v>
      </c>
      <c r="G940" s="25">
        <v>131</v>
      </c>
      <c r="H940" s="18"/>
      <c r="I940" s="18" t="s">
        <v>12</v>
      </c>
    </row>
    <row r="941" s="1" customFormat="1" customHeight="1" spans="1:9">
      <c r="A941" s="18" t="str">
        <f t="shared" si="121"/>
        <v>B2F</v>
      </c>
      <c r="B941" s="19" t="s">
        <v>48</v>
      </c>
      <c r="C941" s="18" t="str">
        <f>"宗亚萍"</f>
        <v>宗亚萍</v>
      </c>
      <c r="D941" s="18" t="str">
        <f t="shared" si="122"/>
        <v>女</v>
      </c>
      <c r="E941" s="18" t="str">
        <f>"2022011502"</f>
        <v>2022011502</v>
      </c>
      <c r="F941" s="22">
        <v>0</v>
      </c>
      <c r="G941" s="18">
        <v>132</v>
      </c>
      <c r="H941" s="23" t="s">
        <v>13</v>
      </c>
      <c r="I941" s="18" t="s">
        <v>12</v>
      </c>
    </row>
    <row r="942" s="1" customFormat="1" customHeight="1" spans="1:9">
      <c r="A942" s="18" t="str">
        <f t="shared" si="121"/>
        <v>B2F</v>
      </c>
      <c r="B942" s="19" t="s">
        <v>48</v>
      </c>
      <c r="C942" s="18" t="str">
        <f>"周志玲"</f>
        <v>周志玲</v>
      </c>
      <c r="D942" s="18" t="str">
        <f t="shared" si="122"/>
        <v>女</v>
      </c>
      <c r="E942" s="18" t="str">
        <f>"2022011503"</f>
        <v>2022011503</v>
      </c>
      <c r="F942" s="25">
        <v>0</v>
      </c>
      <c r="G942" s="25">
        <v>132</v>
      </c>
      <c r="H942" s="26" t="s">
        <v>13</v>
      </c>
      <c r="I942" s="18" t="s">
        <v>12</v>
      </c>
    </row>
    <row r="943" s="1" customFormat="1" customHeight="1" spans="1:9">
      <c r="A943" s="18" t="str">
        <f t="shared" si="121"/>
        <v>B2F</v>
      </c>
      <c r="B943" s="19" t="s">
        <v>48</v>
      </c>
      <c r="C943" s="18" t="str">
        <f>"肖春明"</f>
        <v>肖春明</v>
      </c>
      <c r="D943" s="18" t="str">
        <f t="shared" si="122"/>
        <v>女</v>
      </c>
      <c r="E943" s="18" t="str">
        <f>"2022011504"</f>
        <v>2022011504</v>
      </c>
      <c r="F943" s="18">
        <v>0</v>
      </c>
      <c r="G943" s="18">
        <v>132</v>
      </c>
      <c r="H943" s="18" t="s">
        <v>13</v>
      </c>
      <c r="I943" s="18" t="s">
        <v>12</v>
      </c>
    </row>
    <row r="944" s="1" customFormat="1" customHeight="1" spans="1:9">
      <c r="A944" s="18" t="str">
        <f t="shared" si="121"/>
        <v>B2F</v>
      </c>
      <c r="B944" s="19" t="s">
        <v>48</v>
      </c>
      <c r="C944" s="18" t="str">
        <f>"周芝芬"</f>
        <v>周芝芬</v>
      </c>
      <c r="D944" s="18" t="str">
        <f t="shared" si="122"/>
        <v>女</v>
      </c>
      <c r="E944" s="18" t="str">
        <f>"2022011508"</f>
        <v>2022011508</v>
      </c>
      <c r="F944" s="18">
        <v>0</v>
      </c>
      <c r="G944" s="25">
        <v>132</v>
      </c>
      <c r="H944" s="18" t="s">
        <v>13</v>
      </c>
      <c r="I944" s="18" t="s">
        <v>12</v>
      </c>
    </row>
    <row r="945" s="1" customFormat="1" customHeight="1" spans="1:9">
      <c r="A945" s="18" t="str">
        <f t="shared" si="121"/>
        <v>B2F</v>
      </c>
      <c r="B945" s="19" t="s">
        <v>48</v>
      </c>
      <c r="C945" s="18" t="str">
        <f>"尹丽华"</f>
        <v>尹丽华</v>
      </c>
      <c r="D945" s="18" t="str">
        <f t="shared" si="122"/>
        <v>女</v>
      </c>
      <c r="E945" s="18" t="str">
        <f>"2022011510"</f>
        <v>2022011510</v>
      </c>
      <c r="F945" s="18">
        <v>0</v>
      </c>
      <c r="G945" s="18">
        <v>132</v>
      </c>
      <c r="H945" s="18" t="s">
        <v>13</v>
      </c>
      <c r="I945" s="18" t="s">
        <v>12</v>
      </c>
    </row>
    <row r="946" s="1" customFormat="1" customHeight="1" spans="1:9">
      <c r="A946" s="18" t="str">
        <f t="shared" si="121"/>
        <v>B2F</v>
      </c>
      <c r="B946" s="19" t="s">
        <v>48</v>
      </c>
      <c r="C946" s="18" t="str">
        <f>"姚倩芳"</f>
        <v>姚倩芳</v>
      </c>
      <c r="D946" s="18" t="str">
        <f t="shared" si="122"/>
        <v>女</v>
      </c>
      <c r="E946" s="18" t="str">
        <f>"2022011513"</f>
        <v>2022011513</v>
      </c>
      <c r="F946" s="22">
        <v>0</v>
      </c>
      <c r="G946" s="25">
        <v>132</v>
      </c>
      <c r="H946" s="23" t="s">
        <v>13</v>
      </c>
      <c r="I946" s="18" t="s">
        <v>12</v>
      </c>
    </row>
    <row r="947" s="1" customFormat="1" customHeight="1" spans="1:9">
      <c r="A947" s="18" t="str">
        <f t="shared" si="121"/>
        <v>B2F</v>
      </c>
      <c r="B947" s="19" t="s">
        <v>48</v>
      </c>
      <c r="C947" s="18" t="str">
        <f>"于西丽"</f>
        <v>于西丽</v>
      </c>
      <c r="D947" s="18" t="str">
        <f t="shared" si="122"/>
        <v>女</v>
      </c>
      <c r="E947" s="18" t="str">
        <f>"2022011514"</f>
        <v>2022011514</v>
      </c>
      <c r="F947" s="24">
        <v>0</v>
      </c>
      <c r="G947" s="18">
        <v>132</v>
      </c>
      <c r="H947" s="18" t="s">
        <v>13</v>
      </c>
      <c r="I947" s="18" t="s">
        <v>12</v>
      </c>
    </row>
    <row r="948" s="1" customFormat="1" customHeight="1" spans="1:9">
      <c r="A948" s="18" t="str">
        <f t="shared" si="121"/>
        <v>B2F</v>
      </c>
      <c r="B948" s="19" t="s">
        <v>48</v>
      </c>
      <c r="C948" s="18" t="str">
        <f>"肖紫归"</f>
        <v>肖紫归</v>
      </c>
      <c r="D948" s="18" t="str">
        <f t="shared" si="122"/>
        <v>女</v>
      </c>
      <c r="E948" s="18" t="str">
        <f>"2022011522"</f>
        <v>2022011522</v>
      </c>
      <c r="F948" s="25">
        <v>0</v>
      </c>
      <c r="G948" s="25">
        <v>132</v>
      </c>
      <c r="H948" s="26" t="s">
        <v>13</v>
      </c>
      <c r="I948" s="18" t="s">
        <v>12</v>
      </c>
    </row>
    <row r="949" s="1" customFormat="1" customHeight="1" spans="1:9">
      <c r="A949" s="18" t="str">
        <f t="shared" si="121"/>
        <v>B2F</v>
      </c>
      <c r="B949" s="19" t="s">
        <v>48</v>
      </c>
      <c r="C949" s="18" t="str">
        <f>"胡颖"</f>
        <v>胡颖</v>
      </c>
      <c r="D949" s="18" t="str">
        <f t="shared" si="122"/>
        <v>女</v>
      </c>
      <c r="E949" s="18" t="str">
        <f>"2022011523"</f>
        <v>2022011523</v>
      </c>
      <c r="F949" s="18">
        <v>0</v>
      </c>
      <c r="G949" s="18">
        <v>132</v>
      </c>
      <c r="H949" s="18" t="s">
        <v>13</v>
      </c>
      <c r="I949" s="18" t="s">
        <v>12</v>
      </c>
    </row>
    <row r="950" s="1" customFormat="1" customHeight="1" spans="1:9">
      <c r="A950" s="18" t="str">
        <f t="shared" si="121"/>
        <v>B2F</v>
      </c>
      <c r="B950" s="19" t="s">
        <v>48</v>
      </c>
      <c r="C950" s="18" t="str">
        <f>"李遥"</f>
        <v>李遥</v>
      </c>
      <c r="D950" s="18" t="str">
        <f t="shared" si="122"/>
        <v>女</v>
      </c>
      <c r="E950" s="18" t="str">
        <f>"2022011526"</f>
        <v>2022011526</v>
      </c>
      <c r="F950" s="20">
        <v>0</v>
      </c>
      <c r="G950" s="25">
        <v>132</v>
      </c>
      <c r="H950" s="21" t="s">
        <v>13</v>
      </c>
      <c r="I950" s="18" t="s">
        <v>12</v>
      </c>
    </row>
    <row r="951" s="1" customFormat="1" customHeight="1" spans="1:9">
      <c r="A951" s="18" t="str">
        <f t="shared" si="121"/>
        <v>B2F</v>
      </c>
      <c r="B951" s="19" t="s">
        <v>48</v>
      </c>
      <c r="C951" s="18" t="str">
        <f>"肖小燕"</f>
        <v>肖小燕</v>
      </c>
      <c r="D951" s="18" t="str">
        <f t="shared" si="122"/>
        <v>女</v>
      </c>
      <c r="E951" s="18" t="str">
        <f>"2022011527"</f>
        <v>2022011527</v>
      </c>
      <c r="F951" s="18">
        <v>0</v>
      </c>
      <c r="G951" s="18">
        <v>132</v>
      </c>
      <c r="H951" s="18" t="s">
        <v>13</v>
      </c>
      <c r="I951" s="18" t="s">
        <v>12</v>
      </c>
    </row>
    <row r="952" s="1" customFormat="1" customHeight="1" spans="1:9">
      <c r="A952" s="18" t="str">
        <f t="shared" si="121"/>
        <v>B2F</v>
      </c>
      <c r="B952" s="19" t="s">
        <v>48</v>
      </c>
      <c r="C952" s="18" t="str">
        <f>"伍海鸿"</f>
        <v>伍海鸿</v>
      </c>
      <c r="D952" s="18" t="str">
        <f t="shared" si="122"/>
        <v>女</v>
      </c>
      <c r="E952" s="18" t="str">
        <f>"2022011528"</f>
        <v>2022011528</v>
      </c>
      <c r="F952" s="18">
        <v>0</v>
      </c>
      <c r="G952" s="25">
        <v>132</v>
      </c>
      <c r="H952" s="18" t="s">
        <v>13</v>
      </c>
      <c r="I952" s="18" t="s">
        <v>12</v>
      </c>
    </row>
    <row r="953" s="1" customFormat="1" customHeight="1" spans="1:9">
      <c r="A953" s="18" t="str">
        <f t="shared" si="121"/>
        <v>B2F</v>
      </c>
      <c r="B953" s="19" t="s">
        <v>48</v>
      </c>
      <c r="C953" s="18" t="str">
        <f>"李月娟"</f>
        <v>李月娟</v>
      </c>
      <c r="D953" s="18" t="str">
        <f t="shared" si="122"/>
        <v>女</v>
      </c>
      <c r="E953" s="18" t="str">
        <f>"2022011529"</f>
        <v>2022011529</v>
      </c>
      <c r="F953" s="18">
        <v>0</v>
      </c>
      <c r="G953" s="18">
        <v>132</v>
      </c>
      <c r="H953" s="18" t="s">
        <v>13</v>
      </c>
      <c r="I953" s="18" t="s">
        <v>12</v>
      </c>
    </row>
    <row r="954" s="1" customFormat="1" customHeight="1" spans="1:9">
      <c r="A954" s="18" t="str">
        <f t="shared" si="121"/>
        <v>B2F</v>
      </c>
      <c r="B954" s="19" t="s">
        <v>48</v>
      </c>
      <c r="C954" s="18" t="str">
        <f>"宁娟英"</f>
        <v>宁娟英</v>
      </c>
      <c r="D954" s="18" t="str">
        <f t="shared" si="122"/>
        <v>女</v>
      </c>
      <c r="E954" s="18" t="str">
        <f>"2022011530"</f>
        <v>2022011530</v>
      </c>
      <c r="F954" s="18">
        <v>0</v>
      </c>
      <c r="G954" s="25">
        <v>132</v>
      </c>
      <c r="H954" s="18" t="s">
        <v>13</v>
      </c>
      <c r="I954" s="18" t="s">
        <v>12</v>
      </c>
    </row>
    <row r="955" s="1" customFormat="1" customHeight="1" spans="1:9">
      <c r="A955" s="18" t="str">
        <f t="shared" si="121"/>
        <v>B2F</v>
      </c>
      <c r="B955" s="19" t="s">
        <v>48</v>
      </c>
      <c r="C955" s="18" t="str">
        <f>"唐文圆"</f>
        <v>唐文圆</v>
      </c>
      <c r="D955" s="18" t="str">
        <f t="shared" si="122"/>
        <v>女</v>
      </c>
      <c r="E955" s="18" t="str">
        <f>"2022011532"</f>
        <v>2022011532</v>
      </c>
      <c r="F955" s="22">
        <v>0</v>
      </c>
      <c r="G955" s="18">
        <v>132</v>
      </c>
      <c r="H955" s="23" t="s">
        <v>13</v>
      </c>
      <c r="I955" s="18" t="s">
        <v>12</v>
      </c>
    </row>
    <row r="956" s="1" customFormat="1" customHeight="1" spans="1:9">
      <c r="A956" s="18" t="str">
        <f t="shared" si="121"/>
        <v>B2F</v>
      </c>
      <c r="B956" s="19" t="s">
        <v>48</v>
      </c>
      <c r="C956" s="18" t="str">
        <f>"李文秀"</f>
        <v>李文秀</v>
      </c>
      <c r="D956" s="18" t="str">
        <f t="shared" si="122"/>
        <v>女</v>
      </c>
      <c r="E956" s="18" t="str">
        <f>"2022011602"</f>
        <v>2022011602</v>
      </c>
      <c r="F956" s="24">
        <v>0</v>
      </c>
      <c r="G956" s="25">
        <v>132</v>
      </c>
      <c r="H956" s="18" t="s">
        <v>13</v>
      </c>
      <c r="I956" s="18" t="s">
        <v>12</v>
      </c>
    </row>
    <row r="957" s="1" customFormat="1" customHeight="1" spans="1:9">
      <c r="A957" s="18" t="str">
        <f t="shared" si="121"/>
        <v>B2F</v>
      </c>
      <c r="B957" s="19" t="s">
        <v>48</v>
      </c>
      <c r="C957" s="18" t="str">
        <f>"阳婷"</f>
        <v>阳婷</v>
      </c>
      <c r="D957" s="18" t="str">
        <f t="shared" si="122"/>
        <v>女</v>
      </c>
      <c r="E957" s="18" t="str">
        <f>"2022011611"</f>
        <v>2022011611</v>
      </c>
      <c r="F957" s="24">
        <v>0</v>
      </c>
      <c r="G957" s="18">
        <v>132</v>
      </c>
      <c r="H957" s="18" t="s">
        <v>13</v>
      </c>
      <c r="I957" s="18" t="s">
        <v>12</v>
      </c>
    </row>
    <row r="958" s="1" customFormat="1" customHeight="1" spans="1:9">
      <c r="A958" s="18" t="str">
        <f t="shared" si="121"/>
        <v>B2F</v>
      </c>
      <c r="B958" s="19" t="s">
        <v>48</v>
      </c>
      <c r="C958" s="18" t="str">
        <f>"袁丽"</f>
        <v>袁丽</v>
      </c>
      <c r="D958" s="18" t="str">
        <f t="shared" si="122"/>
        <v>女</v>
      </c>
      <c r="E958" s="18" t="str">
        <f>"2022011618"</f>
        <v>2022011618</v>
      </c>
      <c r="F958" s="24">
        <v>0</v>
      </c>
      <c r="G958" s="25">
        <v>132</v>
      </c>
      <c r="H958" s="18" t="s">
        <v>13</v>
      </c>
      <c r="I958" s="18" t="s">
        <v>12</v>
      </c>
    </row>
    <row r="959" s="1" customFormat="1" customHeight="1" spans="1:9">
      <c r="A959" s="18" t="str">
        <f t="shared" si="121"/>
        <v>B2F</v>
      </c>
      <c r="B959" s="19" t="s">
        <v>48</v>
      </c>
      <c r="C959" s="18" t="str">
        <f>"邓艳"</f>
        <v>邓艳</v>
      </c>
      <c r="D959" s="18" t="str">
        <f t="shared" si="122"/>
        <v>女</v>
      </c>
      <c r="E959" s="18" t="str">
        <f>"2022011620"</f>
        <v>2022011620</v>
      </c>
      <c r="F959" s="24">
        <v>0</v>
      </c>
      <c r="G959" s="18">
        <v>132</v>
      </c>
      <c r="H959" s="18" t="s">
        <v>13</v>
      </c>
      <c r="I959" s="18" t="s">
        <v>12</v>
      </c>
    </row>
    <row r="960" s="1" customFormat="1" customHeight="1" spans="1:9">
      <c r="A960" s="18" t="str">
        <f t="shared" si="121"/>
        <v>B2F</v>
      </c>
      <c r="B960" s="19" t="s">
        <v>48</v>
      </c>
      <c r="C960" s="18" t="str">
        <f>"彭梦洁"</f>
        <v>彭梦洁</v>
      </c>
      <c r="D960" s="18" t="str">
        <f t="shared" si="122"/>
        <v>女</v>
      </c>
      <c r="E960" s="18" t="str">
        <f>"2022011623"</f>
        <v>2022011623</v>
      </c>
      <c r="F960" s="24">
        <v>0</v>
      </c>
      <c r="G960" s="25">
        <v>132</v>
      </c>
      <c r="H960" s="18" t="s">
        <v>13</v>
      </c>
      <c r="I960" s="18" t="s">
        <v>12</v>
      </c>
    </row>
    <row r="961" s="1" customFormat="1" customHeight="1" spans="1:9">
      <c r="A961" s="18" t="str">
        <f t="shared" si="121"/>
        <v>B2F</v>
      </c>
      <c r="B961" s="19" t="s">
        <v>48</v>
      </c>
      <c r="C961" s="18" t="str">
        <f>"杨丹丹"</f>
        <v>杨丹丹</v>
      </c>
      <c r="D961" s="18" t="str">
        <f t="shared" si="122"/>
        <v>女</v>
      </c>
      <c r="E961" s="18" t="str">
        <f>"2022011624"</f>
        <v>2022011624</v>
      </c>
      <c r="F961" s="25">
        <v>0</v>
      </c>
      <c r="G961" s="18">
        <v>132</v>
      </c>
      <c r="H961" s="26" t="s">
        <v>13</v>
      </c>
      <c r="I961" s="18" t="s">
        <v>12</v>
      </c>
    </row>
    <row r="962" s="1" customFormat="1" customHeight="1" spans="1:9">
      <c r="A962" s="18" t="str">
        <f t="shared" si="121"/>
        <v>B2F</v>
      </c>
      <c r="B962" s="19" t="s">
        <v>48</v>
      </c>
      <c r="C962" s="18" t="str">
        <f>"肖杜君"</f>
        <v>肖杜君</v>
      </c>
      <c r="D962" s="18" t="str">
        <f t="shared" si="122"/>
        <v>女</v>
      </c>
      <c r="E962" s="18" t="str">
        <f>"2022011626"</f>
        <v>2022011626</v>
      </c>
      <c r="F962" s="18">
        <v>0</v>
      </c>
      <c r="G962" s="25">
        <v>132</v>
      </c>
      <c r="H962" s="18" t="s">
        <v>13</v>
      </c>
      <c r="I962" s="18" t="s">
        <v>12</v>
      </c>
    </row>
    <row r="963" s="1" customFormat="1" customHeight="1" spans="1:9">
      <c r="A963" s="18" t="str">
        <f t="shared" si="121"/>
        <v>B2F</v>
      </c>
      <c r="B963" s="19" t="s">
        <v>48</v>
      </c>
      <c r="C963" s="18" t="str">
        <f>"王雪琴"</f>
        <v>王雪琴</v>
      </c>
      <c r="D963" s="18" t="str">
        <f t="shared" si="122"/>
        <v>女</v>
      </c>
      <c r="E963" s="18" t="str">
        <f>"2022011627"</f>
        <v>2022011627</v>
      </c>
      <c r="F963" s="20">
        <v>0</v>
      </c>
      <c r="G963" s="18">
        <v>132</v>
      </c>
      <c r="H963" s="21" t="s">
        <v>13</v>
      </c>
      <c r="I963" s="18" t="s">
        <v>12</v>
      </c>
    </row>
    <row r="964" s="1" customFormat="1" customHeight="1" spans="1:9">
      <c r="A964" s="18" t="str">
        <f t="shared" si="121"/>
        <v>B2F</v>
      </c>
      <c r="B964" s="19" t="s">
        <v>48</v>
      </c>
      <c r="C964" s="18" t="str">
        <f>"贺春霞"</f>
        <v>贺春霞</v>
      </c>
      <c r="D964" s="18" t="str">
        <f t="shared" si="122"/>
        <v>女</v>
      </c>
      <c r="E964" s="18" t="str">
        <f>"2022011628"</f>
        <v>2022011628</v>
      </c>
      <c r="F964" s="18">
        <v>0</v>
      </c>
      <c r="G964" s="25">
        <v>132</v>
      </c>
      <c r="H964" s="18" t="s">
        <v>13</v>
      </c>
      <c r="I964" s="18" t="s">
        <v>12</v>
      </c>
    </row>
    <row r="965" s="1" customFormat="1" customHeight="1" spans="1:9">
      <c r="A965" s="18" t="str">
        <f t="shared" si="121"/>
        <v>B2F</v>
      </c>
      <c r="B965" s="19" t="s">
        <v>48</v>
      </c>
      <c r="C965" s="18" t="str">
        <f>"钟书杰"</f>
        <v>钟书杰</v>
      </c>
      <c r="D965" s="18" t="str">
        <f t="shared" si="122"/>
        <v>女</v>
      </c>
      <c r="E965" s="18" t="str">
        <f>"2022011704"</f>
        <v>2022011704</v>
      </c>
      <c r="F965" s="18">
        <v>0</v>
      </c>
      <c r="G965" s="18">
        <v>132</v>
      </c>
      <c r="H965" s="18" t="s">
        <v>13</v>
      </c>
      <c r="I965" s="18" t="s">
        <v>12</v>
      </c>
    </row>
    <row r="966" s="1" customFormat="1" customHeight="1" spans="1:9">
      <c r="A966" s="18" t="str">
        <f t="shared" si="121"/>
        <v>B2F</v>
      </c>
      <c r="B966" s="19" t="s">
        <v>48</v>
      </c>
      <c r="C966" s="18" t="str">
        <f>"曾荣"</f>
        <v>曾荣</v>
      </c>
      <c r="D966" s="18" t="str">
        <f t="shared" si="122"/>
        <v>女</v>
      </c>
      <c r="E966" s="18" t="str">
        <f>"2022011707"</f>
        <v>2022011707</v>
      </c>
      <c r="F966" s="22">
        <v>0</v>
      </c>
      <c r="G966" s="25">
        <v>132</v>
      </c>
      <c r="H966" s="23" t="s">
        <v>13</v>
      </c>
      <c r="I966" s="18" t="s">
        <v>12</v>
      </c>
    </row>
    <row r="967" s="1" customFormat="1" customHeight="1" spans="1:9">
      <c r="A967" s="18" t="str">
        <f t="shared" si="121"/>
        <v>B2F</v>
      </c>
      <c r="B967" s="19" t="s">
        <v>48</v>
      </c>
      <c r="C967" s="18" t="str">
        <f>"唐棠"</f>
        <v>唐棠</v>
      </c>
      <c r="D967" s="18" t="str">
        <f t="shared" si="122"/>
        <v>女</v>
      </c>
      <c r="E967" s="18" t="str">
        <f>"2022011708"</f>
        <v>2022011708</v>
      </c>
      <c r="F967" s="24">
        <v>0</v>
      </c>
      <c r="G967" s="18">
        <v>132</v>
      </c>
      <c r="H967" s="18" t="s">
        <v>13</v>
      </c>
      <c r="I967" s="18" t="s">
        <v>12</v>
      </c>
    </row>
    <row r="968" s="1" customFormat="1" customHeight="1" spans="1:9">
      <c r="A968" s="18" t="str">
        <f t="shared" si="121"/>
        <v>B2F</v>
      </c>
      <c r="B968" s="19" t="s">
        <v>48</v>
      </c>
      <c r="C968" s="18" t="str">
        <f>"庞园华"</f>
        <v>庞园华</v>
      </c>
      <c r="D968" s="18" t="str">
        <f t="shared" si="122"/>
        <v>女</v>
      </c>
      <c r="E968" s="18" t="str">
        <f>"2022011711"</f>
        <v>2022011711</v>
      </c>
      <c r="F968" s="24">
        <v>0</v>
      </c>
      <c r="G968" s="25">
        <v>132</v>
      </c>
      <c r="H968" s="18" t="s">
        <v>13</v>
      </c>
      <c r="I968" s="18" t="s">
        <v>12</v>
      </c>
    </row>
    <row r="969" s="1" customFormat="1" customHeight="1" spans="1:9">
      <c r="A969" s="18" t="str">
        <f t="shared" si="121"/>
        <v>B2F</v>
      </c>
      <c r="B969" s="19" t="s">
        <v>48</v>
      </c>
      <c r="C969" s="18" t="str">
        <f>"石俊琪"</f>
        <v>石俊琪</v>
      </c>
      <c r="D969" s="18" t="str">
        <f t="shared" si="122"/>
        <v>女</v>
      </c>
      <c r="E969" s="18" t="str">
        <f>"2022011713"</f>
        <v>2022011713</v>
      </c>
      <c r="F969" s="25">
        <v>0</v>
      </c>
      <c r="G969" s="18">
        <v>132</v>
      </c>
      <c r="H969" s="26" t="s">
        <v>13</v>
      </c>
      <c r="I969" s="18" t="s">
        <v>12</v>
      </c>
    </row>
    <row r="970" s="1" customFormat="1" customHeight="1" spans="1:9">
      <c r="A970" s="18" t="str">
        <f t="shared" si="121"/>
        <v>B2F</v>
      </c>
      <c r="B970" s="19" t="s">
        <v>48</v>
      </c>
      <c r="C970" s="18" t="str">
        <f>"周美玲"</f>
        <v>周美玲</v>
      </c>
      <c r="D970" s="18" t="str">
        <f t="shared" si="122"/>
        <v>女</v>
      </c>
      <c r="E970" s="18" t="str">
        <f>"2022011716"</f>
        <v>2022011716</v>
      </c>
      <c r="F970" s="18">
        <v>0</v>
      </c>
      <c r="G970" s="25">
        <v>132</v>
      </c>
      <c r="H970" s="18" t="s">
        <v>13</v>
      </c>
      <c r="I970" s="18" t="s">
        <v>12</v>
      </c>
    </row>
    <row r="971" s="1" customFormat="1" customHeight="1" spans="1:9">
      <c r="A971" s="18" t="str">
        <f t="shared" si="121"/>
        <v>B2F</v>
      </c>
      <c r="B971" s="19" t="s">
        <v>48</v>
      </c>
      <c r="C971" s="18" t="str">
        <f>"唐容"</f>
        <v>唐容</v>
      </c>
      <c r="D971" s="18" t="str">
        <f t="shared" si="122"/>
        <v>女</v>
      </c>
      <c r="E971" s="18" t="str">
        <f>"2022011717"</f>
        <v>2022011717</v>
      </c>
      <c r="F971" s="18">
        <v>0</v>
      </c>
      <c r="G971" s="18">
        <v>132</v>
      </c>
      <c r="H971" s="18" t="s">
        <v>13</v>
      </c>
      <c r="I971" s="18" t="s">
        <v>12</v>
      </c>
    </row>
    <row r="972" s="1" customFormat="1" customHeight="1" spans="1:9">
      <c r="A972" s="18" t="str">
        <f t="shared" si="121"/>
        <v>B2F</v>
      </c>
      <c r="B972" s="19" t="s">
        <v>48</v>
      </c>
      <c r="C972" s="18" t="str">
        <f>"漆昭燚"</f>
        <v>漆昭燚</v>
      </c>
      <c r="D972" s="18" t="str">
        <f t="shared" si="122"/>
        <v>女</v>
      </c>
      <c r="E972" s="18" t="str">
        <f>"2022011720"</f>
        <v>2022011720</v>
      </c>
      <c r="F972" s="20">
        <v>0</v>
      </c>
      <c r="G972" s="25">
        <v>132</v>
      </c>
      <c r="H972" s="21" t="s">
        <v>13</v>
      </c>
      <c r="I972" s="18" t="s">
        <v>12</v>
      </c>
    </row>
    <row r="973" s="1" customFormat="1" customHeight="1" spans="1:9">
      <c r="A973" s="18" t="str">
        <f t="shared" si="121"/>
        <v>B2F</v>
      </c>
      <c r="B973" s="19" t="s">
        <v>48</v>
      </c>
      <c r="C973" s="18" t="str">
        <f>"卿卓"</f>
        <v>卿卓</v>
      </c>
      <c r="D973" s="18" t="str">
        <f t="shared" si="122"/>
        <v>女</v>
      </c>
      <c r="E973" s="18" t="str">
        <f>"2022011722"</f>
        <v>2022011722</v>
      </c>
      <c r="F973" s="18">
        <v>0</v>
      </c>
      <c r="G973" s="18">
        <v>132</v>
      </c>
      <c r="H973" s="18" t="s">
        <v>13</v>
      </c>
      <c r="I973" s="18" t="s">
        <v>12</v>
      </c>
    </row>
    <row r="974" s="1" customFormat="1" customHeight="1" spans="1:9">
      <c r="A974" s="18" t="str">
        <f t="shared" si="121"/>
        <v>B2F</v>
      </c>
      <c r="B974" s="19" t="s">
        <v>48</v>
      </c>
      <c r="C974" s="18" t="str">
        <f>"鄢叶芳"</f>
        <v>鄢叶芳</v>
      </c>
      <c r="D974" s="18" t="str">
        <f t="shared" si="122"/>
        <v>女</v>
      </c>
      <c r="E974" s="18" t="str">
        <f>"2022011729"</f>
        <v>2022011729</v>
      </c>
      <c r="F974" s="22">
        <v>0</v>
      </c>
      <c r="G974" s="25">
        <v>132</v>
      </c>
      <c r="H974" s="23" t="s">
        <v>13</v>
      </c>
      <c r="I974" s="18" t="s">
        <v>12</v>
      </c>
    </row>
    <row r="975" s="1" customFormat="1" customHeight="1" spans="1:9">
      <c r="A975" s="18" t="str">
        <f t="shared" si="121"/>
        <v>B2F</v>
      </c>
      <c r="B975" s="19" t="s">
        <v>48</v>
      </c>
      <c r="C975" s="18" t="str">
        <f>"刘淑仪"</f>
        <v>刘淑仪</v>
      </c>
      <c r="D975" s="18" t="str">
        <f t="shared" si="122"/>
        <v>女</v>
      </c>
      <c r="E975" s="18" t="str">
        <f>"2022011730"</f>
        <v>2022011730</v>
      </c>
      <c r="F975" s="25">
        <v>0</v>
      </c>
      <c r="G975" s="18">
        <v>132</v>
      </c>
      <c r="H975" s="26" t="s">
        <v>13</v>
      </c>
      <c r="I975" s="18" t="s">
        <v>12</v>
      </c>
    </row>
    <row r="976" s="1" customFormat="1" customHeight="1" spans="1:9">
      <c r="A976" s="18" t="str">
        <f t="shared" si="121"/>
        <v>B2F</v>
      </c>
      <c r="B976" s="19" t="s">
        <v>48</v>
      </c>
      <c r="C976" s="18" t="str">
        <f>"陈嘉敏"</f>
        <v>陈嘉敏</v>
      </c>
      <c r="D976" s="18" t="str">
        <f t="shared" si="122"/>
        <v>女</v>
      </c>
      <c r="E976" s="18" t="str">
        <f>"2022011732"</f>
        <v>2022011732</v>
      </c>
      <c r="F976" s="18">
        <v>0</v>
      </c>
      <c r="G976" s="25">
        <v>132</v>
      </c>
      <c r="H976" s="18" t="s">
        <v>13</v>
      </c>
      <c r="I976" s="18" t="s">
        <v>12</v>
      </c>
    </row>
    <row r="977" s="1" customFormat="1" customHeight="1" spans="1:9">
      <c r="A977" s="18" t="str">
        <f t="shared" si="121"/>
        <v>B2F</v>
      </c>
      <c r="B977" s="19" t="s">
        <v>48</v>
      </c>
      <c r="C977" s="18" t="str">
        <f>"邓旭"</f>
        <v>邓旭</v>
      </c>
      <c r="D977" s="18" t="str">
        <f t="shared" si="122"/>
        <v>女</v>
      </c>
      <c r="E977" s="18" t="str">
        <f>"2022011802"</f>
        <v>2022011802</v>
      </c>
      <c r="F977" s="22">
        <v>0</v>
      </c>
      <c r="G977" s="18">
        <v>132</v>
      </c>
      <c r="H977" s="23" t="s">
        <v>13</v>
      </c>
      <c r="I977" s="18" t="s">
        <v>12</v>
      </c>
    </row>
    <row r="978" s="1" customFormat="1" customHeight="1" spans="1:9">
      <c r="A978" s="18" t="str">
        <f t="shared" si="121"/>
        <v>B2F</v>
      </c>
      <c r="B978" s="19" t="s">
        <v>48</v>
      </c>
      <c r="C978" s="18" t="str">
        <f>"段丽瑶"</f>
        <v>段丽瑶</v>
      </c>
      <c r="D978" s="18" t="str">
        <f t="shared" si="122"/>
        <v>女</v>
      </c>
      <c r="E978" s="18" t="str">
        <f>"2022011811"</f>
        <v>2022011811</v>
      </c>
      <c r="F978" s="25">
        <v>0</v>
      </c>
      <c r="G978" s="25">
        <v>132</v>
      </c>
      <c r="H978" s="26" t="s">
        <v>13</v>
      </c>
      <c r="I978" s="18" t="s">
        <v>12</v>
      </c>
    </row>
    <row r="979" s="1" customFormat="1" customHeight="1" spans="1:9">
      <c r="A979" s="18" t="str">
        <f t="shared" si="121"/>
        <v>B2F</v>
      </c>
      <c r="B979" s="19" t="s">
        <v>48</v>
      </c>
      <c r="C979" s="18" t="str">
        <f>"戴金兰"</f>
        <v>戴金兰</v>
      </c>
      <c r="D979" s="18" t="str">
        <f t="shared" si="122"/>
        <v>女</v>
      </c>
      <c r="E979" s="18" t="str">
        <f>"2022011816"</f>
        <v>2022011816</v>
      </c>
      <c r="F979" s="18">
        <v>0</v>
      </c>
      <c r="G979" s="18">
        <v>132</v>
      </c>
      <c r="H979" s="18" t="s">
        <v>13</v>
      </c>
      <c r="I979" s="18" t="s">
        <v>12</v>
      </c>
    </row>
    <row r="980" s="1" customFormat="1" customHeight="1" spans="1:9">
      <c r="A980" s="18" t="str">
        <f t="shared" si="121"/>
        <v>B2F</v>
      </c>
      <c r="B980" s="19" t="s">
        <v>48</v>
      </c>
      <c r="C980" s="18" t="str">
        <f>"杨丹"</f>
        <v>杨丹</v>
      </c>
      <c r="D980" s="18" t="str">
        <f t="shared" si="122"/>
        <v>女</v>
      </c>
      <c r="E980" s="18" t="str">
        <f>"2022011817"</f>
        <v>2022011817</v>
      </c>
      <c r="F980" s="22">
        <v>0</v>
      </c>
      <c r="G980" s="25">
        <v>132</v>
      </c>
      <c r="H980" s="23" t="s">
        <v>13</v>
      </c>
      <c r="I980" s="18" t="s">
        <v>12</v>
      </c>
    </row>
    <row r="981" s="1" customFormat="1" customHeight="1" spans="1:9">
      <c r="A981" s="18" t="str">
        <f t="shared" si="121"/>
        <v>B2F</v>
      </c>
      <c r="B981" s="19" t="s">
        <v>48</v>
      </c>
      <c r="C981" s="18" t="str">
        <f>"何茜"</f>
        <v>何茜</v>
      </c>
      <c r="D981" s="18" t="str">
        <f t="shared" si="122"/>
        <v>女</v>
      </c>
      <c r="E981" s="18" t="str">
        <f>"2022011830"</f>
        <v>2022011830</v>
      </c>
      <c r="F981" s="24">
        <v>0</v>
      </c>
      <c r="G981" s="18">
        <v>132</v>
      </c>
      <c r="H981" s="18" t="s">
        <v>13</v>
      </c>
      <c r="I981" s="18" t="s">
        <v>12</v>
      </c>
    </row>
    <row r="982" s="1" customFormat="1" customHeight="1" spans="1:9">
      <c r="A982" s="18" t="str">
        <f t="shared" si="121"/>
        <v>B2F</v>
      </c>
      <c r="B982" s="19" t="s">
        <v>48</v>
      </c>
      <c r="C982" s="18" t="str">
        <f>"邓朝阳"</f>
        <v>邓朝阳</v>
      </c>
      <c r="D982" s="18" t="str">
        <f t="shared" si="122"/>
        <v>女</v>
      </c>
      <c r="E982" s="18" t="str">
        <f>"2022011832"</f>
        <v>2022011832</v>
      </c>
      <c r="F982" s="24">
        <v>0</v>
      </c>
      <c r="G982" s="25">
        <v>132</v>
      </c>
      <c r="H982" s="18" t="s">
        <v>13</v>
      </c>
      <c r="I982" s="18" t="s">
        <v>12</v>
      </c>
    </row>
    <row r="983" s="1" customFormat="1" customHeight="1" spans="1:9">
      <c r="A983" s="18" t="str">
        <f t="shared" si="121"/>
        <v>B2F</v>
      </c>
      <c r="B983" s="19" t="s">
        <v>48</v>
      </c>
      <c r="C983" s="18" t="str">
        <f>"杨奥"</f>
        <v>杨奥</v>
      </c>
      <c r="D983" s="18" t="str">
        <f t="shared" si="122"/>
        <v>女</v>
      </c>
      <c r="E983" s="18" t="str">
        <f>"2022011901"</f>
        <v>2022011901</v>
      </c>
      <c r="F983" s="24">
        <v>0</v>
      </c>
      <c r="G983" s="18">
        <v>132</v>
      </c>
      <c r="H983" s="18" t="s">
        <v>13</v>
      </c>
      <c r="I983" s="18" t="s">
        <v>12</v>
      </c>
    </row>
    <row r="984" s="1" customFormat="1" customHeight="1" spans="1:9">
      <c r="A984" s="18" t="str">
        <f t="shared" si="121"/>
        <v>B2F</v>
      </c>
      <c r="B984" s="19" t="s">
        <v>48</v>
      </c>
      <c r="C984" s="18" t="str">
        <f>"邓海菲"</f>
        <v>邓海菲</v>
      </c>
      <c r="D984" s="18" t="str">
        <f t="shared" si="122"/>
        <v>女</v>
      </c>
      <c r="E984" s="18" t="str">
        <f>"2022011904"</f>
        <v>2022011904</v>
      </c>
      <c r="F984" s="24">
        <v>0</v>
      </c>
      <c r="G984" s="25">
        <v>132</v>
      </c>
      <c r="H984" s="18" t="s">
        <v>13</v>
      </c>
      <c r="I984" s="18" t="s">
        <v>12</v>
      </c>
    </row>
    <row r="985" s="1" customFormat="1" customHeight="1" spans="1:9">
      <c r="A985" s="18" t="str">
        <f t="shared" si="121"/>
        <v>B2F</v>
      </c>
      <c r="B985" s="19" t="s">
        <v>48</v>
      </c>
      <c r="C985" s="18" t="str">
        <f>"肖芬"</f>
        <v>肖芬</v>
      </c>
      <c r="D985" s="18" t="str">
        <f t="shared" si="122"/>
        <v>女</v>
      </c>
      <c r="E985" s="18" t="str">
        <f>"2022011905"</f>
        <v>2022011905</v>
      </c>
      <c r="F985" s="24">
        <v>0</v>
      </c>
      <c r="G985" s="18">
        <v>132</v>
      </c>
      <c r="H985" s="18" t="s">
        <v>13</v>
      </c>
      <c r="I985" s="18" t="s">
        <v>12</v>
      </c>
    </row>
    <row r="986" s="1" customFormat="1" customHeight="1" spans="1:9">
      <c r="A986" s="18" t="str">
        <f t="shared" si="121"/>
        <v>B2F</v>
      </c>
      <c r="B986" s="19" t="s">
        <v>48</v>
      </c>
      <c r="C986" s="18" t="str">
        <f>"江晓"</f>
        <v>江晓</v>
      </c>
      <c r="D986" s="18" t="str">
        <f t="shared" si="122"/>
        <v>女</v>
      </c>
      <c r="E986" s="18" t="str">
        <f>"2022011906"</f>
        <v>2022011906</v>
      </c>
      <c r="F986" s="24">
        <v>0</v>
      </c>
      <c r="G986" s="25">
        <v>132</v>
      </c>
      <c r="H986" s="18" t="s">
        <v>13</v>
      </c>
      <c r="I986" s="18" t="s">
        <v>12</v>
      </c>
    </row>
    <row r="987" s="1" customFormat="1" customHeight="1" spans="1:9">
      <c r="A987" s="18" t="str">
        <f t="shared" si="121"/>
        <v>B2F</v>
      </c>
      <c r="B987" s="19" t="s">
        <v>48</v>
      </c>
      <c r="C987" s="18" t="str">
        <f>"隆英沙"</f>
        <v>隆英沙</v>
      </c>
      <c r="D987" s="18" t="str">
        <f t="shared" si="122"/>
        <v>女</v>
      </c>
      <c r="E987" s="18" t="str">
        <f>"2022011910"</f>
        <v>2022011910</v>
      </c>
      <c r="F987" s="24">
        <v>0</v>
      </c>
      <c r="G987" s="18">
        <v>132</v>
      </c>
      <c r="H987" s="18" t="s">
        <v>13</v>
      </c>
      <c r="I987" s="18" t="s">
        <v>12</v>
      </c>
    </row>
    <row r="988" s="1" customFormat="1" customHeight="1" spans="1:9">
      <c r="A988" s="18" t="str">
        <f t="shared" si="121"/>
        <v>B2F</v>
      </c>
      <c r="B988" s="19" t="s">
        <v>48</v>
      </c>
      <c r="C988" s="18" t="str">
        <f>"黄书琴"</f>
        <v>黄书琴</v>
      </c>
      <c r="D988" s="18" t="str">
        <f t="shared" si="122"/>
        <v>女</v>
      </c>
      <c r="E988" s="18" t="str">
        <f>"2022011912"</f>
        <v>2022011912</v>
      </c>
      <c r="F988" s="24">
        <v>0</v>
      </c>
      <c r="G988" s="25">
        <v>132</v>
      </c>
      <c r="H988" s="18" t="s">
        <v>13</v>
      </c>
      <c r="I988" s="18" t="s">
        <v>12</v>
      </c>
    </row>
    <row r="989" s="1" customFormat="1" customHeight="1" spans="1:9">
      <c r="A989" s="18" t="str">
        <f t="shared" si="121"/>
        <v>B2F</v>
      </c>
      <c r="B989" s="19" t="s">
        <v>48</v>
      </c>
      <c r="C989" s="18" t="str">
        <f>"徐娅婷"</f>
        <v>徐娅婷</v>
      </c>
      <c r="D989" s="18" t="str">
        <f t="shared" si="122"/>
        <v>女</v>
      </c>
      <c r="E989" s="18" t="str">
        <f>"2022011913"</f>
        <v>2022011913</v>
      </c>
      <c r="F989" s="24">
        <v>0</v>
      </c>
      <c r="G989" s="18">
        <v>132</v>
      </c>
      <c r="H989" s="18" t="s">
        <v>13</v>
      </c>
      <c r="I989" s="18" t="s">
        <v>12</v>
      </c>
    </row>
    <row r="990" s="1" customFormat="1" customHeight="1" spans="1:9">
      <c r="A990" s="18" t="str">
        <f t="shared" si="121"/>
        <v>B2F</v>
      </c>
      <c r="B990" s="19" t="s">
        <v>48</v>
      </c>
      <c r="C990" s="18" t="str">
        <f>"陈煜"</f>
        <v>陈煜</v>
      </c>
      <c r="D990" s="18" t="str">
        <f t="shared" si="122"/>
        <v>女</v>
      </c>
      <c r="E990" s="18" t="str">
        <f>"2022011914"</f>
        <v>2022011914</v>
      </c>
      <c r="F990" s="24">
        <v>0</v>
      </c>
      <c r="G990" s="25">
        <v>132</v>
      </c>
      <c r="H990" s="18" t="s">
        <v>13</v>
      </c>
      <c r="I990" s="18" t="s">
        <v>12</v>
      </c>
    </row>
    <row r="991" s="1" customFormat="1" customHeight="1" spans="1:9">
      <c r="A991" s="18" t="str">
        <f t="shared" si="121"/>
        <v>B2F</v>
      </c>
      <c r="B991" s="19" t="s">
        <v>48</v>
      </c>
      <c r="C991" s="18" t="str">
        <f>"王怡婷"</f>
        <v>王怡婷</v>
      </c>
      <c r="D991" s="18" t="str">
        <f t="shared" si="122"/>
        <v>女</v>
      </c>
      <c r="E991" s="18" t="str">
        <f>"2022011915"</f>
        <v>2022011915</v>
      </c>
      <c r="F991" s="25">
        <v>0</v>
      </c>
      <c r="G991" s="18">
        <v>132</v>
      </c>
      <c r="H991" s="26" t="s">
        <v>13</v>
      </c>
      <c r="I991" s="18" t="s">
        <v>12</v>
      </c>
    </row>
    <row r="992" s="1" customFormat="1" customHeight="1" spans="1:9">
      <c r="A992" s="18" t="str">
        <f t="shared" si="121"/>
        <v>B2F</v>
      </c>
      <c r="B992" s="19" t="s">
        <v>48</v>
      </c>
      <c r="C992" s="18" t="str">
        <f>"谭思思"</f>
        <v>谭思思</v>
      </c>
      <c r="D992" s="18" t="str">
        <f t="shared" si="122"/>
        <v>女</v>
      </c>
      <c r="E992" s="18" t="str">
        <f>"2022011923"</f>
        <v>2022011923</v>
      </c>
      <c r="F992" s="18">
        <v>0</v>
      </c>
      <c r="G992" s="25">
        <v>132</v>
      </c>
      <c r="H992" s="18" t="s">
        <v>13</v>
      </c>
      <c r="I992" s="18" t="s">
        <v>12</v>
      </c>
    </row>
    <row r="993" s="1" customFormat="1" customHeight="1" spans="1:9">
      <c r="A993" s="18" t="str">
        <f t="shared" si="121"/>
        <v>B2F</v>
      </c>
      <c r="B993" s="19" t="s">
        <v>48</v>
      </c>
      <c r="C993" s="18" t="str">
        <f>"向唯琰"</f>
        <v>向唯琰</v>
      </c>
      <c r="D993" s="18" t="str">
        <f t="shared" si="122"/>
        <v>女</v>
      </c>
      <c r="E993" s="18" t="str">
        <f>"2022011925"</f>
        <v>2022011925</v>
      </c>
      <c r="F993" s="18">
        <v>0</v>
      </c>
      <c r="G993" s="18">
        <v>132</v>
      </c>
      <c r="H993" s="18" t="s">
        <v>13</v>
      </c>
      <c r="I993" s="18" t="s">
        <v>12</v>
      </c>
    </row>
    <row r="994" s="1" customFormat="1" customHeight="1" spans="1:9">
      <c r="A994" s="18" t="str">
        <f t="shared" si="121"/>
        <v>B2F</v>
      </c>
      <c r="B994" s="19" t="s">
        <v>48</v>
      </c>
      <c r="C994" s="18" t="str">
        <f>"王伶俐"</f>
        <v>王伶俐</v>
      </c>
      <c r="D994" s="18" t="str">
        <f t="shared" si="122"/>
        <v>女</v>
      </c>
      <c r="E994" s="18" t="str">
        <f>"2022011926"</f>
        <v>2022011926</v>
      </c>
      <c r="F994" s="18">
        <v>0</v>
      </c>
      <c r="G994" s="25">
        <v>132</v>
      </c>
      <c r="H994" s="18" t="s">
        <v>13</v>
      </c>
      <c r="I994" s="18" t="s">
        <v>12</v>
      </c>
    </row>
    <row r="995" s="1" customFormat="1" customHeight="1" spans="1:9">
      <c r="A995" s="18" t="str">
        <f t="shared" si="121"/>
        <v>B2F</v>
      </c>
      <c r="B995" s="19" t="s">
        <v>48</v>
      </c>
      <c r="C995" s="18" t="str">
        <f>"戴芬芬"</f>
        <v>戴芬芬</v>
      </c>
      <c r="D995" s="18" t="str">
        <f t="shared" si="122"/>
        <v>女</v>
      </c>
      <c r="E995" s="18" t="str">
        <f>"2022011931"</f>
        <v>2022011931</v>
      </c>
      <c r="F995" s="22">
        <v>0</v>
      </c>
      <c r="G995" s="18">
        <v>132</v>
      </c>
      <c r="H995" s="23" t="s">
        <v>13</v>
      </c>
      <c r="I995" s="18" t="s">
        <v>12</v>
      </c>
    </row>
    <row r="996" s="1" customFormat="1" customHeight="1" spans="1:9">
      <c r="A996" s="18" t="str">
        <f t="shared" si="121"/>
        <v>B2F</v>
      </c>
      <c r="B996" s="19" t="s">
        <v>48</v>
      </c>
      <c r="C996" s="18" t="str">
        <f>"陈舒舒"</f>
        <v>陈舒舒</v>
      </c>
      <c r="D996" s="18" t="str">
        <f t="shared" si="122"/>
        <v>女</v>
      </c>
      <c r="E996" s="18" t="str">
        <f>"2022011932"</f>
        <v>2022011932</v>
      </c>
      <c r="F996" s="24">
        <v>0</v>
      </c>
      <c r="G996" s="25">
        <v>132</v>
      </c>
      <c r="H996" s="18" t="s">
        <v>13</v>
      </c>
      <c r="I996" s="18" t="s">
        <v>12</v>
      </c>
    </row>
    <row r="997" s="1" customFormat="1" customHeight="1" spans="1:9">
      <c r="A997" s="18" t="str">
        <f t="shared" si="121"/>
        <v>B2F</v>
      </c>
      <c r="B997" s="19" t="s">
        <v>48</v>
      </c>
      <c r="C997" s="18" t="str">
        <f>"张靖鸿"</f>
        <v>张靖鸿</v>
      </c>
      <c r="D997" s="18" t="str">
        <f t="shared" si="122"/>
        <v>女</v>
      </c>
      <c r="E997" s="18" t="str">
        <f>"2022012001"</f>
        <v>2022012001</v>
      </c>
      <c r="F997" s="24">
        <v>0</v>
      </c>
      <c r="G997" s="18">
        <v>132</v>
      </c>
      <c r="H997" s="18" t="s">
        <v>13</v>
      </c>
      <c r="I997" s="18" t="s">
        <v>12</v>
      </c>
    </row>
    <row r="998" s="1" customFormat="1" customHeight="1" spans="1:9">
      <c r="A998" s="18" t="str">
        <f t="shared" si="121"/>
        <v>B2F</v>
      </c>
      <c r="B998" s="19" t="s">
        <v>48</v>
      </c>
      <c r="C998" s="18" t="str">
        <f>"杨赛英"</f>
        <v>杨赛英</v>
      </c>
      <c r="D998" s="18" t="str">
        <f t="shared" si="122"/>
        <v>女</v>
      </c>
      <c r="E998" s="18" t="str">
        <f>"2022012004"</f>
        <v>2022012004</v>
      </c>
      <c r="F998" s="24">
        <v>0</v>
      </c>
      <c r="G998" s="25">
        <v>132</v>
      </c>
      <c r="H998" s="18" t="s">
        <v>13</v>
      </c>
      <c r="I998" s="18" t="s">
        <v>12</v>
      </c>
    </row>
    <row r="999" s="1" customFormat="1" customHeight="1" spans="1:9">
      <c r="A999" s="18" t="str">
        <f t="shared" si="121"/>
        <v>B2F</v>
      </c>
      <c r="B999" s="19" t="s">
        <v>48</v>
      </c>
      <c r="C999" s="18" t="str">
        <f>"陈瑶"</f>
        <v>陈瑶</v>
      </c>
      <c r="D999" s="18" t="str">
        <f t="shared" si="122"/>
        <v>女</v>
      </c>
      <c r="E999" s="18" t="str">
        <f>"2022012007"</f>
        <v>2022012007</v>
      </c>
      <c r="F999" s="25">
        <v>0</v>
      </c>
      <c r="G999" s="18">
        <v>132</v>
      </c>
      <c r="H999" s="26" t="s">
        <v>13</v>
      </c>
      <c r="I999" s="18" t="s">
        <v>12</v>
      </c>
    </row>
    <row r="1000" s="1" customFormat="1" customHeight="1" spans="1:9">
      <c r="A1000" s="18" t="str">
        <f t="shared" si="121"/>
        <v>B2F</v>
      </c>
      <c r="B1000" s="19" t="s">
        <v>48</v>
      </c>
      <c r="C1000" s="18" t="str">
        <f>"姚莎"</f>
        <v>姚莎</v>
      </c>
      <c r="D1000" s="18" t="str">
        <f t="shared" si="122"/>
        <v>女</v>
      </c>
      <c r="E1000" s="18" t="str">
        <f>"2022012020"</f>
        <v>2022012020</v>
      </c>
      <c r="F1000" s="18">
        <v>0</v>
      </c>
      <c r="G1000" s="25">
        <v>132</v>
      </c>
      <c r="H1000" s="18" t="s">
        <v>13</v>
      </c>
      <c r="I1000" s="18" t="s">
        <v>12</v>
      </c>
    </row>
    <row r="1001" s="1" customFormat="1" customHeight="1" spans="1:9">
      <c r="A1001" s="18" t="str">
        <f t="shared" si="121"/>
        <v>B2F</v>
      </c>
      <c r="B1001" s="19" t="s">
        <v>48</v>
      </c>
      <c r="C1001" s="18" t="str">
        <f>"肖紫玲"</f>
        <v>肖紫玲</v>
      </c>
      <c r="D1001" s="18" t="str">
        <f t="shared" si="122"/>
        <v>女</v>
      </c>
      <c r="E1001" s="18" t="str">
        <f>"2022012021"</f>
        <v>2022012021</v>
      </c>
      <c r="F1001" s="20">
        <v>0</v>
      </c>
      <c r="G1001" s="18">
        <v>132</v>
      </c>
      <c r="H1001" s="21" t="s">
        <v>13</v>
      </c>
      <c r="I1001" s="18" t="s">
        <v>12</v>
      </c>
    </row>
    <row r="1002" s="1" customFormat="1" customHeight="1" spans="1:9">
      <c r="A1002" s="18" t="str">
        <f t="shared" ref="A1002:A1005" si="123">"B2F"</f>
        <v>B2F</v>
      </c>
      <c r="B1002" s="19" t="s">
        <v>48</v>
      </c>
      <c r="C1002" s="18" t="str">
        <f>"邹茜茜"</f>
        <v>邹茜茜</v>
      </c>
      <c r="D1002" s="18" t="str">
        <f t="shared" ref="D1002:D1065" si="124">"女"</f>
        <v>女</v>
      </c>
      <c r="E1002" s="18" t="str">
        <f>"2022012022"</f>
        <v>2022012022</v>
      </c>
      <c r="F1002" s="18">
        <v>0</v>
      </c>
      <c r="G1002" s="25">
        <v>132</v>
      </c>
      <c r="H1002" s="18" t="s">
        <v>13</v>
      </c>
      <c r="I1002" s="18" t="s">
        <v>12</v>
      </c>
    </row>
    <row r="1003" s="1" customFormat="1" customHeight="1" spans="1:9">
      <c r="A1003" s="18" t="str">
        <f t="shared" si="123"/>
        <v>B2F</v>
      </c>
      <c r="B1003" s="19" t="s">
        <v>48</v>
      </c>
      <c r="C1003" s="18" t="str">
        <f>"米洁"</f>
        <v>米洁</v>
      </c>
      <c r="D1003" s="18" t="str">
        <f t="shared" si="124"/>
        <v>女</v>
      </c>
      <c r="E1003" s="18" t="str">
        <f>"2022012028"</f>
        <v>2022012028</v>
      </c>
      <c r="F1003" s="22">
        <v>0</v>
      </c>
      <c r="G1003" s="18">
        <v>132</v>
      </c>
      <c r="H1003" s="23" t="s">
        <v>13</v>
      </c>
      <c r="I1003" s="18" t="s">
        <v>12</v>
      </c>
    </row>
    <row r="1004" s="1" customFormat="1" customHeight="1" spans="1:9">
      <c r="A1004" s="18" t="str">
        <f t="shared" si="123"/>
        <v>B2F</v>
      </c>
      <c r="B1004" s="19" t="s">
        <v>48</v>
      </c>
      <c r="C1004" s="18" t="str">
        <f>"李玉娟"</f>
        <v>李玉娟</v>
      </c>
      <c r="D1004" s="18" t="str">
        <f t="shared" si="124"/>
        <v>女</v>
      </c>
      <c r="E1004" s="18" t="str">
        <f>"2022012030"</f>
        <v>2022012030</v>
      </c>
      <c r="F1004" s="25">
        <v>0</v>
      </c>
      <c r="G1004" s="25">
        <v>132</v>
      </c>
      <c r="H1004" s="26" t="s">
        <v>13</v>
      </c>
      <c r="I1004" s="18" t="s">
        <v>12</v>
      </c>
    </row>
    <row r="1005" s="1" customFormat="1" customHeight="1" spans="1:9">
      <c r="A1005" s="18" t="str">
        <f t="shared" si="123"/>
        <v>B2F</v>
      </c>
      <c r="B1005" s="19" t="s">
        <v>48</v>
      </c>
      <c r="C1005" s="18" t="str">
        <f>"王穗琳"</f>
        <v>王穗琳</v>
      </c>
      <c r="D1005" s="18" t="str">
        <f t="shared" si="124"/>
        <v>女</v>
      </c>
      <c r="E1005" s="18" t="str">
        <f>"2022012033"</f>
        <v>2022012033</v>
      </c>
      <c r="F1005" s="18">
        <v>0</v>
      </c>
      <c r="G1005" s="18">
        <v>132</v>
      </c>
      <c r="H1005" s="18" t="s">
        <v>13</v>
      </c>
      <c r="I1005" s="18" t="s">
        <v>12</v>
      </c>
    </row>
    <row r="1006" s="1" customFormat="1" customHeight="1" spans="1:9">
      <c r="A1006" s="18" t="str">
        <f t="shared" ref="A1006:A1069" si="125">"B2G"</f>
        <v>B2G</v>
      </c>
      <c r="B1006" s="19" t="s">
        <v>49</v>
      </c>
      <c r="C1006" s="18" t="str">
        <f>"王婷"</f>
        <v>王婷</v>
      </c>
      <c r="D1006" s="18" t="str">
        <f t="shared" si="124"/>
        <v>女</v>
      </c>
      <c r="E1006" s="18" t="str">
        <f>"2022012123"</f>
        <v>2022012123</v>
      </c>
      <c r="F1006" s="18">
        <v>88.3</v>
      </c>
      <c r="G1006" s="18">
        <v>1</v>
      </c>
      <c r="H1006" s="18"/>
      <c r="I1006" s="28" t="s">
        <v>11</v>
      </c>
    </row>
    <row r="1007" s="1" customFormat="1" customHeight="1" spans="1:9">
      <c r="A1007" s="18" t="str">
        <f t="shared" si="125"/>
        <v>B2G</v>
      </c>
      <c r="B1007" s="19" t="s">
        <v>49</v>
      </c>
      <c r="C1007" s="18" t="str">
        <f>"陈小雨"</f>
        <v>陈小雨</v>
      </c>
      <c r="D1007" s="18" t="str">
        <f t="shared" si="124"/>
        <v>女</v>
      </c>
      <c r="E1007" s="18" t="str">
        <f>"2022012405"</f>
        <v>2022012405</v>
      </c>
      <c r="F1007" s="18">
        <v>87.5</v>
      </c>
      <c r="G1007" s="18">
        <v>2</v>
      </c>
      <c r="H1007" s="18"/>
      <c r="I1007" s="28" t="s">
        <v>11</v>
      </c>
    </row>
    <row r="1008" s="1" customFormat="1" customHeight="1" spans="1:9">
      <c r="A1008" s="18" t="str">
        <f t="shared" si="125"/>
        <v>B2G</v>
      </c>
      <c r="B1008" s="19" t="s">
        <v>49</v>
      </c>
      <c r="C1008" s="18" t="str">
        <f>"颜晨"</f>
        <v>颜晨</v>
      </c>
      <c r="D1008" s="18" t="str">
        <f t="shared" si="124"/>
        <v>女</v>
      </c>
      <c r="E1008" s="18" t="str">
        <f>"2022012315"</f>
        <v>2022012315</v>
      </c>
      <c r="F1008" s="18">
        <v>86.2</v>
      </c>
      <c r="G1008" s="18">
        <v>3</v>
      </c>
      <c r="H1008" s="18"/>
      <c r="I1008" s="18" t="s">
        <v>12</v>
      </c>
    </row>
    <row r="1009" s="1" customFormat="1" customHeight="1" spans="1:9">
      <c r="A1009" s="18" t="str">
        <f t="shared" si="125"/>
        <v>B2G</v>
      </c>
      <c r="B1009" s="19" t="s">
        <v>49</v>
      </c>
      <c r="C1009" s="18" t="str">
        <f>"阳黄贞"</f>
        <v>阳黄贞</v>
      </c>
      <c r="D1009" s="18" t="str">
        <f t="shared" si="124"/>
        <v>女</v>
      </c>
      <c r="E1009" s="18" t="str">
        <f>"2022012202"</f>
        <v>2022012202</v>
      </c>
      <c r="F1009" s="18">
        <v>86</v>
      </c>
      <c r="G1009" s="18">
        <v>4</v>
      </c>
      <c r="H1009" s="18"/>
      <c r="I1009" s="18" t="s">
        <v>12</v>
      </c>
    </row>
    <row r="1010" s="1" customFormat="1" customHeight="1" spans="1:9">
      <c r="A1010" s="18" t="str">
        <f t="shared" si="125"/>
        <v>B2G</v>
      </c>
      <c r="B1010" s="19" t="s">
        <v>49</v>
      </c>
      <c r="C1010" s="18" t="str">
        <f>"马妮娜"</f>
        <v>马妮娜</v>
      </c>
      <c r="D1010" s="18" t="str">
        <f t="shared" si="124"/>
        <v>女</v>
      </c>
      <c r="E1010" s="18" t="str">
        <f>"2022012211"</f>
        <v>2022012211</v>
      </c>
      <c r="F1010" s="18">
        <v>85.5</v>
      </c>
      <c r="G1010" s="18">
        <v>5</v>
      </c>
      <c r="H1010" s="18"/>
      <c r="I1010" s="18" t="s">
        <v>12</v>
      </c>
    </row>
    <row r="1011" s="1" customFormat="1" customHeight="1" spans="1:9">
      <c r="A1011" s="18" t="str">
        <f t="shared" si="125"/>
        <v>B2G</v>
      </c>
      <c r="B1011" s="19" t="s">
        <v>49</v>
      </c>
      <c r="C1011" s="18" t="str">
        <f>"唐灿"</f>
        <v>唐灿</v>
      </c>
      <c r="D1011" s="18" t="str">
        <f t="shared" si="124"/>
        <v>女</v>
      </c>
      <c r="E1011" s="18" t="str">
        <f>"2022012104"</f>
        <v>2022012104</v>
      </c>
      <c r="F1011" s="18">
        <v>84.5</v>
      </c>
      <c r="G1011" s="18">
        <v>6</v>
      </c>
      <c r="H1011" s="18"/>
      <c r="I1011" s="18" t="s">
        <v>12</v>
      </c>
    </row>
    <row r="1012" s="1" customFormat="1" customHeight="1" spans="1:9">
      <c r="A1012" s="18" t="str">
        <f t="shared" si="125"/>
        <v>B2G</v>
      </c>
      <c r="B1012" s="19" t="s">
        <v>49</v>
      </c>
      <c r="C1012" s="18" t="str">
        <f>"梁晓婕"</f>
        <v>梁晓婕</v>
      </c>
      <c r="D1012" s="18" t="str">
        <f t="shared" si="124"/>
        <v>女</v>
      </c>
      <c r="E1012" s="18" t="str">
        <f>"2022012212"</f>
        <v>2022012212</v>
      </c>
      <c r="F1012" s="18">
        <v>84.5</v>
      </c>
      <c r="G1012" s="18">
        <v>6</v>
      </c>
      <c r="H1012" s="18"/>
      <c r="I1012" s="18" t="s">
        <v>12</v>
      </c>
    </row>
    <row r="1013" s="1" customFormat="1" customHeight="1" spans="1:9">
      <c r="A1013" s="18" t="str">
        <f t="shared" si="125"/>
        <v>B2G</v>
      </c>
      <c r="B1013" s="19" t="s">
        <v>49</v>
      </c>
      <c r="C1013" s="18" t="str">
        <f>"林玉玲"</f>
        <v>林玉玲</v>
      </c>
      <c r="D1013" s="18" t="str">
        <f t="shared" si="124"/>
        <v>女</v>
      </c>
      <c r="E1013" s="18" t="str">
        <f>"2022012232"</f>
        <v>2022012232</v>
      </c>
      <c r="F1013" s="18">
        <v>84.5</v>
      </c>
      <c r="G1013" s="18">
        <v>6</v>
      </c>
      <c r="H1013" s="18"/>
      <c r="I1013" s="18" t="s">
        <v>12</v>
      </c>
    </row>
    <row r="1014" s="1" customFormat="1" customHeight="1" spans="1:9">
      <c r="A1014" s="18" t="str">
        <f t="shared" si="125"/>
        <v>B2G</v>
      </c>
      <c r="B1014" s="19" t="s">
        <v>49</v>
      </c>
      <c r="C1014" s="18" t="str">
        <f>"杨惠"</f>
        <v>杨惠</v>
      </c>
      <c r="D1014" s="18" t="str">
        <f t="shared" si="124"/>
        <v>女</v>
      </c>
      <c r="E1014" s="18" t="str">
        <f>"2022012322"</f>
        <v>2022012322</v>
      </c>
      <c r="F1014" s="18">
        <v>83.8</v>
      </c>
      <c r="G1014" s="18">
        <v>9</v>
      </c>
      <c r="H1014" s="18"/>
      <c r="I1014" s="18" t="s">
        <v>12</v>
      </c>
    </row>
    <row r="1015" s="1" customFormat="1" customHeight="1" spans="1:9">
      <c r="A1015" s="18" t="str">
        <f t="shared" si="125"/>
        <v>B2G</v>
      </c>
      <c r="B1015" s="19" t="s">
        <v>49</v>
      </c>
      <c r="C1015" s="18" t="str">
        <f>"谭雅月"</f>
        <v>谭雅月</v>
      </c>
      <c r="D1015" s="18" t="str">
        <f t="shared" si="124"/>
        <v>女</v>
      </c>
      <c r="E1015" s="18" t="str">
        <f>"2022012406"</f>
        <v>2022012406</v>
      </c>
      <c r="F1015" s="18">
        <v>83.8</v>
      </c>
      <c r="G1015" s="18">
        <v>9</v>
      </c>
      <c r="H1015" s="18"/>
      <c r="I1015" s="18" t="s">
        <v>12</v>
      </c>
    </row>
    <row r="1016" s="1" customFormat="1" customHeight="1" spans="1:9">
      <c r="A1016" s="18" t="str">
        <f t="shared" si="125"/>
        <v>B2G</v>
      </c>
      <c r="B1016" s="19" t="s">
        <v>49</v>
      </c>
      <c r="C1016" s="18" t="str">
        <f>"廖茜"</f>
        <v>廖茜</v>
      </c>
      <c r="D1016" s="18" t="str">
        <f t="shared" si="124"/>
        <v>女</v>
      </c>
      <c r="E1016" s="18" t="str">
        <f>"2022012221"</f>
        <v>2022012221</v>
      </c>
      <c r="F1016" s="18">
        <v>83.7</v>
      </c>
      <c r="G1016" s="18">
        <v>11</v>
      </c>
      <c r="H1016" s="18"/>
      <c r="I1016" s="18" t="s">
        <v>12</v>
      </c>
    </row>
    <row r="1017" s="1" customFormat="1" customHeight="1" spans="1:9">
      <c r="A1017" s="18" t="str">
        <f t="shared" si="125"/>
        <v>B2G</v>
      </c>
      <c r="B1017" s="19" t="s">
        <v>49</v>
      </c>
      <c r="C1017" s="18" t="str">
        <f>"饶敏"</f>
        <v>饶敏</v>
      </c>
      <c r="D1017" s="18" t="str">
        <f t="shared" si="124"/>
        <v>女</v>
      </c>
      <c r="E1017" s="18" t="str">
        <f>"2022012218"</f>
        <v>2022012218</v>
      </c>
      <c r="F1017" s="18">
        <v>83.5</v>
      </c>
      <c r="G1017" s="18">
        <v>12</v>
      </c>
      <c r="H1017" s="18"/>
      <c r="I1017" s="18" t="s">
        <v>12</v>
      </c>
    </row>
    <row r="1018" s="1" customFormat="1" customHeight="1" spans="1:9">
      <c r="A1018" s="18" t="str">
        <f t="shared" si="125"/>
        <v>B2G</v>
      </c>
      <c r="B1018" s="19" t="s">
        <v>49</v>
      </c>
      <c r="C1018" s="18" t="str">
        <f>"王娴盈"</f>
        <v>王娴盈</v>
      </c>
      <c r="D1018" s="18" t="str">
        <f t="shared" si="124"/>
        <v>女</v>
      </c>
      <c r="E1018" s="18" t="str">
        <f>"2022012313"</f>
        <v>2022012313</v>
      </c>
      <c r="F1018" s="18">
        <v>83.5</v>
      </c>
      <c r="G1018" s="18">
        <v>12</v>
      </c>
      <c r="H1018" s="18"/>
      <c r="I1018" s="18" t="s">
        <v>12</v>
      </c>
    </row>
    <row r="1019" s="1" customFormat="1" customHeight="1" spans="1:9">
      <c r="A1019" s="18" t="str">
        <f t="shared" si="125"/>
        <v>B2G</v>
      </c>
      <c r="B1019" s="19" t="s">
        <v>49</v>
      </c>
      <c r="C1019" s="18" t="str">
        <f>"莫关梦"</f>
        <v>莫关梦</v>
      </c>
      <c r="D1019" s="18" t="str">
        <f t="shared" si="124"/>
        <v>女</v>
      </c>
      <c r="E1019" s="18" t="str">
        <f>"2022012215"</f>
        <v>2022012215</v>
      </c>
      <c r="F1019" s="18">
        <v>83.3</v>
      </c>
      <c r="G1019" s="18">
        <v>14</v>
      </c>
      <c r="H1019" s="18"/>
      <c r="I1019" s="18" t="s">
        <v>12</v>
      </c>
    </row>
    <row r="1020" s="1" customFormat="1" customHeight="1" spans="1:9">
      <c r="A1020" s="18" t="str">
        <f t="shared" si="125"/>
        <v>B2G</v>
      </c>
      <c r="B1020" s="19" t="s">
        <v>49</v>
      </c>
      <c r="C1020" s="18" t="str">
        <f>"刘慧"</f>
        <v>刘慧</v>
      </c>
      <c r="D1020" s="18" t="str">
        <f t="shared" si="124"/>
        <v>女</v>
      </c>
      <c r="E1020" s="18" t="str">
        <f>"2022012325"</f>
        <v>2022012325</v>
      </c>
      <c r="F1020" s="18">
        <v>83.2</v>
      </c>
      <c r="G1020" s="18">
        <v>15</v>
      </c>
      <c r="H1020" s="18"/>
      <c r="I1020" s="18" t="s">
        <v>12</v>
      </c>
    </row>
    <row r="1021" s="1" customFormat="1" customHeight="1" spans="1:9">
      <c r="A1021" s="18" t="str">
        <f t="shared" si="125"/>
        <v>B2G</v>
      </c>
      <c r="B1021" s="19" t="s">
        <v>49</v>
      </c>
      <c r="C1021" s="18" t="str">
        <f>"李丽霞"</f>
        <v>李丽霞</v>
      </c>
      <c r="D1021" s="18" t="str">
        <f t="shared" si="124"/>
        <v>女</v>
      </c>
      <c r="E1021" s="18" t="str">
        <f>"2022012401"</f>
        <v>2022012401</v>
      </c>
      <c r="F1021" s="18">
        <v>83.2</v>
      </c>
      <c r="G1021" s="18">
        <v>15</v>
      </c>
      <c r="H1021" s="18"/>
      <c r="I1021" s="18" t="s">
        <v>12</v>
      </c>
    </row>
    <row r="1022" s="1" customFormat="1" customHeight="1" spans="1:9">
      <c r="A1022" s="18" t="str">
        <f t="shared" si="125"/>
        <v>B2G</v>
      </c>
      <c r="B1022" s="19" t="s">
        <v>49</v>
      </c>
      <c r="C1022" s="18" t="str">
        <f>"王璋琪"</f>
        <v>王璋琪</v>
      </c>
      <c r="D1022" s="18" t="str">
        <f t="shared" si="124"/>
        <v>女</v>
      </c>
      <c r="E1022" s="18" t="str">
        <f>"2022012411"</f>
        <v>2022012411</v>
      </c>
      <c r="F1022" s="18">
        <v>83</v>
      </c>
      <c r="G1022" s="18">
        <v>17</v>
      </c>
      <c r="H1022" s="18"/>
      <c r="I1022" s="18" t="s">
        <v>12</v>
      </c>
    </row>
    <row r="1023" s="1" customFormat="1" customHeight="1" spans="1:9">
      <c r="A1023" s="18" t="str">
        <f t="shared" si="125"/>
        <v>B2G</v>
      </c>
      <c r="B1023" s="19" t="s">
        <v>49</v>
      </c>
      <c r="C1023" s="18" t="str">
        <f>"李莎玲"</f>
        <v>李莎玲</v>
      </c>
      <c r="D1023" s="18" t="str">
        <f t="shared" si="124"/>
        <v>女</v>
      </c>
      <c r="E1023" s="18" t="str">
        <f>"2022012327"</f>
        <v>2022012327</v>
      </c>
      <c r="F1023" s="18">
        <v>82.9</v>
      </c>
      <c r="G1023" s="18">
        <v>18</v>
      </c>
      <c r="H1023" s="18"/>
      <c r="I1023" s="18" t="s">
        <v>12</v>
      </c>
    </row>
    <row r="1024" s="1" customFormat="1" customHeight="1" spans="1:9">
      <c r="A1024" s="18" t="str">
        <f t="shared" si="125"/>
        <v>B2G</v>
      </c>
      <c r="B1024" s="19" t="s">
        <v>49</v>
      </c>
      <c r="C1024" s="18" t="str">
        <f>"周巧华"</f>
        <v>周巧华</v>
      </c>
      <c r="D1024" s="18" t="str">
        <f t="shared" si="124"/>
        <v>女</v>
      </c>
      <c r="E1024" s="18" t="str">
        <f>"2022012231"</f>
        <v>2022012231</v>
      </c>
      <c r="F1024" s="18">
        <v>82.6</v>
      </c>
      <c r="G1024" s="18">
        <v>19</v>
      </c>
      <c r="H1024" s="18"/>
      <c r="I1024" s="18" t="s">
        <v>12</v>
      </c>
    </row>
    <row r="1025" s="1" customFormat="1" customHeight="1" spans="1:9">
      <c r="A1025" s="18" t="str">
        <f t="shared" si="125"/>
        <v>B2G</v>
      </c>
      <c r="B1025" s="19" t="s">
        <v>49</v>
      </c>
      <c r="C1025" s="18" t="str">
        <f>"曾娟"</f>
        <v>曾娟</v>
      </c>
      <c r="D1025" s="18" t="str">
        <f t="shared" si="124"/>
        <v>女</v>
      </c>
      <c r="E1025" s="18" t="str">
        <f>"2022012126"</f>
        <v>2022012126</v>
      </c>
      <c r="F1025" s="18">
        <v>82.5</v>
      </c>
      <c r="G1025" s="18">
        <v>20</v>
      </c>
      <c r="H1025" s="18"/>
      <c r="I1025" s="18" t="s">
        <v>12</v>
      </c>
    </row>
    <row r="1026" s="1" customFormat="1" customHeight="1" spans="1:9">
      <c r="A1026" s="18" t="str">
        <f t="shared" si="125"/>
        <v>B2G</v>
      </c>
      <c r="B1026" s="19" t="s">
        <v>49</v>
      </c>
      <c r="C1026" s="18" t="str">
        <f>"周琰"</f>
        <v>周琰</v>
      </c>
      <c r="D1026" s="18" t="str">
        <f t="shared" si="124"/>
        <v>女</v>
      </c>
      <c r="E1026" s="18" t="str">
        <f>"2022012320"</f>
        <v>2022012320</v>
      </c>
      <c r="F1026" s="18">
        <v>82.5</v>
      </c>
      <c r="G1026" s="18">
        <v>20</v>
      </c>
      <c r="H1026" s="18"/>
      <c r="I1026" s="18" t="s">
        <v>12</v>
      </c>
    </row>
    <row r="1027" s="1" customFormat="1" customHeight="1" spans="1:9">
      <c r="A1027" s="18" t="str">
        <f t="shared" si="125"/>
        <v>B2G</v>
      </c>
      <c r="B1027" s="19" t="s">
        <v>49</v>
      </c>
      <c r="C1027" s="18" t="str">
        <f>"李钰"</f>
        <v>李钰</v>
      </c>
      <c r="D1027" s="18" t="str">
        <f t="shared" si="124"/>
        <v>女</v>
      </c>
      <c r="E1027" s="18" t="str">
        <f>"2022012321"</f>
        <v>2022012321</v>
      </c>
      <c r="F1027" s="18">
        <v>82.5</v>
      </c>
      <c r="G1027" s="18">
        <v>20</v>
      </c>
      <c r="H1027" s="18"/>
      <c r="I1027" s="18" t="s">
        <v>12</v>
      </c>
    </row>
    <row r="1028" s="1" customFormat="1" customHeight="1" spans="1:9">
      <c r="A1028" s="18" t="str">
        <f t="shared" si="125"/>
        <v>B2G</v>
      </c>
      <c r="B1028" s="19" t="s">
        <v>49</v>
      </c>
      <c r="C1028" s="18" t="str">
        <f>"陈乐"</f>
        <v>陈乐</v>
      </c>
      <c r="D1028" s="18" t="str">
        <f t="shared" si="124"/>
        <v>女</v>
      </c>
      <c r="E1028" s="18" t="str">
        <f>"2022012409"</f>
        <v>2022012409</v>
      </c>
      <c r="F1028" s="18">
        <v>82.5</v>
      </c>
      <c r="G1028" s="18">
        <v>20</v>
      </c>
      <c r="H1028" s="18"/>
      <c r="I1028" s="18" t="s">
        <v>12</v>
      </c>
    </row>
    <row r="1029" s="1" customFormat="1" customHeight="1" spans="1:9">
      <c r="A1029" s="18" t="str">
        <f t="shared" si="125"/>
        <v>B2G</v>
      </c>
      <c r="B1029" s="19" t="s">
        <v>49</v>
      </c>
      <c r="C1029" s="18" t="str">
        <f>"欧海滢"</f>
        <v>欧海滢</v>
      </c>
      <c r="D1029" s="18" t="str">
        <f t="shared" si="124"/>
        <v>女</v>
      </c>
      <c r="E1029" s="18" t="str">
        <f>"2022012331"</f>
        <v>2022012331</v>
      </c>
      <c r="F1029" s="18">
        <v>82.3</v>
      </c>
      <c r="G1029" s="18">
        <v>24</v>
      </c>
      <c r="H1029" s="18"/>
      <c r="I1029" s="18" t="s">
        <v>12</v>
      </c>
    </row>
    <row r="1030" s="1" customFormat="1" customHeight="1" spans="1:9">
      <c r="A1030" s="18" t="str">
        <f t="shared" si="125"/>
        <v>B2G</v>
      </c>
      <c r="B1030" s="19" t="s">
        <v>49</v>
      </c>
      <c r="C1030" s="18" t="str">
        <f>"罗颖慧"</f>
        <v>罗颖慧</v>
      </c>
      <c r="D1030" s="18" t="str">
        <f t="shared" si="124"/>
        <v>女</v>
      </c>
      <c r="E1030" s="18" t="str">
        <f>"2022012124"</f>
        <v>2022012124</v>
      </c>
      <c r="F1030" s="18">
        <v>81.5</v>
      </c>
      <c r="G1030" s="18">
        <v>25</v>
      </c>
      <c r="H1030" s="18"/>
      <c r="I1030" s="18" t="s">
        <v>12</v>
      </c>
    </row>
    <row r="1031" s="1" customFormat="1" customHeight="1" spans="1:9">
      <c r="A1031" s="18" t="str">
        <f t="shared" si="125"/>
        <v>B2G</v>
      </c>
      <c r="B1031" s="19" t="s">
        <v>49</v>
      </c>
      <c r="C1031" s="18" t="str">
        <f>"朱佳琪"</f>
        <v>朱佳琪</v>
      </c>
      <c r="D1031" s="18" t="str">
        <f t="shared" si="124"/>
        <v>女</v>
      </c>
      <c r="E1031" s="18" t="str">
        <f>"2022012206"</f>
        <v>2022012206</v>
      </c>
      <c r="F1031" s="18">
        <v>81.5</v>
      </c>
      <c r="G1031" s="18">
        <v>25</v>
      </c>
      <c r="H1031" s="18"/>
      <c r="I1031" s="18" t="s">
        <v>12</v>
      </c>
    </row>
    <row r="1032" s="1" customFormat="1" customHeight="1" spans="1:9">
      <c r="A1032" s="18" t="str">
        <f t="shared" si="125"/>
        <v>B2G</v>
      </c>
      <c r="B1032" s="19" t="s">
        <v>49</v>
      </c>
      <c r="C1032" s="18" t="str">
        <f>"吴玉红"</f>
        <v>吴玉红</v>
      </c>
      <c r="D1032" s="18" t="str">
        <f t="shared" si="124"/>
        <v>女</v>
      </c>
      <c r="E1032" s="18" t="str">
        <f>"2022012227"</f>
        <v>2022012227</v>
      </c>
      <c r="F1032" s="18">
        <v>81.5</v>
      </c>
      <c r="G1032" s="18">
        <v>25</v>
      </c>
      <c r="H1032" s="18"/>
      <c r="I1032" s="18" t="s">
        <v>12</v>
      </c>
    </row>
    <row r="1033" s="1" customFormat="1" customHeight="1" spans="1:9">
      <c r="A1033" s="18" t="str">
        <f t="shared" si="125"/>
        <v>B2G</v>
      </c>
      <c r="B1033" s="19" t="s">
        <v>49</v>
      </c>
      <c r="C1033" s="18" t="str">
        <f>"段金思"</f>
        <v>段金思</v>
      </c>
      <c r="D1033" s="18" t="str">
        <f t="shared" si="124"/>
        <v>女</v>
      </c>
      <c r="E1033" s="18" t="str">
        <f>"2022012132"</f>
        <v>2022012132</v>
      </c>
      <c r="F1033" s="18">
        <v>81</v>
      </c>
      <c r="G1033" s="18">
        <v>28</v>
      </c>
      <c r="H1033" s="18"/>
      <c r="I1033" s="18" t="s">
        <v>12</v>
      </c>
    </row>
    <row r="1034" s="1" customFormat="1" customHeight="1" spans="1:9">
      <c r="A1034" s="18" t="str">
        <f t="shared" si="125"/>
        <v>B2G</v>
      </c>
      <c r="B1034" s="19" t="s">
        <v>49</v>
      </c>
      <c r="C1034" s="18" t="str">
        <f>"刘娜"</f>
        <v>刘娜</v>
      </c>
      <c r="D1034" s="18" t="str">
        <f t="shared" si="124"/>
        <v>女</v>
      </c>
      <c r="E1034" s="18" t="str">
        <f>"2022012303"</f>
        <v>2022012303</v>
      </c>
      <c r="F1034" s="18">
        <v>81</v>
      </c>
      <c r="G1034" s="18">
        <v>28</v>
      </c>
      <c r="H1034" s="18"/>
      <c r="I1034" s="18" t="s">
        <v>12</v>
      </c>
    </row>
    <row r="1035" s="1" customFormat="1" customHeight="1" spans="1:9">
      <c r="A1035" s="18" t="str">
        <f t="shared" si="125"/>
        <v>B2G</v>
      </c>
      <c r="B1035" s="19" t="s">
        <v>49</v>
      </c>
      <c r="C1035" s="18" t="str">
        <f>"李睿涵"</f>
        <v>李睿涵</v>
      </c>
      <c r="D1035" s="18" t="str">
        <f t="shared" si="124"/>
        <v>女</v>
      </c>
      <c r="E1035" s="18" t="str">
        <f>"2022012326"</f>
        <v>2022012326</v>
      </c>
      <c r="F1035" s="18">
        <v>81</v>
      </c>
      <c r="G1035" s="18">
        <v>28</v>
      </c>
      <c r="H1035" s="18"/>
      <c r="I1035" s="18" t="s">
        <v>12</v>
      </c>
    </row>
    <row r="1036" s="1" customFormat="1" customHeight="1" spans="1:9">
      <c r="A1036" s="18" t="str">
        <f t="shared" si="125"/>
        <v>B2G</v>
      </c>
      <c r="B1036" s="19" t="s">
        <v>49</v>
      </c>
      <c r="C1036" s="18" t="str">
        <f>"李白玲"</f>
        <v>李白玲</v>
      </c>
      <c r="D1036" s="18" t="str">
        <f t="shared" si="124"/>
        <v>女</v>
      </c>
      <c r="E1036" s="18" t="str">
        <f>"2022012114"</f>
        <v>2022012114</v>
      </c>
      <c r="F1036" s="18">
        <v>80.6</v>
      </c>
      <c r="G1036" s="18">
        <v>31</v>
      </c>
      <c r="H1036" s="18"/>
      <c r="I1036" s="18" t="s">
        <v>12</v>
      </c>
    </row>
    <row r="1037" s="1" customFormat="1" customHeight="1" spans="1:9">
      <c r="A1037" s="18" t="str">
        <f t="shared" si="125"/>
        <v>B2G</v>
      </c>
      <c r="B1037" s="19" t="s">
        <v>49</v>
      </c>
      <c r="C1037" s="18" t="str">
        <f>"龚朝萌"</f>
        <v>龚朝萌</v>
      </c>
      <c r="D1037" s="18" t="str">
        <f t="shared" si="124"/>
        <v>女</v>
      </c>
      <c r="E1037" s="18" t="str">
        <f>"2022012316"</f>
        <v>2022012316</v>
      </c>
      <c r="F1037" s="18">
        <v>80.5</v>
      </c>
      <c r="G1037" s="18">
        <v>32</v>
      </c>
      <c r="H1037" s="18"/>
      <c r="I1037" s="18" t="s">
        <v>12</v>
      </c>
    </row>
    <row r="1038" s="1" customFormat="1" customHeight="1" spans="1:9">
      <c r="A1038" s="18" t="str">
        <f t="shared" si="125"/>
        <v>B2G</v>
      </c>
      <c r="B1038" s="19" t="s">
        <v>49</v>
      </c>
      <c r="C1038" s="18" t="str">
        <f>"宋淇"</f>
        <v>宋淇</v>
      </c>
      <c r="D1038" s="18" t="str">
        <f t="shared" si="124"/>
        <v>女</v>
      </c>
      <c r="E1038" s="18" t="str">
        <f>"2022012328"</f>
        <v>2022012328</v>
      </c>
      <c r="F1038" s="18">
        <v>80.5</v>
      </c>
      <c r="G1038" s="18">
        <v>32</v>
      </c>
      <c r="H1038" s="18"/>
      <c r="I1038" s="18" t="s">
        <v>12</v>
      </c>
    </row>
    <row r="1039" s="1" customFormat="1" customHeight="1" spans="1:9">
      <c r="A1039" s="18" t="str">
        <f t="shared" si="125"/>
        <v>B2G</v>
      </c>
      <c r="B1039" s="19" t="s">
        <v>49</v>
      </c>
      <c r="C1039" s="18" t="str">
        <f>"陈婷曦"</f>
        <v>陈婷曦</v>
      </c>
      <c r="D1039" s="18" t="str">
        <f t="shared" si="124"/>
        <v>女</v>
      </c>
      <c r="E1039" s="18" t="str">
        <f>"2022012319"</f>
        <v>2022012319</v>
      </c>
      <c r="F1039" s="18">
        <v>80.2</v>
      </c>
      <c r="G1039" s="18">
        <v>34</v>
      </c>
      <c r="H1039" s="18"/>
      <c r="I1039" s="18" t="s">
        <v>12</v>
      </c>
    </row>
    <row r="1040" s="1" customFormat="1" customHeight="1" spans="1:9">
      <c r="A1040" s="18" t="str">
        <f t="shared" si="125"/>
        <v>B2G</v>
      </c>
      <c r="B1040" s="19" t="s">
        <v>49</v>
      </c>
      <c r="C1040" s="18" t="str">
        <f>"唐丽"</f>
        <v>唐丽</v>
      </c>
      <c r="D1040" s="18" t="str">
        <f t="shared" si="124"/>
        <v>女</v>
      </c>
      <c r="E1040" s="18" t="str">
        <f>"2022012329"</f>
        <v>2022012329</v>
      </c>
      <c r="F1040" s="18">
        <v>80</v>
      </c>
      <c r="G1040" s="18">
        <v>35</v>
      </c>
      <c r="H1040" s="18"/>
      <c r="I1040" s="18" t="s">
        <v>12</v>
      </c>
    </row>
    <row r="1041" s="1" customFormat="1" customHeight="1" spans="1:9">
      <c r="A1041" s="18" t="str">
        <f t="shared" si="125"/>
        <v>B2G</v>
      </c>
      <c r="B1041" s="19" t="s">
        <v>49</v>
      </c>
      <c r="C1041" s="18" t="str">
        <f>"陈艳"</f>
        <v>陈艳</v>
      </c>
      <c r="D1041" s="18" t="str">
        <f t="shared" si="124"/>
        <v>女</v>
      </c>
      <c r="E1041" s="18" t="str">
        <f>"2022012113"</f>
        <v>2022012113</v>
      </c>
      <c r="F1041" s="18">
        <v>79.5</v>
      </c>
      <c r="G1041" s="18">
        <v>36</v>
      </c>
      <c r="H1041" s="18"/>
      <c r="I1041" s="18" t="s">
        <v>12</v>
      </c>
    </row>
    <row r="1042" s="1" customFormat="1" customHeight="1" spans="1:9">
      <c r="A1042" s="18" t="str">
        <f t="shared" si="125"/>
        <v>B2G</v>
      </c>
      <c r="B1042" s="19" t="s">
        <v>49</v>
      </c>
      <c r="C1042" s="18" t="str">
        <f>"李佳琳"</f>
        <v>李佳琳</v>
      </c>
      <c r="D1042" s="18" t="str">
        <f t="shared" si="124"/>
        <v>女</v>
      </c>
      <c r="E1042" s="18" t="str">
        <f>"2022012305"</f>
        <v>2022012305</v>
      </c>
      <c r="F1042" s="18">
        <v>79.5</v>
      </c>
      <c r="G1042" s="18">
        <v>36</v>
      </c>
      <c r="H1042" s="18"/>
      <c r="I1042" s="18" t="s">
        <v>12</v>
      </c>
    </row>
    <row r="1043" s="1" customFormat="1" customHeight="1" spans="1:9">
      <c r="A1043" s="18" t="str">
        <f t="shared" si="125"/>
        <v>B2G</v>
      </c>
      <c r="B1043" s="19" t="s">
        <v>49</v>
      </c>
      <c r="C1043" s="18" t="str">
        <f>"杨丽"</f>
        <v>杨丽</v>
      </c>
      <c r="D1043" s="18" t="str">
        <f t="shared" si="124"/>
        <v>女</v>
      </c>
      <c r="E1043" s="18" t="str">
        <f>"2022012311"</f>
        <v>2022012311</v>
      </c>
      <c r="F1043" s="18">
        <v>79.1</v>
      </c>
      <c r="G1043" s="18">
        <v>38</v>
      </c>
      <c r="H1043" s="18"/>
      <c r="I1043" s="18" t="s">
        <v>12</v>
      </c>
    </row>
    <row r="1044" s="1" customFormat="1" customHeight="1" spans="1:9">
      <c r="A1044" s="18" t="str">
        <f t="shared" si="125"/>
        <v>B2G</v>
      </c>
      <c r="B1044" s="19" t="s">
        <v>49</v>
      </c>
      <c r="C1044" s="18" t="str">
        <f>"王卓"</f>
        <v>王卓</v>
      </c>
      <c r="D1044" s="18" t="str">
        <f t="shared" si="124"/>
        <v>女</v>
      </c>
      <c r="E1044" s="18" t="str">
        <f>"2022012125"</f>
        <v>2022012125</v>
      </c>
      <c r="F1044" s="18">
        <v>79</v>
      </c>
      <c r="G1044" s="18">
        <v>39</v>
      </c>
      <c r="H1044" s="18"/>
      <c r="I1044" s="18" t="s">
        <v>12</v>
      </c>
    </row>
    <row r="1045" s="1" customFormat="1" customHeight="1" spans="1:9">
      <c r="A1045" s="18" t="str">
        <f t="shared" si="125"/>
        <v>B2G</v>
      </c>
      <c r="B1045" s="19" t="s">
        <v>49</v>
      </c>
      <c r="C1045" s="18" t="str">
        <f>"毛艳"</f>
        <v>毛艳</v>
      </c>
      <c r="D1045" s="18" t="str">
        <f t="shared" si="124"/>
        <v>女</v>
      </c>
      <c r="E1045" s="18" t="str">
        <f>"2022012209"</f>
        <v>2022012209</v>
      </c>
      <c r="F1045" s="18">
        <v>79</v>
      </c>
      <c r="G1045" s="18">
        <v>39</v>
      </c>
      <c r="H1045" s="18"/>
      <c r="I1045" s="18" t="s">
        <v>12</v>
      </c>
    </row>
    <row r="1046" s="1" customFormat="1" customHeight="1" spans="1:9">
      <c r="A1046" s="18" t="str">
        <f t="shared" si="125"/>
        <v>B2G</v>
      </c>
      <c r="B1046" s="19" t="s">
        <v>49</v>
      </c>
      <c r="C1046" s="18" t="str">
        <f>"唐瑶"</f>
        <v>唐瑶</v>
      </c>
      <c r="D1046" s="18" t="str">
        <f t="shared" si="124"/>
        <v>女</v>
      </c>
      <c r="E1046" s="18" t="str">
        <f>"2022012226"</f>
        <v>2022012226</v>
      </c>
      <c r="F1046" s="18">
        <v>78.8</v>
      </c>
      <c r="G1046" s="18">
        <v>41</v>
      </c>
      <c r="H1046" s="18"/>
      <c r="I1046" s="18" t="s">
        <v>12</v>
      </c>
    </row>
    <row r="1047" s="1" customFormat="1" customHeight="1" spans="1:9">
      <c r="A1047" s="18" t="str">
        <f t="shared" si="125"/>
        <v>B2G</v>
      </c>
      <c r="B1047" s="19" t="s">
        <v>49</v>
      </c>
      <c r="C1047" s="18" t="str">
        <f>"唐琴"</f>
        <v>唐琴</v>
      </c>
      <c r="D1047" s="18" t="str">
        <f t="shared" si="124"/>
        <v>女</v>
      </c>
      <c r="E1047" s="18" t="str">
        <f>"2022012317"</f>
        <v>2022012317</v>
      </c>
      <c r="F1047" s="18">
        <v>78.7</v>
      </c>
      <c r="G1047" s="18">
        <v>42</v>
      </c>
      <c r="H1047" s="18"/>
      <c r="I1047" s="18" t="s">
        <v>12</v>
      </c>
    </row>
    <row r="1048" s="1" customFormat="1" customHeight="1" spans="1:9">
      <c r="A1048" s="18" t="str">
        <f t="shared" si="125"/>
        <v>B2G</v>
      </c>
      <c r="B1048" s="19" t="s">
        <v>49</v>
      </c>
      <c r="C1048" s="18" t="str">
        <f>"万欣懿"</f>
        <v>万欣懿</v>
      </c>
      <c r="D1048" s="18" t="str">
        <f t="shared" si="124"/>
        <v>女</v>
      </c>
      <c r="E1048" s="18" t="str">
        <f>"2022012301"</f>
        <v>2022012301</v>
      </c>
      <c r="F1048" s="18">
        <v>78.5</v>
      </c>
      <c r="G1048" s="18">
        <v>43</v>
      </c>
      <c r="H1048" s="18"/>
      <c r="I1048" s="18" t="s">
        <v>12</v>
      </c>
    </row>
    <row r="1049" s="1" customFormat="1" customHeight="1" spans="1:9">
      <c r="A1049" s="18" t="str">
        <f t="shared" si="125"/>
        <v>B2G</v>
      </c>
      <c r="B1049" s="19" t="s">
        <v>49</v>
      </c>
      <c r="C1049" s="18" t="str">
        <f>"曾艳春"</f>
        <v>曾艳春</v>
      </c>
      <c r="D1049" s="18" t="str">
        <f t="shared" si="124"/>
        <v>女</v>
      </c>
      <c r="E1049" s="18" t="str">
        <f>"2022012220"</f>
        <v>2022012220</v>
      </c>
      <c r="F1049" s="18">
        <v>78.4</v>
      </c>
      <c r="G1049" s="18">
        <v>44</v>
      </c>
      <c r="H1049" s="18"/>
      <c r="I1049" s="18" t="s">
        <v>12</v>
      </c>
    </row>
    <row r="1050" s="1" customFormat="1" customHeight="1" spans="1:9">
      <c r="A1050" s="18" t="str">
        <f t="shared" si="125"/>
        <v>B2G</v>
      </c>
      <c r="B1050" s="19" t="s">
        <v>49</v>
      </c>
      <c r="C1050" s="18" t="str">
        <f>"唐瑶"</f>
        <v>唐瑶</v>
      </c>
      <c r="D1050" s="18" t="str">
        <f t="shared" si="124"/>
        <v>女</v>
      </c>
      <c r="E1050" s="18" t="str">
        <f>"2022012121"</f>
        <v>2022012121</v>
      </c>
      <c r="F1050" s="18">
        <v>78</v>
      </c>
      <c r="G1050" s="18">
        <v>45</v>
      </c>
      <c r="H1050" s="18"/>
      <c r="I1050" s="18" t="s">
        <v>12</v>
      </c>
    </row>
    <row r="1051" s="1" customFormat="1" customHeight="1" spans="1:9">
      <c r="A1051" s="18" t="str">
        <f t="shared" si="125"/>
        <v>B2G</v>
      </c>
      <c r="B1051" s="19" t="s">
        <v>49</v>
      </c>
      <c r="C1051" s="18" t="str">
        <f>"欧莹"</f>
        <v>欧莹</v>
      </c>
      <c r="D1051" s="18" t="str">
        <f t="shared" si="124"/>
        <v>女</v>
      </c>
      <c r="E1051" s="18" t="str">
        <f>"2022012222"</f>
        <v>2022012222</v>
      </c>
      <c r="F1051" s="18">
        <v>78</v>
      </c>
      <c r="G1051" s="18">
        <v>45</v>
      </c>
      <c r="H1051" s="18"/>
      <c r="I1051" s="18" t="s">
        <v>12</v>
      </c>
    </row>
    <row r="1052" s="1" customFormat="1" customHeight="1" spans="1:9">
      <c r="A1052" s="18" t="str">
        <f t="shared" si="125"/>
        <v>B2G</v>
      </c>
      <c r="B1052" s="19" t="s">
        <v>49</v>
      </c>
      <c r="C1052" s="18" t="str">
        <f>"唐君"</f>
        <v>唐君</v>
      </c>
      <c r="D1052" s="18" t="str">
        <f t="shared" si="124"/>
        <v>女</v>
      </c>
      <c r="E1052" s="18" t="str">
        <f>"2022012229"</f>
        <v>2022012229</v>
      </c>
      <c r="F1052" s="18">
        <v>77.6</v>
      </c>
      <c r="G1052" s="18">
        <v>47</v>
      </c>
      <c r="H1052" s="18"/>
      <c r="I1052" s="18" t="s">
        <v>12</v>
      </c>
    </row>
    <row r="1053" s="1" customFormat="1" customHeight="1" spans="1:9">
      <c r="A1053" s="18" t="str">
        <f t="shared" si="125"/>
        <v>B2G</v>
      </c>
      <c r="B1053" s="19" t="s">
        <v>49</v>
      </c>
      <c r="C1053" s="18" t="str">
        <f>"廖秋艳"</f>
        <v>廖秋艳</v>
      </c>
      <c r="D1053" s="18" t="str">
        <f t="shared" si="124"/>
        <v>女</v>
      </c>
      <c r="E1053" s="18" t="str">
        <f>"2022012127"</f>
        <v>2022012127</v>
      </c>
      <c r="F1053" s="18">
        <v>77.5</v>
      </c>
      <c r="G1053" s="18">
        <v>48</v>
      </c>
      <c r="H1053" s="18"/>
      <c r="I1053" s="18" t="s">
        <v>12</v>
      </c>
    </row>
    <row r="1054" s="1" customFormat="1" customHeight="1" spans="1:9">
      <c r="A1054" s="18" t="str">
        <f t="shared" si="125"/>
        <v>B2G</v>
      </c>
      <c r="B1054" s="19" t="s">
        <v>49</v>
      </c>
      <c r="C1054" s="18" t="str">
        <f>"龙亚仪"</f>
        <v>龙亚仪</v>
      </c>
      <c r="D1054" s="18" t="str">
        <f t="shared" si="124"/>
        <v>女</v>
      </c>
      <c r="E1054" s="18" t="str">
        <f>"2022012210"</f>
        <v>2022012210</v>
      </c>
      <c r="F1054" s="18">
        <v>77.5</v>
      </c>
      <c r="G1054" s="18">
        <v>48</v>
      </c>
      <c r="H1054" s="18"/>
      <c r="I1054" s="18" t="s">
        <v>12</v>
      </c>
    </row>
    <row r="1055" s="1" customFormat="1" customHeight="1" spans="1:9">
      <c r="A1055" s="18" t="str">
        <f t="shared" si="125"/>
        <v>B2G</v>
      </c>
      <c r="B1055" s="19" t="s">
        <v>49</v>
      </c>
      <c r="C1055" s="18" t="str">
        <f>"姚利春"</f>
        <v>姚利春</v>
      </c>
      <c r="D1055" s="18" t="str">
        <f t="shared" si="124"/>
        <v>女</v>
      </c>
      <c r="E1055" s="18" t="str">
        <f>"2022012108"</f>
        <v>2022012108</v>
      </c>
      <c r="F1055" s="18">
        <v>77.2</v>
      </c>
      <c r="G1055" s="18">
        <v>50</v>
      </c>
      <c r="H1055" s="18"/>
      <c r="I1055" s="18" t="s">
        <v>12</v>
      </c>
    </row>
    <row r="1056" s="1" customFormat="1" customHeight="1" spans="1:9">
      <c r="A1056" s="18" t="str">
        <f t="shared" si="125"/>
        <v>B2G</v>
      </c>
      <c r="B1056" s="19" t="s">
        <v>49</v>
      </c>
      <c r="C1056" s="18" t="str">
        <f>"李莉"</f>
        <v>李莉</v>
      </c>
      <c r="D1056" s="18" t="str">
        <f t="shared" si="124"/>
        <v>女</v>
      </c>
      <c r="E1056" s="18" t="str">
        <f>"2022012107"</f>
        <v>2022012107</v>
      </c>
      <c r="F1056" s="18">
        <v>76.3</v>
      </c>
      <c r="G1056" s="18">
        <v>51</v>
      </c>
      <c r="H1056" s="18"/>
      <c r="I1056" s="18" t="s">
        <v>12</v>
      </c>
    </row>
    <row r="1057" s="1" customFormat="1" customHeight="1" spans="1:9">
      <c r="A1057" s="18" t="str">
        <f t="shared" si="125"/>
        <v>B2G</v>
      </c>
      <c r="B1057" s="19" t="s">
        <v>49</v>
      </c>
      <c r="C1057" s="18" t="str">
        <f>"李艳"</f>
        <v>李艳</v>
      </c>
      <c r="D1057" s="18" t="str">
        <f t="shared" si="124"/>
        <v>女</v>
      </c>
      <c r="E1057" s="18" t="str">
        <f>"2022012117"</f>
        <v>2022012117</v>
      </c>
      <c r="F1057" s="18">
        <v>76.3</v>
      </c>
      <c r="G1057" s="18">
        <v>51</v>
      </c>
      <c r="H1057" s="18"/>
      <c r="I1057" s="18" t="s">
        <v>12</v>
      </c>
    </row>
    <row r="1058" s="1" customFormat="1" customHeight="1" spans="1:9">
      <c r="A1058" s="18" t="str">
        <f t="shared" si="125"/>
        <v>B2G</v>
      </c>
      <c r="B1058" s="19" t="s">
        <v>49</v>
      </c>
      <c r="C1058" s="18" t="str">
        <f>"黄丽"</f>
        <v>黄丽</v>
      </c>
      <c r="D1058" s="18" t="str">
        <f t="shared" si="124"/>
        <v>女</v>
      </c>
      <c r="E1058" s="18" t="str">
        <f>"2022012312"</f>
        <v>2022012312</v>
      </c>
      <c r="F1058" s="18">
        <v>76.3</v>
      </c>
      <c r="G1058" s="18">
        <v>51</v>
      </c>
      <c r="H1058" s="18"/>
      <c r="I1058" s="18" t="s">
        <v>12</v>
      </c>
    </row>
    <row r="1059" s="1" customFormat="1" customHeight="1" spans="1:9">
      <c r="A1059" s="18" t="str">
        <f t="shared" si="125"/>
        <v>B2G</v>
      </c>
      <c r="B1059" s="19" t="s">
        <v>49</v>
      </c>
      <c r="C1059" s="18" t="str">
        <f>"胡梅"</f>
        <v>胡梅</v>
      </c>
      <c r="D1059" s="18" t="str">
        <f t="shared" si="124"/>
        <v>女</v>
      </c>
      <c r="E1059" s="18" t="str">
        <f>"2022012302"</f>
        <v>2022012302</v>
      </c>
      <c r="F1059" s="18">
        <v>76</v>
      </c>
      <c r="G1059" s="18">
        <v>54</v>
      </c>
      <c r="H1059" s="18"/>
      <c r="I1059" s="18" t="s">
        <v>12</v>
      </c>
    </row>
    <row r="1060" s="1" customFormat="1" customHeight="1" spans="1:9">
      <c r="A1060" s="18" t="str">
        <f t="shared" si="125"/>
        <v>B2G</v>
      </c>
      <c r="B1060" s="19" t="s">
        <v>49</v>
      </c>
      <c r="C1060" s="18" t="str">
        <f>"李姝 "</f>
        <v>李姝 </v>
      </c>
      <c r="D1060" s="18" t="str">
        <f t="shared" si="124"/>
        <v>女</v>
      </c>
      <c r="E1060" s="18" t="str">
        <f>"2022012402"</f>
        <v>2022012402</v>
      </c>
      <c r="F1060" s="18">
        <v>76</v>
      </c>
      <c r="G1060" s="18">
        <v>54</v>
      </c>
      <c r="H1060" s="18"/>
      <c r="I1060" s="18" t="s">
        <v>12</v>
      </c>
    </row>
    <row r="1061" s="1" customFormat="1" customHeight="1" spans="1:9">
      <c r="A1061" s="18" t="str">
        <f t="shared" si="125"/>
        <v>B2G</v>
      </c>
      <c r="B1061" s="19" t="s">
        <v>49</v>
      </c>
      <c r="C1061" s="18" t="str">
        <f>"王洪"</f>
        <v>王洪</v>
      </c>
      <c r="D1061" s="18" t="str">
        <f t="shared" si="124"/>
        <v>女</v>
      </c>
      <c r="E1061" s="18" t="str">
        <f>"2022012103"</f>
        <v>2022012103</v>
      </c>
      <c r="F1061" s="18">
        <v>75.9</v>
      </c>
      <c r="G1061" s="18">
        <v>56</v>
      </c>
      <c r="H1061" s="18"/>
      <c r="I1061" s="18" t="s">
        <v>12</v>
      </c>
    </row>
    <row r="1062" s="1" customFormat="1" customHeight="1" spans="1:9">
      <c r="A1062" s="18" t="str">
        <f t="shared" si="125"/>
        <v>B2G</v>
      </c>
      <c r="B1062" s="19" t="s">
        <v>49</v>
      </c>
      <c r="C1062" s="18" t="str">
        <f>"龙淑"</f>
        <v>龙淑</v>
      </c>
      <c r="D1062" s="18" t="str">
        <f t="shared" si="124"/>
        <v>女</v>
      </c>
      <c r="E1062" s="18" t="str">
        <f>"2022012214"</f>
        <v>2022012214</v>
      </c>
      <c r="F1062" s="18">
        <v>75.7</v>
      </c>
      <c r="G1062" s="18">
        <v>57</v>
      </c>
      <c r="H1062" s="18"/>
      <c r="I1062" s="18" t="s">
        <v>12</v>
      </c>
    </row>
    <row r="1063" s="1" customFormat="1" customHeight="1" spans="1:9">
      <c r="A1063" s="18" t="str">
        <f t="shared" si="125"/>
        <v>B2G</v>
      </c>
      <c r="B1063" s="19" t="s">
        <v>49</v>
      </c>
      <c r="C1063" s="18" t="str">
        <f>"易丽洁"</f>
        <v>易丽洁</v>
      </c>
      <c r="D1063" s="18" t="str">
        <f t="shared" si="124"/>
        <v>女</v>
      </c>
      <c r="E1063" s="18" t="str">
        <f>"2022012102"</f>
        <v>2022012102</v>
      </c>
      <c r="F1063" s="18">
        <v>75.6</v>
      </c>
      <c r="G1063" s="18">
        <v>58</v>
      </c>
      <c r="H1063" s="18"/>
      <c r="I1063" s="18" t="s">
        <v>12</v>
      </c>
    </row>
    <row r="1064" s="1" customFormat="1" customHeight="1" spans="1:9">
      <c r="A1064" s="18" t="str">
        <f t="shared" si="125"/>
        <v>B2G</v>
      </c>
      <c r="B1064" s="19" t="s">
        <v>49</v>
      </c>
      <c r="C1064" s="18" t="str">
        <f>"陈雪红"</f>
        <v>陈雪红</v>
      </c>
      <c r="D1064" s="18" t="str">
        <f t="shared" si="124"/>
        <v>女</v>
      </c>
      <c r="E1064" s="18" t="str">
        <f>"2022012219"</f>
        <v>2022012219</v>
      </c>
      <c r="F1064" s="18">
        <v>74.7</v>
      </c>
      <c r="G1064" s="18">
        <v>59</v>
      </c>
      <c r="H1064" s="18"/>
      <c r="I1064" s="18" t="s">
        <v>12</v>
      </c>
    </row>
    <row r="1065" s="1" customFormat="1" customHeight="1" spans="1:9">
      <c r="A1065" s="18" t="str">
        <f t="shared" si="125"/>
        <v>B2G</v>
      </c>
      <c r="B1065" s="19" t="s">
        <v>49</v>
      </c>
      <c r="C1065" s="18" t="str">
        <f>"于丹"</f>
        <v>于丹</v>
      </c>
      <c r="D1065" s="18" t="str">
        <f t="shared" si="124"/>
        <v>女</v>
      </c>
      <c r="E1065" s="18" t="str">
        <f>"2022012208"</f>
        <v>2022012208</v>
      </c>
      <c r="F1065" s="18">
        <v>74.5</v>
      </c>
      <c r="G1065" s="18">
        <v>60</v>
      </c>
      <c r="H1065" s="18"/>
      <c r="I1065" s="18" t="s">
        <v>12</v>
      </c>
    </row>
    <row r="1066" s="1" customFormat="1" customHeight="1" spans="1:9">
      <c r="A1066" s="18" t="str">
        <f t="shared" si="125"/>
        <v>B2G</v>
      </c>
      <c r="B1066" s="19" t="s">
        <v>49</v>
      </c>
      <c r="C1066" s="18" t="str">
        <f>"陈丹琳"</f>
        <v>陈丹琳</v>
      </c>
      <c r="D1066" s="18" t="str">
        <f t="shared" ref="D1066:D1111" si="126">"女"</f>
        <v>女</v>
      </c>
      <c r="E1066" s="18" t="str">
        <f>"2022012130"</f>
        <v>2022012130</v>
      </c>
      <c r="F1066" s="18">
        <v>74</v>
      </c>
      <c r="G1066" s="18">
        <v>61</v>
      </c>
      <c r="H1066" s="18"/>
      <c r="I1066" s="18" t="s">
        <v>12</v>
      </c>
    </row>
    <row r="1067" s="1" customFormat="1" customHeight="1" spans="1:9">
      <c r="A1067" s="18" t="str">
        <f t="shared" si="125"/>
        <v>B2G</v>
      </c>
      <c r="B1067" s="19" t="s">
        <v>49</v>
      </c>
      <c r="C1067" s="18" t="str">
        <f>"陈湘"</f>
        <v>陈湘</v>
      </c>
      <c r="D1067" s="18" t="str">
        <f t="shared" si="126"/>
        <v>女</v>
      </c>
      <c r="E1067" s="18" t="str">
        <f>"2022012224"</f>
        <v>2022012224</v>
      </c>
      <c r="F1067" s="18">
        <v>73.3</v>
      </c>
      <c r="G1067" s="18">
        <v>62</v>
      </c>
      <c r="H1067" s="18"/>
      <c r="I1067" s="18" t="s">
        <v>12</v>
      </c>
    </row>
    <row r="1068" s="1" customFormat="1" customHeight="1" spans="1:9">
      <c r="A1068" s="18" t="str">
        <f t="shared" si="125"/>
        <v>B2G</v>
      </c>
      <c r="B1068" s="19" t="s">
        <v>49</v>
      </c>
      <c r="C1068" s="18" t="str">
        <f>"杨胜男"</f>
        <v>杨胜男</v>
      </c>
      <c r="D1068" s="18" t="str">
        <f t="shared" si="126"/>
        <v>女</v>
      </c>
      <c r="E1068" s="18" t="str">
        <f>"2022012307"</f>
        <v>2022012307</v>
      </c>
      <c r="F1068" s="18">
        <v>73</v>
      </c>
      <c r="G1068" s="18">
        <v>63</v>
      </c>
      <c r="H1068" s="18"/>
      <c r="I1068" s="18" t="s">
        <v>12</v>
      </c>
    </row>
    <row r="1069" s="1" customFormat="1" customHeight="1" spans="1:9">
      <c r="A1069" s="18" t="str">
        <f t="shared" si="125"/>
        <v>B2G</v>
      </c>
      <c r="B1069" s="19" t="s">
        <v>49</v>
      </c>
      <c r="C1069" s="18" t="str">
        <f>"唐晖"</f>
        <v>唐晖</v>
      </c>
      <c r="D1069" s="18" t="str">
        <f t="shared" si="126"/>
        <v>女</v>
      </c>
      <c r="E1069" s="18" t="str">
        <f>"2022012308"</f>
        <v>2022012308</v>
      </c>
      <c r="F1069" s="18">
        <v>72.8</v>
      </c>
      <c r="G1069" s="18">
        <v>64</v>
      </c>
      <c r="H1069" s="18"/>
      <c r="I1069" s="18" t="s">
        <v>12</v>
      </c>
    </row>
    <row r="1070" s="1" customFormat="1" customHeight="1" spans="1:9">
      <c r="A1070" s="18" t="str">
        <f t="shared" ref="A1070:A1111" si="127">"B2G"</f>
        <v>B2G</v>
      </c>
      <c r="B1070" s="19" t="s">
        <v>49</v>
      </c>
      <c r="C1070" s="18" t="str">
        <f>"刘湘"</f>
        <v>刘湘</v>
      </c>
      <c r="D1070" s="18" t="str">
        <f t="shared" si="126"/>
        <v>女</v>
      </c>
      <c r="E1070" s="18" t="str">
        <f>"2022012111"</f>
        <v>2022012111</v>
      </c>
      <c r="F1070" s="18">
        <v>72.2</v>
      </c>
      <c r="G1070" s="18">
        <v>65</v>
      </c>
      <c r="H1070" s="18"/>
      <c r="I1070" s="18" t="s">
        <v>12</v>
      </c>
    </row>
    <row r="1071" s="1" customFormat="1" customHeight="1" spans="1:9">
      <c r="A1071" s="18" t="str">
        <f t="shared" si="127"/>
        <v>B2G</v>
      </c>
      <c r="B1071" s="19" t="s">
        <v>49</v>
      </c>
      <c r="C1071" s="18" t="str">
        <f>"陈鹏媛"</f>
        <v>陈鹏媛</v>
      </c>
      <c r="D1071" s="18" t="str">
        <f t="shared" si="126"/>
        <v>女</v>
      </c>
      <c r="E1071" s="18" t="str">
        <f>"2022012118"</f>
        <v>2022012118</v>
      </c>
      <c r="F1071" s="18">
        <v>71.8</v>
      </c>
      <c r="G1071" s="18">
        <v>66</v>
      </c>
      <c r="H1071" s="18"/>
      <c r="I1071" s="18" t="s">
        <v>12</v>
      </c>
    </row>
    <row r="1072" s="1" customFormat="1" customHeight="1" spans="1:9">
      <c r="A1072" s="18" t="str">
        <f t="shared" si="127"/>
        <v>B2G</v>
      </c>
      <c r="B1072" s="19" t="s">
        <v>49</v>
      </c>
      <c r="C1072" s="18" t="str">
        <f>"阳茜"</f>
        <v>阳茜</v>
      </c>
      <c r="D1072" s="18" t="str">
        <f t="shared" si="126"/>
        <v>女</v>
      </c>
      <c r="E1072" s="18" t="str">
        <f>"2022012105"</f>
        <v>2022012105</v>
      </c>
      <c r="F1072" s="18">
        <v>71.3</v>
      </c>
      <c r="G1072" s="18">
        <v>67</v>
      </c>
      <c r="H1072" s="18"/>
      <c r="I1072" s="18" t="s">
        <v>12</v>
      </c>
    </row>
    <row r="1073" s="1" customFormat="1" customHeight="1" spans="1:9">
      <c r="A1073" s="18" t="str">
        <f t="shared" si="127"/>
        <v>B2G</v>
      </c>
      <c r="B1073" s="19" t="s">
        <v>49</v>
      </c>
      <c r="C1073" s="18" t="str">
        <f>"胡思"</f>
        <v>胡思</v>
      </c>
      <c r="D1073" s="18" t="str">
        <f t="shared" si="126"/>
        <v>女</v>
      </c>
      <c r="E1073" s="18" t="str">
        <f>"2022012115"</f>
        <v>2022012115</v>
      </c>
      <c r="F1073" s="18">
        <v>71.3</v>
      </c>
      <c r="G1073" s="18">
        <v>67</v>
      </c>
      <c r="H1073" s="18"/>
      <c r="I1073" s="18" t="s">
        <v>12</v>
      </c>
    </row>
    <row r="1074" s="1" customFormat="1" customHeight="1" spans="1:9">
      <c r="A1074" s="18" t="str">
        <f t="shared" si="127"/>
        <v>B2G</v>
      </c>
      <c r="B1074" s="19" t="s">
        <v>49</v>
      </c>
      <c r="C1074" s="18" t="str">
        <f>"夏黎"</f>
        <v>夏黎</v>
      </c>
      <c r="D1074" s="18" t="str">
        <f t="shared" si="126"/>
        <v>女</v>
      </c>
      <c r="E1074" s="18" t="str">
        <f>"2022012306"</f>
        <v>2022012306</v>
      </c>
      <c r="F1074" s="18">
        <v>70.5</v>
      </c>
      <c r="G1074" s="18">
        <v>69</v>
      </c>
      <c r="H1074" s="18"/>
      <c r="I1074" s="18" t="s">
        <v>12</v>
      </c>
    </row>
    <row r="1075" s="1" customFormat="1" customHeight="1" spans="1:9">
      <c r="A1075" s="18" t="str">
        <f t="shared" si="127"/>
        <v>B2G</v>
      </c>
      <c r="B1075" s="19" t="s">
        <v>49</v>
      </c>
      <c r="C1075" s="18" t="str">
        <f>"刘龙香"</f>
        <v>刘龙香</v>
      </c>
      <c r="D1075" s="18" t="str">
        <f t="shared" si="126"/>
        <v>女</v>
      </c>
      <c r="E1075" s="18" t="str">
        <f>"2022012403"</f>
        <v>2022012403</v>
      </c>
      <c r="F1075" s="18">
        <v>70.5</v>
      </c>
      <c r="G1075" s="18">
        <v>69</v>
      </c>
      <c r="H1075" s="18"/>
      <c r="I1075" s="18" t="s">
        <v>12</v>
      </c>
    </row>
    <row r="1076" s="1" customFormat="1" customHeight="1" spans="1:9">
      <c r="A1076" s="18" t="str">
        <f t="shared" si="127"/>
        <v>B2G</v>
      </c>
      <c r="B1076" s="19" t="s">
        <v>49</v>
      </c>
      <c r="C1076" s="18" t="str">
        <f>"郑蓉"</f>
        <v>郑蓉</v>
      </c>
      <c r="D1076" s="18" t="str">
        <f t="shared" si="126"/>
        <v>女</v>
      </c>
      <c r="E1076" s="18" t="str">
        <f>"2022012310"</f>
        <v>2022012310</v>
      </c>
      <c r="F1076" s="18">
        <v>69.7</v>
      </c>
      <c r="G1076" s="18">
        <v>71</v>
      </c>
      <c r="H1076" s="18"/>
      <c r="I1076" s="18" t="s">
        <v>12</v>
      </c>
    </row>
    <row r="1077" s="1" customFormat="1" customHeight="1" spans="1:9">
      <c r="A1077" s="18" t="str">
        <f t="shared" si="127"/>
        <v>B2G</v>
      </c>
      <c r="B1077" s="19" t="s">
        <v>49</v>
      </c>
      <c r="C1077" s="18" t="str">
        <f>"刘熙娟"</f>
        <v>刘熙娟</v>
      </c>
      <c r="D1077" s="18" t="str">
        <f t="shared" si="126"/>
        <v>女</v>
      </c>
      <c r="E1077" s="18" t="str">
        <f>"2022012225"</f>
        <v>2022012225</v>
      </c>
      <c r="F1077" s="18">
        <v>69.5</v>
      </c>
      <c r="G1077" s="18">
        <v>72</v>
      </c>
      <c r="H1077" s="18"/>
      <c r="I1077" s="18" t="s">
        <v>12</v>
      </c>
    </row>
    <row r="1078" s="1" customFormat="1" customHeight="1" spans="1:9">
      <c r="A1078" s="18" t="str">
        <f t="shared" si="127"/>
        <v>B2G</v>
      </c>
      <c r="B1078" s="19" t="s">
        <v>49</v>
      </c>
      <c r="C1078" s="18" t="str">
        <f>"杜婷"</f>
        <v>杜婷</v>
      </c>
      <c r="D1078" s="18" t="str">
        <f t="shared" si="126"/>
        <v>女</v>
      </c>
      <c r="E1078" s="18" t="str">
        <f>"2022012109"</f>
        <v>2022012109</v>
      </c>
      <c r="F1078" s="18">
        <v>69</v>
      </c>
      <c r="G1078" s="18">
        <v>73</v>
      </c>
      <c r="H1078" s="18"/>
      <c r="I1078" s="18" t="s">
        <v>12</v>
      </c>
    </row>
    <row r="1079" s="1" customFormat="1" customHeight="1" spans="1:9">
      <c r="A1079" s="18" t="str">
        <f t="shared" si="127"/>
        <v>B2G</v>
      </c>
      <c r="B1079" s="19" t="s">
        <v>49</v>
      </c>
      <c r="C1079" s="18" t="str">
        <f>"李娜"</f>
        <v>李娜</v>
      </c>
      <c r="D1079" s="18" t="str">
        <f t="shared" si="126"/>
        <v>女</v>
      </c>
      <c r="E1079" s="18" t="str">
        <f>"2022012205"</f>
        <v>2022012205</v>
      </c>
      <c r="F1079" s="18">
        <v>66</v>
      </c>
      <c r="G1079" s="18">
        <v>74</v>
      </c>
      <c r="H1079" s="18"/>
      <c r="I1079" s="18" t="s">
        <v>12</v>
      </c>
    </row>
    <row r="1080" s="1" customFormat="1" customHeight="1" spans="1:9">
      <c r="A1080" s="18" t="str">
        <f t="shared" si="127"/>
        <v>B2G</v>
      </c>
      <c r="B1080" s="19" t="s">
        <v>49</v>
      </c>
      <c r="C1080" s="18" t="str">
        <f>"蔡琪"</f>
        <v>蔡琪</v>
      </c>
      <c r="D1080" s="18" t="str">
        <f t="shared" si="126"/>
        <v>女</v>
      </c>
      <c r="E1080" s="18" t="str">
        <f>"2022012330"</f>
        <v>2022012330</v>
      </c>
      <c r="F1080" s="18">
        <v>63.2</v>
      </c>
      <c r="G1080" s="18">
        <v>75</v>
      </c>
      <c r="H1080" s="18"/>
      <c r="I1080" s="18" t="s">
        <v>12</v>
      </c>
    </row>
    <row r="1081" s="1" customFormat="1" customHeight="1" spans="1:9">
      <c r="A1081" s="18" t="str">
        <f t="shared" si="127"/>
        <v>B2G</v>
      </c>
      <c r="B1081" s="19" t="s">
        <v>49</v>
      </c>
      <c r="C1081" s="18" t="str">
        <f>"罗祎晴"</f>
        <v>罗祎晴</v>
      </c>
      <c r="D1081" s="18" t="str">
        <f t="shared" si="126"/>
        <v>女</v>
      </c>
      <c r="E1081" s="18" t="str">
        <f>"2022012201"</f>
        <v>2022012201</v>
      </c>
      <c r="F1081" s="18">
        <v>59</v>
      </c>
      <c r="G1081" s="18">
        <v>76</v>
      </c>
      <c r="H1081" s="18"/>
      <c r="I1081" s="18" t="s">
        <v>12</v>
      </c>
    </row>
    <row r="1082" s="1" customFormat="1" customHeight="1" spans="1:9">
      <c r="A1082" s="18" t="str">
        <f t="shared" si="127"/>
        <v>B2G</v>
      </c>
      <c r="B1082" s="19" t="s">
        <v>49</v>
      </c>
      <c r="C1082" s="18" t="str">
        <f>"刘颖"</f>
        <v>刘颖</v>
      </c>
      <c r="D1082" s="18" t="str">
        <f t="shared" si="126"/>
        <v>女</v>
      </c>
      <c r="E1082" s="18" t="str">
        <f>"2022012203"</f>
        <v>2022012203</v>
      </c>
      <c r="F1082" s="18">
        <v>58.5</v>
      </c>
      <c r="G1082" s="18">
        <v>77</v>
      </c>
      <c r="H1082" s="18"/>
      <c r="I1082" s="18" t="s">
        <v>12</v>
      </c>
    </row>
    <row r="1083" s="1" customFormat="1" customHeight="1" spans="1:9">
      <c r="A1083" s="18" t="str">
        <f t="shared" si="127"/>
        <v>B2G</v>
      </c>
      <c r="B1083" s="19" t="s">
        <v>49</v>
      </c>
      <c r="C1083" s="18" t="str">
        <f>"李娟"</f>
        <v>李娟</v>
      </c>
      <c r="D1083" s="18" t="str">
        <f t="shared" si="126"/>
        <v>女</v>
      </c>
      <c r="E1083" s="18" t="str">
        <f>"2022012101"</f>
        <v>2022012101</v>
      </c>
      <c r="F1083" s="18">
        <v>0</v>
      </c>
      <c r="G1083" s="18">
        <v>78</v>
      </c>
      <c r="H1083" s="18" t="s">
        <v>13</v>
      </c>
      <c r="I1083" s="18" t="s">
        <v>12</v>
      </c>
    </row>
    <row r="1084" s="1" customFormat="1" customHeight="1" spans="1:9">
      <c r="A1084" s="18" t="str">
        <f t="shared" si="127"/>
        <v>B2G</v>
      </c>
      <c r="B1084" s="19" t="s">
        <v>49</v>
      </c>
      <c r="C1084" s="18" t="str">
        <f>"刘盈盈"</f>
        <v>刘盈盈</v>
      </c>
      <c r="D1084" s="18" t="str">
        <f t="shared" si="126"/>
        <v>女</v>
      </c>
      <c r="E1084" s="18" t="str">
        <f>"2022012106"</f>
        <v>2022012106</v>
      </c>
      <c r="F1084" s="18">
        <v>0</v>
      </c>
      <c r="G1084" s="18">
        <v>78</v>
      </c>
      <c r="H1084" s="18" t="s">
        <v>13</v>
      </c>
      <c r="I1084" s="18" t="s">
        <v>12</v>
      </c>
    </row>
    <row r="1085" s="1" customFormat="1" customHeight="1" spans="1:9">
      <c r="A1085" s="18" t="str">
        <f t="shared" si="127"/>
        <v>B2G</v>
      </c>
      <c r="B1085" s="19" t="s">
        <v>49</v>
      </c>
      <c r="C1085" s="18" t="str">
        <f>"胡佳惠"</f>
        <v>胡佳惠</v>
      </c>
      <c r="D1085" s="18" t="str">
        <f t="shared" si="126"/>
        <v>女</v>
      </c>
      <c r="E1085" s="18" t="str">
        <f>"2022012110"</f>
        <v>2022012110</v>
      </c>
      <c r="F1085" s="18">
        <v>0</v>
      </c>
      <c r="G1085" s="18">
        <v>78</v>
      </c>
      <c r="H1085" s="18" t="s">
        <v>13</v>
      </c>
      <c r="I1085" s="18" t="s">
        <v>12</v>
      </c>
    </row>
    <row r="1086" s="1" customFormat="1" customHeight="1" spans="1:9">
      <c r="A1086" s="18" t="str">
        <f t="shared" si="127"/>
        <v>B2G</v>
      </c>
      <c r="B1086" s="19" t="s">
        <v>49</v>
      </c>
      <c r="C1086" s="18" t="str">
        <f>"胡艳花"</f>
        <v>胡艳花</v>
      </c>
      <c r="D1086" s="18" t="str">
        <f t="shared" si="126"/>
        <v>女</v>
      </c>
      <c r="E1086" s="18" t="str">
        <f>"2022012112"</f>
        <v>2022012112</v>
      </c>
      <c r="F1086" s="18">
        <v>0</v>
      </c>
      <c r="G1086" s="18">
        <v>78</v>
      </c>
      <c r="H1086" s="18" t="s">
        <v>13</v>
      </c>
      <c r="I1086" s="18" t="s">
        <v>12</v>
      </c>
    </row>
    <row r="1087" s="1" customFormat="1" customHeight="1" spans="1:9">
      <c r="A1087" s="18" t="str">
        <f t="shared" si="127"/>
        <v>B2G</v>
      </c>
      <c r="B1087" s="19" t="s">
        <v>49</v>
      </c>
      <c r="C1087" s="18" t="str">
        <f>"邓灿"</f>
        <v>邓灿</v>
      </c>
      <c r="D1087" s="18" t="str">
        <f t="shared" si="126"/>
        <v>女</v>
      </c>
      <c r="E1087" s="18" t="str">
        <f>"2022012116"</f>
        <v>2022012116</v>
      </c>
      <c r="F1087" s="18">
        <v>0</v>
      </c>
      <c r="G1087" s="18">
        <v>78</v>
      </c>
      <c r="H1087" s="18" t="s">
        <v>13</v>
      </c>
      <c r="I1087" s="18" t="s">
        <v>12</v>
      </c>
    </row>
    <row r="1088" s="1" customFormat="1" customHeight="1" spans="1:9">
      <c r="A1088" s="18" t="str">
        <f t="shared" si="127"/>
        <v>B2G</v>
      </c>
      <c r="B1088" s="19" t="s">
        <v>49</v>
      </c>
      <c r="C1088" s="18" t="str">
        <f>"朱咏梅"</f>
        <v>朱咏梅</v>
      </c>
      <c r="D1088" s="18" t="str">
        <f t="shared" si="126"/>
        <v>女</v>
      </c>
      <c r="E1088" s="18" t="str">
        <f>"2022012119"</f>
        <v>2022012119</v>
      </c>
      <c r="F1088" s="18">
        <v>0</v>
      </c>
      <c r="G1088" s="18">
        <v>78</v>
      </c>
      <c r="H1088" s="18" t="s">
        <v>13</v>
      </c>
      <c r="I1088" s="18" t="s">
        <v>12</v>
      </c>
    </row>
    <row r="1089" s="1" customFormat="1" customHeight="1" spans="1:9">
      <c r="A1089" s="18" t="str">
        <f t="shared" si="127"/>
        <v>B2G</v>
      </c>
      <c r="B1089" s="19" t="s">
        <v>49</v>
      </c>
      <c r="C1089" s="18" t="str">
        <f>"曹思诗"</f>
        <v>曹思诗</v>
      </c>
      <c r="D1089" s="18" t="str">
        <f t="shared" si="126"/>
        <v>女</v>
      </c>
      <c r="E1089" s="18" t="str">
        <f>"2022012120"</f>
        <v>2022012120</v>
      </c>
      <c r="F1089" s="18">
        <v>0</v>
      </c>
      <c r="G1089" s="18">
        <v>78</v>
      </c>
      <c r="H1089" s="18" t="s">
        <v>13</v>
      </c>
      <c r="I1089" s="18" t="s">
        <v>12</v>
      </c>
    </row>
    <row r="1090" s="1" customFormat="1" customHeight="1" spans="1:9">
      <c r="A1090" s="18" t="str">
        <f t="shared" si="127"/>
        <v>B2G</v>
      </c>
      <c r="B1090" s="19" t="s">
        <v>49</v>
      </c>
      <c r="C1090" s="18" t="str">
        <f>"郑楚"</f>
        <v>郑楚</v>
      </c>
      <c r="D1090" s="18" t="str">
        <f t="shared" si="126"/>
        <v>女</v>
      </c>
      <c r="E1090" s="18" t="str">
        <f>"2022012122"</f>
        <v>2022012122</v>
      </c>
      <c r="F1090" s="18">
        <v>0</v>
      </c>
      <c r="G1090" s="18">
        <v>78</v>
      </c>
      <c r="H1090" s="18" t="s">
        <v>13</v>
      </c>
      <c r="I1090" s="18" t="s">
        <v>12</v>
      </c>
    </row>
    <row r="1091" s="1" customFormat="1" customHeight="1" spans="1:9">
      <c r="A1091" s="18" t="str">
        <f t="shared" si="127"/>
        <v>B2G</v>
      </c>
      <c r="B1091" s="19" t="s">
        <v>49</v>
      </c>
      <c r="C1091" s="18" t="str">
        <f>"周黎"</f>
        <v>周黎</v>
      </c>
      <c r="D1091" s="18" t="str">
        <f t="shared" si="126"/>
        <v>女</v>
      </c>
      <c r="E1091" s="18" t="str">
        <f>"2022012128"</f>
        <v>2022012128</v>
      </c>
      <c r="F1091" s="18">
        <v>0</v>
      </c>
      <c r="G1091" s="18">
        <v>78</v>
      </c>
      <c r="H1091" s="18" t="s">
        <v>13</v>
      </c>
      <c r="I1091" s="18" t="s">
        <v>12</v>
      </c>
    </row>
    <row r="1092" s="1" customFormat="1" customHeight="1" spans="1:9">
      <c r="A1092" s="18" t="str">
        <f t="shared" si="127"/>
        <v>B2G</v>
      </c>
      <c r="B1092" s="19" t="s">
        <v>49</v>
      </c>
      <c r="C1092" s="18" t="str">
        <f>"刘艳"</f>
        <v>刘艳</v>
      </c>
      <c r="D1092" s="18" t="str">
        <f t="shared" si="126"/>
        <v>女</v>
      </c>
      <c r="E1092" s="18" t="str">
        <f>"2022012129"</f>
        <v>2022012129</v>
      </c>
      <c r="F1092" s="18">
        <v>0</v>
      </c>
      <c r="G1092" s="18">
        <v>78</v>
      </c>
      <c r="H1092" s="18" t="s">
        <v>13</v>
      </c>
      <c r="I1092" s="18" t="s">
        <v>12</v>
      </c>
    </row>
    <row r="1093" s="1" customFormat="1" customHeight="1" spans="1:9">
      <c r="A1093" s="18" t="str">
        <f t="shared" si="127"/>
        <v>B2G</v>
      </c>
      <c r="B1093" s="19" t="s">
        <v>49</v>
      </c>
      <c r="C1093" s="18" t="str">
        <f>"陈薇"</f>
        <v>陈薇</v>
      </c>
      <c r="D1093" s="18" t="str">
        <f t="shared" si="126"/>
        <v>女</v>
      </c>
      <c r="E1093" s="18" t="str">
        <f>"2022012131"</f>
        <v>2022012131</v>
      </c>
      <c r="F1093" s="18">
        <v>0</v>
      </c>
      <c r="G1093" s="18">
        <v>78</v>
      </c>
      <c r="H1093" s="18" t="s">
        <v>13</v>
      </c>
      <c r="I1093" s="18" t="s">
        <v>12</v>
      </c>
    </row>
    <row r="1094" s="1" customFormat="1" customHeight="1" spans="1:9">
      <c r="A1094" s="18" t="str">
        <f t="shared" si="127"/>
        <v>B2G</v>
      </c>
      <c r="B1094" s="19" t="s">
        <v>49</v>
      </c>
      <c r="C1094" s="18" t="str">
        <f>"赵宇佳"</f>
        <v>赵宇佳</v>
      </c>
      <c r="D1094" s="18" t="str">
        <f t="shared" si="126"/>
        <v>女</v>
      </c>
      <c r="E1094" s="18" t="str">
        <f>"2022012204"</f>
        <v>2022012204</v>
      </c>
      <c r="F1094" s="18">
        <v>0</v>
      </c>
      <c r="G1094" s="18">
        <v>78</v>
      </c>
      <c r="H1094" s="18" t="s">
        <v>13</v>
      </c>
      <c r="I1094" s="18" t="s">
        <v>12</v>
      </c>
    </row>
    <row r="1095" s="1" customFormat="1" customHeight="1" spans="1:9">
      <c r="A1095" s="18" t="str">
        <f t="shared" si="127"/>
        <v>B2G</v>
      </c>
      <c r="B1095" s="19" t="s">
        <v>49</v>
      </c>
      <c r="C1095" s="18" t="str">
        <f>"张佳琪"</f>
        <v>张佳琪</v>
      </c>
      <c r="D1095" s="18" t="str">
        <f t="shared" si="126"/>
        <v>女</v>
      </c>
      <c r="E1095" s="18" t="str">
        <f>"2022012207"</f>
        <v>2022012207</v>
      </c>
      <c r="F1095" s="18">
        <v>0</v>
      </c>
      <c r="G1095" s="18">
        <v>78</v>
      </c>
      <c r="H1095" s="18" t="s">
        <v>13</v>
      </c>
      <c r="I1095" s="18" t="s">
        <v>12</v>
      </c>
    </row>
    <row r="1096" s="1" customFormat="1" customHeight="1" spans="1:9">
      <c r="A1096" s="18" t="str">
        <f t="shared" si="127"/>
        <v>B2G</v>
      </c>
      <c r="B1096" s="19" t="s">
        <v>49</v>
      </c>
      <c r="C1096" s="18" t="str">
        <f>"华子奕"</f>
        <v>华子奕</v>
      </c>
      <c r="D1096" s="18" t="str">
        <f t="shared" si="126"/>
        <v>女</v>
      </c>
      <c r="E1096" s="18" t="str">
        <f>"2022012213"</f>
        <v>2022012213</v>
      </c>
      <c r="F1096" s="18">
        <v>0</v>
      </c>
      <c r="G1096" s="18">
        <v>78</v>
      </c>
      <c r="H1096" s="18" t="s">
        <v>13</v>
      </c>
      <c r="I1096" s="18" t="s">
        <v>12</v>
      </c>
    </row>
    <row r="1097" s="1" customFormat="1" customHeight="1" spans="1:9">
      <c r="A1097" s="18" t="str">
        <f t="shared" si="127"/>
        <v>B2G</v>
      </c>
      <c r="B1097" s="19" t="s">
        <v>49</v>
      </c>
      <c r="C1097" s="18" t="str">
        <f>"邹炯明"</f>
        <v>邹炯明</v>
      </c>
      <c r="D1097" s="18" t="str">
        <f t="shared" si="126"/>
        <v>女</v>
      </c>
      <c r="E1097" s="18" t="str">
        <f>"2022012216"</f>
        <v>2022012216</v>
      </c>
      <c r="F1097" s="18">
        <v>0</v>
      </c>
      <c r="G1097" s="18">
        <v>78</v>
      </c>
      <c r="H1097" s="18" t="s">
        <v>13</v>
      </c>
      <c r="I1097" s="18" t="s">
        <v>12</v>
      </c>
    </row>
    <row r="1098" s="1" customFormat="1" customHeight="1" spans="1:9">
      <c r="A1098" s="18" t="str">
        <f t="shared" si="127"/>
        <v>B2G</v>
      </c>
      <c r="B1098" s="19" t="s">
        <v>49</v>
      </c>
      <c r="C1098" s="18" t="str">
        <f>"郭楠"</f>
        <v>郭楠</v>
      </c>
      <c r="D1098" s="18" t="str">
        <f t="shared" si="126"/>
        <v>女</v>
      </c>
      <c r="E1098" s="18" t="str">
        <f>"2022012217"</f>
        <v>2022012217</v>
      </c>
      <c r="F1098" s="18">
        <v>0</v>
      </c>
      <c r="G1098" s="18">
        <v>78</v>
      </c>
      <c r="H1098" s="18" t="s">
        <v>13</v>
      </c>
      <c r="I1098" s="18" t="s">
        <v>12</v>
      </c>
    </row>
    <row r="1099" s="1" customFormat="1" customHeight="1" spans="1:9">
      <c r="A1099" s="18" t="str">
        <f t="shared" si="127"/>
        <v>B2G</v>
      </c>
      <c r="B1099" s="19" t="s">
        <v>49</v>
      </c>
      <c r="C1099" s="18" t="str">
        <f>"彭金红"</f>
        <v>彭金红</v>
      </c>
      <c r="D1099" s="18" t="str">
        <f t="shared" si="126"/>
        <v>女</v>
      </c>
      <c r="E1099" s="18" t="str">
        <f>"2022012223"</f>
        <v>2022012223</v>
      </c>
      <c r="F1099" s="18">
        <v>0</v>
      </c>
      <c r="G1099" s="18">
        <v>78</v>
      </c>
      <c r="H1099" s="18" t="s">
        <v>13</v>
      </c>
      <c r="I1099" s="18" t="s">
        <v>12</v>
      </c>
    </row>
    <row r="1100" s="1" customFormat="1" customHeight="1" spans="1:9">
      <c r="A1100" s="18" t="str">
        <f t="shared" si="127"/>
        <v>B2G</v>
      </c>
      <c r="B1100" s="19" t="s">
        <v>49</v>
      </c>
      <c r="C1100" s="18" t="str">
        <f>"马敏敏"</f>
        <v>马敏敏</v>
      </c>
      <c r="D1100" s="18" t="str">
        <f t="shared" si="126"/>
        <v>女</v>
      </c>
      <c r="E1100" s="18" t="str">
        <f>"2022012228"</f>
        <v>2022012228</v>
      </c>
      <c r="F1100" s="18">
        <v>0</v>
      </c>
      <c r="G1100" s="18">
        <v>78</v>
      </c>
      <c r="H1100" s="18" t="s">
        <v>13</v>
      </c>
      <c r="I1100" s="18" t="s">
        <v>12</v>
      </c>
    </row>
    <row r="1101" s="1" customFormat="1" customHeight="1" spans="1:9">
      <c r="A1101" s="18" t="str">
        <f t="shared" si="127"/>
        <v>B2G</v>
      </c>
      <c r="B1101" s="19" t="s">
        <v>49</v>
      </c>
      <c r="C1101" s="18" t="str">
        <f>"李湘君"</f>
        <v>李湘君</v>
      </c>
      <c r="D1101" s="18" t="str">
        <f t="shared" si="126"/>
        <v>女</v>
      </c>
      <c r="E1101" s="18" t="str">
        <f>"2022012230"</f>
        <v>2022012230</v>
      </c>
      <c r="F1101" s="18">
        <v>0</v>
      </c>
      <c r="G1101" s="18">
        <v>78</v>
      </c>
      <c r="H1101" s="18" t="s">
        <v>13</v>
      </c>
      <c r="I1101" s="18" t="s">
        <v>12</v>
      </c>
    </row>
    <row r="1102" s="1" customFormat="1" customHeight="1" spans="1:9">
      <c r="A1102" s="18" t="str">
        <f t="shared" si="127"/>
        <v>B2G</v>
      </c>
      <c r="B1102" s="19" t="s">
        <v>49</v>
      </c>
      <c r="C1102" s="18" t="str">
        <f>"李木贞"</f>
        <v>李木贞</v>
      </c>
      <c r="D1102" s="18" t="str">
        <f t="shared" si="126"/>
        <v>女</v>
      </c>
      <c r="E1102" s="18" t="str">
        <f>"2022012304"</f>
        <v>2022012304</v>
      </c>
      <c r="F1102" s="18">
        <v>0</v>
      </c>
      <c r="G1102" s="18">
        <v>78</v>
      </c>
      <c r="H1102" s="18" t="s">
        <v>13</v>
      </c>
      <c r="I1102" s="18" t="s">
        <v>12</v>
      </c>
    </row>
    <row r="1103" s="1" customFormat="1" customHeight="1" spans="1:9">
      <c r="A1103" s="18" t="str">
        <f t="shared" si="127"/>
        <v>B2G</v>
      </c>
      <c r="B1103" s="19" t="s">
        <v>49</v>
      </c>
      <c r="C1103" s="18" t="str">
        <f>"王清"</f>
        <v>王清</v>
      </c>
      <c r="D1103" s="18" t="str">
        <f t="shared" si="126"/>
        <v>女</v>
      </c>
      <c r="E1103" s="18" t="str">
        <f>"2022012309"</f>
        <v>2022012309</v>
      </c>
      <c r="F1103" s="18">
        <v>0</v>
      </c>
      <c r="G1103" s="18">
        <v>78</v>
      </c>
      <c r="H1103" s="18" t="s">
        <v>13</v>
      </c>
      <c r="I1103" s="18" t="s">
        <v>12</v>
      </c>
    </row>
    <row r="1104" s="1" customFormat="1" customHeight="1" spans="1:9">
      <c r="A1104" s="18" t="str">
        <f t="shared" si="127"/>
        <v>B2G</v>
      </c>
      <c r="B1104" s="19" t="s">
        <v>49</v>
      </c>
      <c r="C1104" s="18" t="str">
        <f>"戴敏婧"</f>
        <v>戴敏婧</v>
      </c>
      <c r="D1104" s="18" t="str">
        <f t="shared" si="126"/>
        <v>女</v>
      </c>
      <c r="E1104" s="18" t="str">
        <f>"2022012314"</f>
        <v>2022012314</v>
      </c>
      <c r="F1104" s="18">
        <v>0</v>
      </c>
      <c r="G1104" s="18">
        <v>78</v>
      </c>
      <c r="H1104" s="18" t="s">
        <v>13</v>
      </c>
      <c r="I1104" s="18" t="s">
        <v>12</v>
      </c>
    </row>
    <row r="1105" s="1" customFormat="1" customHeight="1" spans="1:9">
      <c r="A1105" s="18" t="str">
        <f t="shared" si="127"/>
        <v>B2G</v>
      </c>
      <c r="B1105" s="19" t="s">
        <v>49</v>
      </c>
      <c r="C1105" s="18" t="str">
        <f>"黄宇"</f>
        <v>黄宇</v>
      </c>
      <c r="D1105" s="18" t="str">
        <f t="shared" si="126"/>
        <v>女</v>
      </c>
      <c r="E1105" s="18" t="str">
        <f>"2022012318"</f>
        <v>2022012318</v>
      </c>
      <c r="F1105" s="18">
        <v>0</v>
      </c>
      <c r="G1105" s="18">
        <v>78</v>
      </c>
      <c r="H1105" s="18" t="s">
        <v>13</v>
      </c>
      <c r="I1105" s="18" t="s">
        <v>12</v>
      </c>
    </row>
    <row r="1106" s="1" customFormat="1" customHeight="1" spans="1:9">
      <c r="A1106" s="18" t="str">
        <f t="shared" si="127"/>
        <v>B2G</v>
      </c>
      <c r="B1106" s="19" t="s">
        <v>49</v>
      </c>
      <c r="C1106" s="18" t="str">
        <f>"肖婷"</f>
        <v>肖婷</v>
      </c>
      <c r="D1106" s="18" t="str">
        <f t="shared" si="126"/>
        <v>女</v>
      </c>
      <c r="E1106" s="18" t="str">
        <f>"2022012323"</f>
        <v>2022012323</v>
      </c>
      <c r="F1106" s="18">
        <v>0</v>
      </c>
      <c r="G1106" s="18">
        <v>78</v>
      </c>
      <c r="H1106" s="18" t="s">
        <v>13</v>
      </c>
      <c r="I1106" s="18" t="s">
        <v>12</v>
      </c>
    </row>
    <row r="1107" s="1" customFormat="1" customHeight="1" spans="1:9">
      <c r="A1107" s="18" t="str">
        <f t="shared" si="127"/>
        <v>B2G</v>
      </c>
      <c r="B1107" s="19" t="s">
        <v>49</v>
      </c>
      <c r="C1107" s="18" t="str">
        <f>"杨静"</f>
        <v>杨静</v>
      </c>
      <c r="D1107" s="18" t="str">
        <f t="shared" si="126"/>
        <v>女</v>
      </c>
      <c r="E1107" s="18" t="str">
        <f>"2022012324"</f>
        <v>2022012324</v>
      </c>
      <c r="F1107" s="18">
        <v>0</v>
      </c>
      <c r="G1107" s="18">
        <v>78</v>
      </c>
      <c r="H1107" s="18" t="s">
        <v>13</v>
      </c>
      <c r="I1107" s="18" t="s">
        <v>12</v>
      </c>
    </row>
    <row r="1108" s="1" customFormat="1" customHeight="1" spans="1:9">
      <c r="A1108" s="18" t="str">
        <f t="shared" si="127"/>
        <v>B2G</v>
      </c>
      <c r="B1108" s="19" t="s">
        <v>49</v>
      </c>
      <c r="C1108" s="18" t="str">
        <f>"李翠华"</f>
        <v>李翠华</v>
      </c>
      <c r="D1108" s="18" t="str">
        <f t="shared" si="126"/>
        <v>女</v>
      </c>
      <c r="E1108" s="18" t="str">
        <f>"2022012404"</f>
        <v>2022012404</v>
      </c>
      <c r="F1108" s="18">
        <v>0</v>
      </c>
      <c r="G1108" s="18">
        <v>78</v>
      </c>
      <c r="H1108" s="18" t="s">
        <v>13</v>
      </c>
      <c r="I1108" s="18" t="s">
        <v>12</v>
      </c>
    </row>
    <row r="1109" s="1" customFormat="1" customHeight="1" spans="1:9">
      <c r="A1109" s="18" t="str">
        <f t="shared" si="127"/>
        <v>B2G</v>
      </c>
      <c r="B1109" s="19" t="s">
        <v>49</v>
      </c>
      <c r="C1109" s="18" t="str">
        <f>"郑书琴"</f>
        <v>郑书琴</v>
      </c>
      <c r="D1109" s="18" t="str">
        <f t="shared" si="126"/>
        <v>女</v>
      </c>
      <c r="E1109" s="18" t="str">
        <f>"2022012407"</f>
        <v>2022012407</v>
      </c>
      <c r="F1109" s="18">
        <v>0</v>
      </c>
      <c r="G1109" s="18">
        <v>78</v>
      </c>
      <c r="H1109" s="18" t="s">
        <v>13</v>
      </c>
      <c r="I1109" s="18" t="s">
        <v>12</v>
      </c>
    </row>
    <row r="1110" s="1" customFormat="1" customHeight="1" spans="1:9">
      <c r="A1110" s="18" t="str">
        <f t="shared" si="127"/>
        <v>B2G</v>
      </c>
      <c r="B1110" s="19" t="s">
        <v>49</v>
      </c>
      <c r="C1110" s="18" t="str">
        <f>"唐诗芬"</f>
        <v>唐诗芬</v>
      </c>
      <c r="D1110" s="18" t="str">
        <f t="shared" si="126"/>
        <v>女</v>
      </c>
      <c r="E1110" s="18" t="str">
        <f>"2022012408"</f>
        <v>2022012408</v>
      </c>
      <c r="F1110" s="18">
        <v>0</v>
      </c>
      <c r="G1110" s="18">
        <v>78</v>
      </c>
      <c r="H1110" s="18" t="s">
        <v>13</v>
      </c>
      <c r="I1110" s="18" t="s">
        <v>12</v>
      </c>
    </row>
    <row r="1111" s="1" customFormat="1" customHeight="1" spans="1:9">
      <c r="A1111" s="18" t="str">
        <f t="shared" si="127"/>
        <v>B2G</v>
      </c>
      <c r="B1111" s="19" t="s">
        <v>49</v>
      </c>
      <c r="C1111" s="18" t="str">
        <f>"易凤姣"</f>
        <v>易凤姣</v>
      </c>
      <c r="D1111" s="18" t="str">
        <f t="shared" si="126"/>
        <v>女</v>
      </c>
      <c r="E1111" s="18" t="str">
        <f>"2022012410"</f>
        <v>2022012410</v>
      </c>
      <c r="F1111" s="18">
        <v>0</v>
      </c>
      <c r="G1111" s="18">
        <v>78</v>
      </c>
      <c r="H1111" s="18" t="s">
        <v>13</v>
      </c>
      <c r="I1111" s="18" t="s">
        <v>12</v>
      </c>
    </row>
    <row r="1112" s="1" customFormat="1" customHeight="1" spans="1:9">
      <c r="A1112" s="18" t="str">
        <f t="shared" ref="A1112:A1175" si="128">"B3F"</f>
        <v>B3F</v>
      </c>
      <c r="B1112" s="19" t="s">
        <v>50</v>
      </c>
      <c r="C1112" s="18" t="str">
        <f>"夏志富"</f>
        <v>夏志富</v>
      </c>
      <c r="D1112" s="18" t="str">
        <f t="shared" ref="D1112:D1175" si="129">"男"</f>
        <v>男</v>
      </c>
      <c r="E1112" s="18" t="str">
        <f>"2022012524"</f>
        <v>2022012524</v>
      </c>
      <c r="F1112" s="18">
        <v>92.5</v>
      </c>
      <c r="G1112" s="18">
        <v>1</v>
      </c>
      <c r="H1112" s="18"/>
      <c r="I1112" s="28" t="s">
        <v>11</v>
      </c>
    </row>
    <row r="1113" s="1" customFormat="1" customHeight="1" spans="1:9">
      <c r="A1113" s="18" t="str">
        <f t="shared" si="128"/>
        <v>B3F</v>
      </c>
      <c r="B1113" s="19" t="s">
        <v>50</v>
      </c>
      <c r="C1113" s="18" t="str">
        <f>"谢旺达"</f>
        <v>谢旺达</v>
      </c>
      <c r="D1113" s="18" t="str">
        <f t="shared" si="129"/>
        <v>男</v>
      </c>
      <c r="E1113" s="18" t="str">
        <f>"2022012614"</f>
        <v>2022012614</v>
      </c>
      <c r="F1113" s="18">
        <v>91</v>
      </c>
      <c r="G1113" s="18">
        <v>2</v>
      </c>
      <c r="H1113" s="18"/>
      <c r="I1113" s="28" t="s">
        <v>11</v>
      </c>
    </row>
    <row r="1114" s="1" customFormat="1" customHeight="1" spans="1:9">
      <c r="A1114" s="18" t="str">
        <f t="shared" si="128"/>
        <v>B3F</v>
      </c>
      <c r="B1114" s="19" t="s">
        <v>50</v>
      </c>
      <c r="C1114" s="18" t="str">
        <f>"张可锋"</f>
        <v>张可锋</v>
      </c>
      <c r="D1114" s="18" t="str">
        <f t="shared" si="129"/>
        <v>男</v>
      </c>
      <c r="E1114" s="18" t="str">
        <f>"2022012501"</f>
        <v>2022012501</v>
      </c>
      <c r="F1114" s="18">
        <v>90</v>
      </c>
      <c r="G1114" s="18">
        <v>3</v>
      </c>
      <c r="H1114" s="18"/>
      <c r="I1114" s="18" t="s">
        <v>12</v>
      </c>
    </row>
    <row r="1115" s="1" customFormat="1" customHeight="1" spans="1:9">
      <c r="A1115" s="18" t="str">
        <f t="shared" si="128"/>
        <v>B3F</v>
      </c>
      <c r="B1115" s="19" t="s">
        <v>50</v>
      </c>
      <c r="C1115" s="18" t="str">
        <f>"周建伟"</f>
        <v>周建伟</v>
      </c>
      <c r="D1115" s="18" t="str">
        <f t="shared" si="129"/>
        <v>男</v>
      </c>
      <c r="E1115" s="18" t="str">
        <f>"2022012704"</f>
        <v>2022012704</v>
      </c>
      <c r="F1115" s="18">
        <v>89</v>
      </c>
      <c r="G1115" s="18">
        <v>4</v>
      </c>
      <c r="H1115" s="18"/>
      <c r="I1115" s="18" t="s">
        <v>12</v>
      </c>
    </row>
    <row r="1116" s="1" customFormat="1" customHeight="1" spans="1:9">
      <c r="A1116" s="18" t="str">
        <f t="shared" si="128"/>
        <v>B3F</v>
      </c>
      <c r="B1116" s="19" t="s">
        <v>50</v>
      </c>
      <c r="C1116" s="18" t="str">
        <f>"唐金坤"</f>
        <v>唐金坤</v>
      </c>
      <c r="D1116" s="18" t="str">
        <f t="shared" si="129"/>
        <v>男</v>
      </c>
      <c r="E1116" s="18" t="str">
        <f>"2022012606"</f>
        <v>2022012606</v>
      </c>
      <c r="F1116" s="18">
        <v>87</v>
      </c>
      <c r="G1116" s="18">
        <v>5</v>
      </c>
      <c r="H1116" s="18"/>
      <c r="I1116" s="18" t="s">
        <v>12</v>
      </c>
    </row>
    <row r="1117" s="1" customFormat="1" customHeight="1" spans="1:9">
      <c r="A1117" s="18" t="str">
        <f t="shared" si="128"/>
        <v>B3F</v>
      </c>
      <c r="B1117" s="19" t="s">
        <v>50</v>
      </c>
      <c r="C1117" s="18" t="str">
        <f>"陈铭"</f>
        <v>陈铭</v>
      </c>
      <c r="D1117" s="18" t="str">
        <f t="shared" si="129"/>
        <v>男</v>
      </c>
      <c r="E1117" s="18" t="str">
        <f>"2022012726"</f>
        <v>2022012726</v>
      </c>
      <c r="F1117" s="18">
        <v>86</v>
      </c>
      <c r="G1117" s="18">
        <v>6</v>
      </c>
      <c r="H1117" s="18"/>
      <c r="I1117" s="18" t="s">
        <v>12</v>
      </c>
    </row>
    <row r="1118" s="1" customFormat="1" customHeight="1" spans="1:9">
      <c r="A1118" s="18" t="str">
        <f t="shared" si="128"/>
        <v>B3F</v>
      </c>
      <c r="B1118" s="19" t="s">
        <v>50</v>
      </c>
      <c r="C1118" s="18" t="str">
        <f>"苏海"</f>
        <v>苏海</v>
      </c>
      <c r="D1118" s="18" t="str">
        <f t="shared" si="129"/>
        <v>男</v>
      </c>
      <c r="E1118" s="18" t="str">
        <f>"2022012511"</f>
        <v>2022012511</v>
      </c>
      <c r="F1118" s="18">
        <v>84</v>
      </c>
      <c r="G1118" s="18">
        <v>7</v>
      </c>
      <c r="H1118" s="18"/>
      <c r="I1118" s="18" t="s">
        <v>12</v>
      </c>
    </row>
    <row r="1119" s="1" customFormat="1" customHeight="1" spans="1:9">
      <c r="A1119" s="18" t="str">
        <f t="shared" si="128"/>
        <v>B3F</v>
      </c>
      <c r="B1119" s="19" t="s">
        <v>50</v>
      </c>
      <c r="C1119" s="18" t="str">
        <f>"毛伟洲"</f>
        <v>毛伟洲</v>
      </c>
      <c r="D1119" s="18" t="str">
        <f t="shared" si="129"/>
        <v>男</v>
      </c>
      <c r="E1119" s="18" t="str">
        <f>"2022012514"</f>
        <v>2022012514</v>
      </c>
      <c r="F1119" s="18">
        <v>83</v>
      </c>
      <c r="G1119" s="18">
        <v>8</v>
      </c>
      <c r="H1119" s="18"/>
      <c r="I1119" s="18" t="s">
        <v>12</v>
      </c>
    </row>
    <row r="1120" s="1" customFormat="1" customHeight="1" spans="1:9">
      <c r="A1120" s="18" t="str">
        <f t="shared" si="128"/>
        <v>B3F</v>
      </c>
      <c r="B1120" s="19" t="s">
        <v>50</v>
      </c>
      <c r="C1120" s="18" t="str">
        <f>"文亮亮"</f>
        <v>文亮亮</v>
      </c>
      <c r="D1120" s="18" t="str">
        <f t="shared" si="129"/>
        <v>男</v>
      </c>
      <c r="E1120" s="18" t="str">
        <f>"2022012602"</f>
        <v>2022012602</v>
      </c>
      <c r="F1120" s="18">
        <v>82</v>
      </c>
      <c r="G1120" s="18">
        <v>9</v>
      </c>
      <c r="H1120" s="18"/>
      <c r="I1120" s="18" t="s">
        <v>12</v>
      </c>
    </row>
    <row r="1121" s="1" customFormat="1" customHeight="1" spans="1:9">
      <c r="A1121" s="18" t="str">
        <f t="shared" si="128"/>
        <v>B3F</v>
      </c>
      <c r="B1121" s="19" t="s">
        <v>50</v>
      </c>
      <c r="C1121" s="18" t="str">
        <f>"刘钦奎"</f>
        <v>刘钦奎</v>
      </c>
      <c r="D1121" s="18" t="str">
        <f t="shared" si="129"/>
        <v>男</v>
      </c>
      <c r="E1121" s="18" t="str">
        <f>"2022012620"</f>
        <v>2022012620</v>
      </c>
      <c r="F1121" s="18">
        <v>81</v>
      </c>
      <c r="G1121" s="18">
        <v>10</v>
      </c>
      <c r="H1121" s="18"/>
      <c r="I1121" s="18" t="s">
        <v>12</v>
      </c>
    </row>
    <row r="1122" s="1" customFormat="1" customHeight="1" spans="1:9">
      <c r="A1122" s="18" t="str">
        <f t="shared" si="128"/>
        <v>B3F</v>
      </c>
      <c r="B1122" s="19" t="s">
        <v>50</v>
      </c>
      <c r="C1122" s="18" t="str">
        <f>"陈枢洲"</f>
        <v>陈枢洲</v>
      </c>
      <c r="D1122" s="18" t="str">
        <f t="shared" si="129"/>
        <v>男</v>
      </c>
      <c r="E1122" s="18" t="str">
        <f>"2022012701"</f>
        <v>2022012701</v>
      </c>
      <c r="F1122" s="18">
        <v>81</v>
      </c>
      <c r="G1122" s="18">
        <v>10</v>
      </c>
      <c r="H1122" s="18"/>
      <c r="I1122" s="18" t="s">
        <v>12</v>
      </c>
    </row>
    <row r="1123" s="1" customFormat="1" customHeight="1" spans="1:9">
      <c r="A1123" s="18" t="str">
        <f t="shared" si="128"/>
        <v>B3F</v>
      </c>
      <c r="B1123" s="19" t="s">
        <v>50</v>
      </c>
      <c r="C1123" s="18" t="str">
        <f>"吕志勇"</f>
        <v>吕志勇</v>
      </c>
      <c r="D1123" s="18" t="str">
        <f t="shared" si="129"/>
        <v>男</v>
      </c>
      <c r="E1123" s="18" t="str">
        <f>"2022012525"</f>
        <v>2022012525</v>
      </c>
      <c r="F1123" s="18">
        <v>80</v>
      </c>
      <c r="G1123" s="18">
        <v>12</v>
      </c>
      <c r="H1123" s="18"/>
      <c r="I1123" s="18" t="s">
        <v>12</v>
      </c>
    </row>
    <row r="1124" s="1" customFormat="1" customHeight="1" spans="1:9">
      <c r="A1124" s="18" t="str">
        <f t="shared" si="128"/>
        <v>B3F</v>
      </c>
      <c r="B1124" s="19" t="s">
        <v>50</v>
      </c>
      <c r="C1124" s="18" t="str">
        <f>"李家全"</f>
        <v>李家全</v>
      </c>
      <c r="D1124" s="18" t="str">
        <f t="shared" si="129"/>
        <v>男</v>
      </c>
      <c r="E1124" s="18" t="str">
        <f>"2022012526"</f>
        <v>2022012526</v>
      </c>
      <c r="F1124" s="18">
        <v>79</v>
      </c>
      <c r="G1124" s="18">
        <v>13</v>
      </c>
      <c r="H1124" s="18"/>
      <c r="I1124" s="18" t="s">
        <v>12</v>
      </c>
    </row>
    <row r="1125" s="1" customFormat="1" customHeight="1" spans="1:9">
      <c r="A1125" s="18" t="str">
        <f t="shared" si="128"/>
        <v>B3F</v>
      </c>
      <c r="B1125" s="19" t="s">
        <v>50</v>
      </c>
      <c r="C1125" s="18" t="str">
        <f>"申振明"</f>
        <v>申振明</v>
      </c>
      <c r="D1125" s="18" t="str">
        <f t="shared" si="129"/>
        <v>男</v>
      </c>
      <c r="E1125" s="18" t="str">
        <f>"2022012529"</f>
        <v>2022012529</v>
      </c>
      <c r="F1125" s="18">
        <v>79</v>
      </c>
      <c r="G1125" s="18">
        <v>13</v>
      </c>
      <c r="H1125" s="18"/>
      <c r="I1125" s="18" t="s">
        <v>12</v>
      </c>
    </row>
    <row r="1126" s="1" customFormat="1" customHeight="1" spans="1:9">
      <c r="A1126" s="18" t="str">
        <f t="shared" si="128"/>
        <v>B3F</v>
      </c>
      <c r="B1126" s="19" t="s">
        <v>50</v>
      </c>
      <c r="C1126" s="18" t="str">
        <f>"杨伙"</f>
        <v>杨伙</v>
      </c>
      <c r="D1126" s="18" t="str">
        <f t="shared" si="129"/>
        <v>男</v>
      </c>
      <c r="E1126" s="18" t="str">
        <f>"2022012605"</f>
        <v>2022012605</v>
      </c>
      <c r="F1126" s="18">
        <v>78</v>
      </c>
      <c r="G1126" s="18">
        <v>15</v>
      </c>
      <c r="H1126" s="18"/>
      <c r="I1126" s="18" t="s">
        <v>12</v>
      </c>
    </row>
    <row r="1127" s="1" customFormat="1" customHeight="1" spans="1:9">
      <c r="A1127" s="18" t="str">
        <f t="shared" si="128"/>
        <v>B3F</v>
      </c>
      <c r="B1127" s="19" t="s">
        <v>50</v>
      </c>
      <c r="C1127" s="18" t="str">
        <f>"王智勇"</f>
        <v>王智勇</v>
      </c>
      <c r="D1127" s="18" t="str">
        <f t="shared" si="129"/>
        <v>男</v>
      </c>
      <c r="E1127" s="18" t="str">
        <f>"2022012508"</f>
        <v>2022012508</v>
      </c>
      <c r="F1127" s="18">
        <v>77</v>
      </c>
      <c r="G1127" s="18">
        <v>16</v>
      </c>
      <c r="H1127" s="18"/>
      <c r="I1127" s="18" t="s">
        <v>12</v>
      </c>
    </row>
    <row r="1128" s="1" customFormat="1" customHeight="1" spans="1:9">
      <c r="A1128" s="18" t="str">
        <f t="shared" si="128"/>
        <v>B3F</v>
      </c>
      <c r="B1128" s="19" t="s">
        <v>50</v>
      </c>
      <c r="C1128" s="18" t="str">
        <f>"罗犇"</f>
        <v>罗犇</v>
      </c>
      <c r="D1128" s="18" t="str">
        <f t="shared" si="129"/>
        <v>男</v>
      </c>
      <c r="E1128" s="18" t="str">
        <f>"2022012604"</f>
        <v>2022012604</v>
      </c>
      <c r="F1128" s="18">
        <v>77</v>
      </c>
      <c r="G1128" s="18">
        <v>16</v>
      </c>
      <c r="H1128" s="18"/>
      <c r="I1128" s="18" t="s">
        <v>12</v>
      </c>
    </row>
    <row r="1129" s="1" customFormat="1" customHeight="1" spans="1:9">
      <c r="A1129" s="18" t="str">
        <f t="shared" si="128"/>
        <v>B3F</v>
      </c>
      <c r="B1129" s="19" t="s">
        <v>50</v>
      </c>
      <c r="C1129" s="18" t="str">
        <f>"费汉湘"</f>
        <v>费汉湘</v>
      </c>
      <c r="D1129" s="18" t="str">
        <f t="shared" si="129"/>
        <v>男</v>
      </c>
      <c r="E1129" s="18" t="str">
        <f>"2022012522"</f>
        <v>2022012522</v>
      </c>
      <c r="F1129" s="18">
        <v>76</v>
      </c>
      <c r="G1129" s="18">
        <v>18</v>
      </c>
      <c r="H1129" s="18"/>
      <c r="I1129" s="18" t="s">
        <v>12</v>
      </c>
    </row>
    <row r="1130" s="1" customFormat="1" customHeight="1" spans="1:9">
      <c r="A1130" s="18" t="str">
        <f t="shared" si="128"/>
        <v>B3F</v>
      </c>
      <c r="B1130" s="19" t="s">
        <v>50</v>
      </c>
      <c r="C1130" s="18" t="str">
        <f>"夏俊"</f>
        <v>夏俊</v>
      </c>
      <c r="D1130" s="18" t="str">
        <f t="shared" si="129"/>
        <v>男</v>
      </c>
      <c r="E1130" s="18" t="str">
        <f>"2022012534"</f>
        <v>2022012534</v>
      </c>
      <c r="F1130" s="18">
        <v>76</v>
      </c>
      <c r="G1130" s="18">
        <v>18</v>
      </c>
      <c r="H1130" s="18"/>
      <c r="I1130" s="18" t="s">
        <v>12</v>
      </c>
    </row>
    <row r="1131" s="1" customFormat="1" customHeight="1" spans="1:9">
      <c r="A1131" s="18" t="str">
        <f t="shared" si="128"/>
        <v>B3F</v>
      </c>
      <c r="B1131" s="19" t="s">
        <v>50</v>
      </c>
      <c r="C1131" s="18" t="str">
        <f>"王宇"</f>
        <v>王宇</v>
      </c>
      <c r="D1131" s="18" t="str">
        <f t="shared" si="129"/>
        <v>男</v>
      </c>
      <c r="E1131" s="18" t="str">
        <f>"2022012630"</f>
        <v>2022012630</v>
      </c>
      <c r="F1131" s="18">
        <v>76</v>
      </c>
      <c r="G1131" s="18">
        <v>18</v>
      </c>
      <c r="H1131" s="18"/>
      <c r="I1131" s="18" t="s">
        <v>12</v>
      </c>
    </row>
    <row r="1132" s="1" customFormat="1" customHeight="1" spans="1:9">
      <c r="A1132" s="18" t="str">
        <f t="shared" si="128"/>
        <v>B3F</v>
      </c>
      <c r="B1132" s="19" t="s">
        <v>50</v>
      </c>
      <c r="C1132" s="18" t="str">
        <f>"易欣辉"</f>
        <v>易欣辉</v>
      </c>
      <c r="D1132" s="18" t="str">
        <f t="shared" si="129"/>
        <v>男</v>
      </c>
      <c r="E1132" s="18" t="str">
        <f>"2022012732"</f>
        <v>2022012732</v>
      </c>
      <c r="F1132" s="18">
        <v>76</v>
      </c>
      <c r="G1132" s="18">
        <v>18</v>
      </c>
      <c r="H1132" s="18"/>
      <c r="I1132" s="18" t="s">
        <v>12</v>
      </c>
    </row>
    <row r="1133" s="1" customFormat="1" customHeight="1" spans="1:9">
      <c r="A1133" s="18" t="str">
        <f t="shared" si="128"/>
        <v>B3F</v>
      </c>
      <c r="B1133" s="19" t="s">
        <v>50</v>
      </c>
      <c r="C1133" s="18" t="str">
        <f>"刘成晟"</f>
        <v>刘成晟</v>
      </c>
      <c r="D1133" s="18" t="str">
        <f t="shared" si="129"/>
        <v>男</v>
      </c>
      <c r="E1133" s="18" t="str">
        <f>"2022012802"</f>
        <v>2022012802</v>
      </c>
      <c r="F1133" s="18">
        <v>76</v>
      </c>
      <c r="G1133" s="18">
        <v>18</v>
      </c>
      <c r="H1133" s="18"/>
      <c r="I1133" s="18" t="s">
        <v>12</v>
      </c>
    </row>
    <row r="1134" s="1" customFormat="1" customHeight="1" spans="1:9">
      <c r="A1134" s="18" t="str">
        <f t="shared" si="128"/>
        <v>B3F</v>
      </c>
      <c r="B1134" s="19" t="s">
        <v>50</v>
      </c>
      <c r="C1134" s="18" t="str">
        <f>"康忠泽"</f>
        <v>康忠泽</v>
      </c>
      <c r="D1134" s="18" t="str">
        <f t="shared" si="129"/>
        <v>男</v>
      </c>
      <c r="E1134" s="18" t="str">
        <f>"2022012533"</f>
        <v>2022012533</v>
      </c>
      <c r="F1134" s="18">
        <v>73</v>
      </c>
      <c r="G1134" s="18">
        <v>23</v>
      </c>
      <c r="H1134" s="18"/>
      <c r="I1134" s="18" t="s">
        <v>12</v>
      </c>
    </row>
    <row r="1135" s="1" customFormat="1" customHeight="1" spans="1:9">
      <c r="A1135" s="18" t="str">
        <f t="shared" si="128"/>
        <v>B3F</v>
      </c>
      <c r="B1135" s="19" t="s">
        <v>50</v>
      </c>
      <c r="C1135" s="18" t="str">
        <f>"黄强"</f>
        <v>黄强</v>
      </c>
      <c r="D1135" s="18" t="str">
        <f t="shared" si="129"/>
        <v>男</v>
      </c>
      <c r="E1135" s="18" t="str">
        <f>"2022012535"</f>
        <v>2022012535</v>
      </c>
      <c r="F1135" s="18">
        <v>73</v>
      </c>
      <c r="G1135" s="18">
        <v>23</v>
      </c>
      <c r="H1135" s="18"/>
      <c r="I1135" s="18" t="s">
        <v>12</v>
      </c>
    </row>
    <row r="1136" s="1" customFormat="1" customHeight="1" spans="1:9">
      <c r="A1136" s="18" t="str">
        <f t="shared" si="128"/>
        <v>B3F</v>
      </c>
      <c r="B1136" s="19" t="s">
        <v>50</v>
      </c>
      <c r="C1136" s="18" t="str">
        <f>"罗元涛"</f>
        <v>罗元涛</v>
      </c>
      <c r="D1136" s="18" t="str">
        <f t="shared" si="129"/>
        <v>男</v>
      </c>
      <c r="E1136" s="18" t="str">
        <f>"2022012723"</f>
        <v>2022012723</v>
      </c>
      <c r="F1136" s="18">
        <v>73</v>
      </c>
      <c r="G1136" s="18">
        <v>23</v>
      </c>
      <c r="H1136" s="18"/>
      <c r="I1136" s="18" t="s">
        <v>12</v>
      </c>
    </row>
    <row r="1137" s="1" customFormat="1" customHeight="1" spans="1:9">
      <c r="A1137" s="18" t="str">
        <f t="shared" si="128"/>
        <v>B3F</v>
      </c>
      <c r="B1137" s="19" t="s">
        <v>50</v>
      </c>
      <c r="C1137" s="18" t="str">
        <f>"周磊"</f>
        <v>周磊</v>
      </c>
      <c r="D1137" s="18" t="str">
        <f t="shared" si="129"/>
        <v>男</v>
      </c>
      <c r="E1137" s="18" t="str">
        <f>"2022012532"</f>
        <v>2022012532</v>
      </c>
      <c r="F1137" s="18">
        <v>72</v>
      </c>
      <c r="G1137" s="18">
        <v>26</v>
      </c>
      <c r="H1137" s="18"/>
      <c r="I1137" s="18" t="s">
        <v>12</v>
      </c>
    </row>
    <row r="1138" s="1" customFormat="1" customHeight="1" spans="1:9">
      <c r="A1138" s="18" t="str">
        <f t="shared" si="128"/>
        <v>B3F</v>
      </c>
      <c r="B1138" s="19" t="s">
        <v>50</v>
      </c>
      <c r="C1138" s="18" t="str">
        <f>"李缘德"</f>
        <v>李缘德</v>
      </c>
      <c r="D1138" s="18" t="str">
        <f t="shared" si="129"/>
        <v>男</v>
      </c>
      <c r="E1138" s="18" t="str">
        <f>"2022012502"</f>
        <v>2022012502</v>
      </c>
      <c r="F1138" s="18">
        <v>71</v>
      </c>
      <c r="G1138" s="18">
        <v>27</v>
      </c>
      <c r="H1138" s="18"/>
      <c r="I1138" s="18" t="s">
        <v>12</v>
      </c>
    </row>
    <row r="1139" s="1" customFormat="1" customHeight="1" spans="1:9">
      <c r="A1139" s="18" t="str">
        <f t="shared" si="128"/>
        <v>B3F</v>
      </c>
      <c r="B1139" s="19" t="s">
        <v>50</v>
      </c>
      <c r="C1139" s="18" t="str">
        <f>"王仕臣"</f>
        <v>王仕臣</v>
      </c>
      <c r="D1139" s="18" t="str">
        <f t="shared" si="129"/>
        <v>男</v>
      </c>
      <c r="E1139" s="18" t="str">
        <f>"2022012527"</f>
        <v>2022012527</v>
      </c>
      <c r="F1139" s="18">
        <v>71</v>
      </c>
      <c r="G1139" s="18">
        <v>27</v>
      </c>
      <c r="H1139" s="18"/>
      <c r="I1139" s="18" t="s">
        <v>12</v>
      </c>
    </row>
    <row r="1140" s="1" customFormat="1" customHeight="1" spans="1:9">
      <c r="A1140" s="18" t="str">
        <f t="shared" si="128"/>
        <v>B3F</v>
      </c>
      <c r="B1140" s="19" t="s">
        <v>50</v>
      </c>
      <c r="C1140" s="18" t="str">
        <f>"张纯阳"</f>
        <v>张纯阳</v>
      </c>
      <c r="D1140" s="18" t="str">
        <f t="shared" si="129"/>
        <v>男</v>
      </c>
      <c r="E1140" s="18" t="str">
        <f>"2022012706"</f>
        <v>2022012706</v>
      </c>
      <c r="F1140" s="18">
        <v>71</v>
      </c>
      <c r="G1140" s="18">
        <v>27</v>
      </c>
      <c r="H1140" s="18"/>
      <c r="I1140" s="18" t="s">
        <v>12</v>
      </c>
    </row>
    <row r="1141" s="1" customFormat="1" customHeight="1" spans="1:9">
      <c r="A1141" s="18" t="str">
        <f t="shared" si="128"/>
        <v>B3F</v>
      </c>
      <c r="B1141" s="19" t="s">
        <v>50</v>
      </c>
      <c r="C1141" s="18" t="str">
        <f>"阳淼"</f>
        <v>阳淼</v>
      </c>
      <c r="D1141" s="18" t="str">
        <f t="shared" si="129"/>
        <v>男</v>
      </c>
      <c r="E1141" s="18" t="str">
        <f>"2022012724"</f>
        <v>2022012724</v>
      </c>
      <c r="F1141" s="18">
        <v>71</v>
      </c>
      <c r="G1141" s="18">
        <v>27</v>
      </c>
      <c r="H1141" s="18"/>
      <c r="I1141" s="18" t="s">
        <v>12</v>
      </c>
    </row>
    <row r="1142" s="1" customFormat="1" customHeight="1" spans="1:9">
      <c r="A1142" s="18" t="str">
        <f t="shared" si="128"/>
        <v>B3F</v>
      </c>
      <c r="B1142" s="19" t="s">
        <v>50</v>
      </c>
      <c r="C1142" s="18" t="str">
        <f>"李杲锦"</f>
        <v>李杲锦</v>
      </c>
      <c r="D1142" s="18" t="str">
        <f t="shared" si="129"/>
        <v>男</v>
      </c>
      <c r="E1142" s="18" t="str">
        <f>"2022012721"</f>
        <v>2022012721</v>
      </c>
      <c r="F1142" s="18">
        <v>70</v>
      </c>
      <c r="G1142" s="18">
        <v>31</v>
      </c>
      <c r="H1142" s="18"/>
      <c r="I1142" s="18" t="s">
        <v>12</v>
      </c>
    </row>
    <row r="1143" s="1" customFormat="1" customHeight="1" spans="1:9">
      <c r="A1143" s="18" t="str">
        <f t="shared" si="128"/>
        <v>B3F</v>
      </c>
      <c r="B1143" s="19" t="s">
        <v>50</v>
      </c>
      <c r="C1143" s="18" t="str">
        <f>"陈宁"</f>
        <v>陈宁</v>
      </c>
      <c r="D1143" s="18" t="str">
        <f t="shared" si="129"/>
        <v>男</v>
      </c>
      <c r="E1143" s="18" t="str">
        <f>"2022012722"</f>
        <v>2022012722</v>
      </c>
      <c r="F1143" s="18">
        <v>70</v>
      </c>
      <c r="G1143" s="18">
        <v>31</v>
      </c>
      <c r="H1143" s="18"/>
      <c r="I1143" s="18" t="s">
        <v>12</v>
      </c>
    </row>
    <row r="1144" s="1" customFormat="1" customHeight="1" spans="1:9">
      <c r="A1144" s="18" t="str">
        <f t="shared" si="128"/>
        <v>B3F</v>
      </c>
      <c r="B1144" s="19" t="s">
        <v>50</v>
      </c>
      <c r="C1144" s="18" t="str">
        <f>"黄兵"</f>
        <v>黄兵</v>
      </c>
      <c r="D1144" s="18" t="str">
        <f t="shared" si="129"/>
        <v>男</v>
      </c>
      <c r="E1144" s="18" t="str">
        <f>"2022012617"</f>
        <v>2022012617</v>
      </c>
      <c r="F1144" s="18">
        <v>68</v>
      </c>
      <c r="G1144" s="18">
        <v>33</v>
      </c>
      <c r="H1144" s="18"/>
      <c r="I1144" s="18" t="s">
        <v>12</v>
      </c>
    </row>
    <row r="1145" s="1" customFormat="1" customHeight="1" spans="1:9">
      <c r="A1145" s="18" t="str">
        <f t="shared" si="128"/>
        <v>B3F</v>
      </c>
      <c r="B1145" s="19" t="s">
        <v>50</v>
      </c>
      <c r="C1145" s="18" t="str">
        <f>"刘民栋"</f>
        <v>刘民栋</v>
      </c>
      <c r="D1145" s="18" t="str">
        <f t="shared" si="129"/>
        <v>男</v>
      </c>
      <c r="E1145" s="18" t="str">
        <f>"2022012801"</f>
        <v>2022012801</v>
      </c>
      <c r="F1145" s="18">
        <v>68</v>
      </c>
      <c r="G1145" s="18">
        <v>33</v>
      </c>
      <c r="H1145" s="18"/>
      <c r="I1145" s="18" t="s">
        <v>12</v>
      </c>
    </row>
    <row r="1146" s="1" customFormat="1" customHeight="1" spans="1:9">
      <c r="A1146" s="18" t="str">
        <f t="shared" si="128"/>
        <v>B3F</v>
      </c>
      <c r="B1146" s="19" t="s">
        <v>50</v>
      </c>
      <c r="C1146" s="18" t="str">
        <f>"孙均"</f>
        <v>孙均</v>
      </c>
      <c r="D1146" s="18" t="str">
        <f t="shared" si="129"/>
        <v>男</v>
      </c>
      <c r="E1146" s="18" t="str">
        <f>"2022012528"</f>
        <v>2022012528</v>
      </c>
      <c r="F1146" s="18">
        <v>66</v>
      </c>
      <c r="G1146" s="18">
        <v>35</v>
      </c>
      <c r="H1146" s="18"/>
      <c r="I1146" s="18" t="s">
        <v>12</v>
      </c>
    </row>
    <row r="1147" s="1" customFormat="1" customHeight="1" spans="1:9">
      <c r="A1147" s="18" t="str">
        <f t="shared" si="128"/>
        <v>B3F</v>
      </c>
      <c r="B1147" s="19" t="s">
        <v>50</v>
      </c>
      <c r="C1147" s="18" t="str">
        <f>"瞿章华"</f>
        <v>瞿章华</v>
      </c>
      <c r="D1147" s="18" t="str">
        <f t="shared" si="129"/>
        <v>男</v>
      </c>
      <c r="E1147" s="18" t="str">
        <f>"2022012613"</f>
        <v>2022012613</v>
      </c>
      <c r="F1147" s="18">
        <v>66</v>
      </c>
      <c r="G1147" s="18">
        <v>35</v>
      </c>
      <c r="H1147" s="18"/>
      <c r="I1147" s="18" t="s">
        <v>12</v>
      </c>
    </row>
    <row r="1148" s="1" customFormat="1" customHeight="1" spans="1:9">
      <c r="A1148" s="18" t="str">
        <f t="shared" si="128"/>
        <v>B3F</v>
      </c>
      <c r="B1148" s="19" t="s">
        <v>50</v>
      </c>
      <c r="C1148" s="18" t="str">
        <f>"彭麟"</f>
        <v>彭麟</v>
      </c>
      <c r="D1148" s="18" t="str">
        <f t="shared" si="129"/>
        <v>男</v>
      </c>
      <c r="E1148" s="18" t="str">
        <f>"2022012627"</f>
        <v>2022012627</v>
      </c>
      <c r="F1148" s="18">
        <v>66</v>
      </c>
      <c r="G1148" s="18">
        <v>35</v>
      </c>
      <c r="H1148" s="18"/>
      <c r="I1148" s="18" t="s">
        <v>12</v>
      </c>
    </row>
    <row r="1149" s="1" customFormat="1" customHeight="1" spans="1:9">
      <c r="A1149" s="18" t="str">
        <f t="shared" si="128"/>
        <v>B3F</v>
      </c>
      <c r="B1149" s="19" t="s">
        <v>50</v>
      </c>
      <c r="C1149" s="18" t="str">
        <f>"肖体强"</f>
        <v>肖体强</v>
      </c>
      <c r="D1149" s="18" t="str">
        <f t="shared" si="129"/>
        <v>男</v>
      </c>
      <c r="E1149" s="18" t="str">
        <f>"2022012805"</f>
        <v>2022012805</v>
      </c>
      <c r="F1149" s="18">
        <v>66</v>
      </c>
      <c r="G1149" s="18">
        <v>35</v>
      </c>
      <c r="H1149" s="18"/>
      <c r="I1149" s="18" t="s">
        <v>12</v>
      </c>
    </row>
    <row r="1150" s="1" customFormat="1" customHeight="1" spans="1:9">
      <c r="A1150" s="18" t="str">
        <f t="shared" si="128"/>
        <v>B3F</v>
      </c>
      <c r="B1150" s="19" t="s">
        <v>50</v>
      </c>
      <c r="C1150" s="18" t="str">
        <f>"黄开龙"</f>
        <v>黄开龙</v>
      </c>
      <c r="D1150" s="18" t="str">
        <f t="shared" si="129"/>
        <v>男</v>
      </c>
      <c r="E1150" s="18" t="str">
        <f>"2022012727"</f>
        <v>2022012727</v>
      </c>
      <c r="F1150" s="18">
        <v>65</v>
      </c>
      <c r="G1150" s="18">
        <v>39</v>
      </c>
      <c r="H1150" s="18"/>
      <c r="I1150" s="18" t="s">
        <v>12</v>
      </c>
    </row>
    <row r="1151" s="1" customFormat="1" customHeight="1" spans="1:9">
      <c r="A1151" s="18" t="str">
        <f t="shared" si="128"/>
        <v>B3F</v>
      </c>
      <c r="B1151" s="19" t="s">
        <v>50</v>
      </c>
      <c r="C1151" s="18" t="str">
        <f>"方小东"</f>
        <v>方小东</v>
      </c>
      <c r="D1151" s="18" t="str">
        <f t="shared" si="129"/>
        <v>男</v>
      </c>
      <c r="E1151" s="18" t="str">
        <f>"2022012531"</f>
        <v>2022012531</v>
      </c>
      <c r="F1151" s="18">
        <v>64</v>
      </c>
      <c r="G1151" s="18">
        <v>40</v>
      </c>
      <c r="H1151" s="18"/>
      <c r="I1151" s="18" t="s">
        <v>12</v>
      </c>
    </row>
    <row r="1152" s="1" customFormat="1" customHeight="1" spans="1:9">
      <c r="A1152" s="18" t="str">
        <f t="shared" si="128"/>
        <v>B3F</v>
      </c>
      <c r="B1152" s="19" t="s">
        <v>50</v>
      </c>
      <c r="C1152" s="18" t="str">
        <f>"黄健"</f>
        <v>黄健</v>
      </c>
      <c r="D1152" s="18" t="str">
        <f t="shared" si="129"/>
        <v>男</v>
      </c>
      <c r="E1152" s="18" t="str">
        <f>"2022012634"</f>
        <v>2022012634</v>
      </c>
      <c r="F1152" s="18">
        <v>64</v>
      </c>
      <c r="G1152" s="18">
        <v>40</v>
      </c>
      <c r="H1152" s="18"/>
      <c r="I1152" s="18" t="s">
        <v>12</v>
      </c>
    </row>
    <row r="1153" s="1" customFormat="1" customHeight="1" spans="1:9">
      <c r="A1153" s="18" t="str">
        <f t="shared" si="128"/>
        <v>B3F</v>
      </c>
      <c r="B1153" s="19" t="s">
        <v>50</v>
      </c>
      <c r="C1153" s="18" t="str">
        <f>"刘毅"</f>
        <v>刘毅</v>
      </c>
      <c r="D1153" s="18" t="str">
        <f t="shared" si="129"/>
        <v>男</v>
      </c>
      <c r="E1153" s="18" t="str">
        <f>"2022012603"</f>
        <v>2022012603</v>
      </c>
      <c r="F1153" s="18">
        <v>62</v>
      </c>
      <c r="G1153" s="18">
        <v>42</v>
      </c>
      <c r="H1153" s="18"/>
      <c r="I1153" s="18" t="s">
        <v>12</v>
      </c>
    </row>
    <row r="1154" s="1" customFormat="1" customHeight="1" spans="1:9">
      <c r="A1154" s="18" t="str">
        <f t="shared" si="128"/>
        <v>B3F</v>
      </c>
      <c r="B1154" s="19" t="s">
        <v>50</v>
      </c>
      <c r="C1154" s="18" t="str">
        <f>"方滔"</f>
        <v>方滔</v>
      </c>
      <c r="D1154" s="18" t="str">
        <f t="shared" si="129"/>
        <v>男</v>
      </c>
      <c r="E1154" s="18" t="str">
        <f>"2022012512"</f>
        <v>2022012512</v>
      </c>
      <c r="F1154" s="18">
        <v>61</v>
      </c>
      <c r="G1154" s="18">
        <v>43</v>
      </c>
      <c r="H1154" s="18"/>
      <c r="I1154" s="18" t="s">
        <v>12</v>
      </c>
    </row>
    <row r="1155" s="1" customFormat="1" customHeight="1" spans="1:9">
      <c r="A1155" s="18" t="str">
        <f t="shared" si="128"/>
        <v>B3F</v>
      </c>
      <c r="B1155" s="19" t="s">
        <v>50</v>
      </c>
      <c r="C1155" s="18" t="str">
        <f>"陈能江"</f>
        <v>陈能江</v>
      </c>
      <c r="D1155" s="18" t="str">
        <f t="shared" si="129"/>
        <v>男</v>
      </c>
      <c r="E1155" s="18" t="str">
        <f>"2022012621"</f>
        <v>2022012621</v>
      </c>
      <c r="F1155" s="18">
        <v>61</v>
      </c>
      <c r="G1155" s="18">
        <v>43</v>
      </c>
      <c r="H1155" s="18"/>
      <c r="I1155" s="18" t="s">
        <v>12</v>
      </c>
    </row>
    <row r="1156" s="1" customFormat="1" customHeight="1" spans="1:9">
      <c r="A1156" s="18" t="str">
        <f t="shared" si="128"/>
        <v>B3F</v>
      </c>
      <c r="B1156" s="19" t="s">
        <v>50</v>
      </c>
      <c r="C1156" s="18" t="str">
        <f>"邓剑"</f>
        <v>邓剑</v>
      </c>
      <c r="D1156" s="18" t="str">
        <f t="shared" si="129"/>
        <v>男</v>
      </c>
      <c r="E1156" s="18" t="str">
        <f>"2022012712"</f>
        <v>2022012712</v>
      </c>
      <c r="F1156" s="18">
        <v>60</v>
      </c>
      <c r="G1156" s="18">
        <v>45</v>
      </c>
      <c r="H1156" s="18"/>
      <c r="I1156" s="18" t="s">
        <v>12</v>
      </c>
    </row>
    <row r="1157" s="1" customFormat="1" customHeight="1" spans="1:9">
      <c r="A1157" s="18" t="str">
        <f t="shared" si="128"/>
        <v>B3F</v>
      </c>
      <c r="B1157" s="19" t="s">
        <v>50</v>
      </c>
      <c r="C1157" s="18" t="str">
        <f>"殷季鹏"</f>
        <v>殷季鹏</v>
      </c>
      <c r="D1157" s="18" t="str">
        <f t="shared" si="129"/>
        <v>男</v>
      </c>
      <c r="E1157" s="18" t="str">
        <f>"2022012622"</f>
        <v>2022012622</v>
      </c>
      <c r="F1157" s="18">
        <v>59</v>
      </c>
      <c r="G1157" s="18">
        <v>46</v>
      </c>
      <c r="H1157" s="18"/>
      <c r="I1157" s="18" t="s">
        <v>12</v>
      </c>
    </row>
    <row r="1158" s="1" customFormat="1" customHeight="1" spans="1:9">
      <c r="A1158" s="18" t="str">
        <f t="shared" si="128"/>
        <v>B3F</v>
      </c>
      <c r="B1158" s="19" t="s">
        <v>50</v>
      </c>
      <c r="C1158" s="18" t="str">
        <f>"胡瑞"</f>
        <v>胡瑞</v>
      </c>
      <c r="D1158" s="18" t="str">
        <f t="shared" si="129"/>
        <v>男</v>
      </c>
      <c r="E1158" s="18" t="str">
        <f>"2022012708"</f>
        <v>2022012708</v>
      </c>
      <c r="F1158" s="18">
        <v>58</v>
      </c>
      <c r="G1158" s="18">
        <v>47</v>
      </c>
      <c r="H1158" s="18"/>
      <c r="I1158" s="18" t="s">
        <v>12</v>
      </c>
    </row>
    <row r="1159" s="1" customFormat="1" customHeight="1" spans="1:9">
      <c r="A1159" s="18" t="str">
        <f t="shared" si="128"/>
        <v>B3F</v>
      </c>
      <c r="B1159" s="19" t="s">
        <v>50</v>
      </c>
      <c r="C1159" s="18" t="str">
        <f>"朱晨"</f>
        <v>朱晨</v>
      </c>
      <c r="D1159" s="18" t="str">
        <f t="shared" si="129"/>
        <v>男</v>
      </c>
      <c r="E1159" s="18" t="str">
        <f>"2022012728"</f>
        <v>2022012728</v>
      </c>
      <c r="F1159" s="18">
        <v>58</v>
      </c>
      <c r="G1159" s="18">
        <v>47</v>
      </c>
      <c r="H1159" s="18"/>
      <c r="I1159" s="18" t="s">
        <v>12</v>
      </c>
    </row>
    <row r="1160" s="1" customFormat="1" customHeight="1" spans="1:9">
      <c r="A1160" s="18" t="str">
        <f t="shared" si="128"/>
        <v>B3F</v>
      </c>
      <c r="B1160" s="19" t="s">
        <v>50</v>
      </c>
      <c r="C1160" s="18" t="str">
        <f>"邓赞来"</f>
        <v>邓赞来</v>
      </c>
      <c r="D1160" s="18" t="str">
        <f t="shared" si="129"/>
        <v>男</v>
      </c>
      <c r="E1160" s="18" t="str">
        <f>"2022012716"</f>
        <v>2022012716</v>
      </c>
      <c r="F1160" s="18">
        <v>57</v>
      </c>
      <c r="G1160" s="18">
        <v>49</v>
      </c>
      <c r="H1160" s="18"/>
      <c r="I1160" s="18" t="s">
        <v>12</v>
      </c>
    </row>
    <row r="1161" s="1" customFormat="1" customHeight="1" spans="1:9">
      <c r="A1161" s="18" t="str">
        <f t="shared" si="128"/>
        <v>B3F</v>
      </c>
      <c r="B1161" s="19" t="s">
        <v>50</v>
      </c>
      <c r="C1161" s="18" t="str">
        <f>"赵勇"</f>
        <v>赵勇</v>
      </c>
      <c r="D1161" s="18" t="str">
        <f t="shared" si="129"/>
        <v>男</v>
      </c>
      <c r="E1161" s="18" t="str">
        <f>"2022012515"</f>
        <v>2022012515</v>
      </c>
      <c r="F1161" s="18">
        <v>56</v>
      </c>
      <c r="G1161" s="18">
        <v>50</v>
      </c>
      <c r="H1161" s="18"/>
      <c r="I1161" s="18" t="s">
        <v>12</v>
      </c>
    </row>
    <row r="1162" s="1" customFormat="1" customHeight="1" spans="1:9">
      <c r="A1162" s="18" t="str">
        <f t="shared" si="128"/>
        <v>B3F</v>
      </c>
      <c r="B1162" s="19" t="s">
        <v>50</v>
      </c>
      <c r="C1162" s="18" t="str">
        <f>"彭文"</f>
        <v>彭文</v>
      </c>
      <c r="D1162" s="18" t="str">
        <f t="shared" si="129"/>
        <v>男</v>
      </c>
      <c r="E1162" s="18" t="str">
        <f>"2022012609"</f>
        <v>2022012609</v>
      </c>
      <c r="F1162" s="18">
        <v>56</v>
      </c>
      <c r="G1162" s="18">
        <v>50</v>
      </c>
      <c r="H1162" s="18"/>
      <c r="I1162" s="18" t="s">
        <v>12</v>
      </c>
    </row>
    <row r="1163" s="1" customFormat="1" customHeight="1" spans="1:9">
      <c r="A1163" s="18" t="str">
        <f t="shared" si="128"/>
        <v>B3F</v>
      </c>
      <c r="B1163" s="19" t="s">
        <v>50</v>
      </c>
      <c r="C1163" s="18" t="str">
        <f>"俞昌泸"</f>
        <v>俞昌泸</v>
      </c>
      <c r="D1163" s="18" t="str">
        <f t="shared" si="129"/>
        <v>男</v>
      </c>
      <c r="E1163" s="18" t="str">
        <f>"2022012624"</f>
        <v>2022012624</v>
      </c>
      <c r="F1163" s="18">
        <v>56</v>
      </c>
      <c r="G1163" s="18">
        <v>50</v>
      </c>
      <c r="H1163" s="18"/>
      <c r="I1163" s="18" t="s">
        <v>12</v>
      </c>
    </row>
    <row r="1164" s="1" customFormat="1" customHeight="1" spans="1:9">
      <c r="A1164" s="18" t="str">
        <f t="shared" si="128"/>
        <v>B3F</v>
      </c>
      <c r="B1164" s="19" t="s">
        <v>50</v>
      </c>
      <c r="C1164" s="18" t="str">
        <f>"刘利军"</f>
        <v>刘利军</v>
      </c>
      <c r="D1164" s="18" t="str">
        <f t="shared" si="129"/>
        <v>男</v>
      </c>
      <c r="E1164" s="18" t="str">
        <f>"2022012803"</f>
        <v>2022012803</v>
      </c>
      <c r="F1164" s="18">
        <v>56</v>
      </c>
      <c r="G1164" s="18">
        <v>50</v>
      </c>
      <c r="H1164" s="18"/>
      <c r="I1164" s="18" t="s">
        <v>12</v>
      </c>
    </row>
    <row r="1165" s="1" customFormat="1" customHeight="1" spans="1:9">
      <c r="A1165" s="18" t="str">
        <f t="shared" si="128"/>
        <v>B3F</v>
      </c>
      <c r="B1165" s="19" t="s">
        <v>50</v>
      </c>
      <c r="C1165" s="18" t="str">
        <f>"邓大玮"</f>
        <v>邓大玮</v>
      </c>
      <c r="D1165" s="18" t="str">
        <f t="shared" si="129"/>
        <v>男</v>
      </c>
      <c r="E1165" s="18" t="str">
        <f>"2022012520"</f>
        <v>2022012520</v>
      </c>
      <c r="F1165" s="18">
        <v>55</v>
      </c>
      <c r="G1165" s="18">
        <v>54</v>
      </c>
      <c r="H1165" s="18"/>
      <c r="I1165" s="18" t="s">
        <v>12</v>
      </c>
    </row>
    <row r="1166" s="1" customFormat="1" customHeight="1" spans="1:9">
      <c r="A1166" s="18" t="str">
        <f t="shared" si="128"/>
        <v>B3F</v>
      </c>
      <c r="B1166" s="19" t="s">
        <v>50</v>
      </c>
      <c r="C1166" s="18" t="str">
        <f>"袁光友"</f>
        <v>袁光友</v>
      </c>
      <c r="D1166" s="18" t="str">
        <f t="shared" si="129"/>
        <v>男</v>
      </c>
      <c r="E1166" s="18" t="str">
        <f>"2022012618"</f>
        <v>2022012618</v>
      </c>
      <c r="F1166" s="18">
        <v>55</v>
      </c>
      <c r="G1166" s="18">
        <v>54</v>
      </c>
      <c r="H1166" s="18"/>
      <c r="I1166" s="18" t="s">
        <v>12</v>
      </c>
    </row>
    <row r="1167" s="1" customFormat="1" customHeight="1" spans="1:9">
      <c r="A1167" s="18" t="str">
        <f t="shared" si="128"/>
        <v>B3F</v>
      </c>
      <c r="B1167" s="19" t="s">
        <v>50</v>
      </c>
      <c r="C1167" s="18" t="str">
        <f>"史政"</f>
        <v>史政</v>
      </c>
      <c r="D1167" s="18" t="str">
        <f t="shared" si="129"/>
        <v>男</v>
      </c>
      <c r="E1167" s="18" t="str">
        <f>"2022012601"</f>
        <v>2022012601</v>
      </c>
      <c r="F1167" s="18">
        <v>54</v>
      </c>
      <c r="G1167" s="18">
        <v>56</v>
      </c>
      <c r="H1167" s="18"/>
      <c r="I1167" s="18" t="s">
        <v>12</v>
      </c>
    </row>
    <row r="1168" s="1" customFormat="1" customHeight="1" spans="1:9">
      <c r="A1168" s="18" t="str">
        <f t="shared" si="128"/>
        <v>B3F</v>
      </c>
      <c r="B1168" s="19" t="s">
        <v>50</v>
      </c>
      <c r="C1168" s="18" t="str">
        <f>"刘精明"</f>
        <v>刘精明</v>
      </c>
      <c r="D1168" s="18" t="str">
        <f t="shared" si="129"/>
        <v>男</v>
      </c>
      <c r="E1168" s="18" t="str">
        <f>"2022012608"</f>
        <v>2022012608</v>
      </c>
      <c r="F1168" s="18">
        <v>54</v>
      </c>
      <c r="G1168" s="18">
        <v>56</v>
      </c>
      <c r="H1168" s="18"/>
      <c r="I1168" s="18" t="s">
        <v>12</v>
      </c>
    </row>
    <row r="1169" s="1" customFormat="1" customHeight="1" spans="1:9">
      <c r="A1169" s="18" t="str">
        <f t="shared" si="128"/>
        <v>B3F</v>
      </c>
      <c r="B1169" s="19" t="s">
        <v>50</v>
      </c>
      <c r="C1169" s="18" t="str">
        <f>"陈益"</f>
        <v>陈益</v>
      </c>
      <c r="D1169" s="18" t="str">
        <f t="shared" si="129"/>
        <v>男</v>
      </c>
      <c r="E1169" s="18" t="str">
        <f>"2022012623"</f>
        <v>2022012623</v>
      </c>
      <c r="F1169" s="18">
        <v>54</v>
      </c>
      <c r="G1169" s="18">
        <v>56</v>
      </c>
      <c r="H1169" s="18"/>
      <c r="I1169" s="18" t="s">
        <v>12</v>
      </c>
    </row>
    <row r="1170" s="1" customFormat="1" customHeight="1" spans="1:9">
      <c r="A1170" s="18" t="str">
        <f t="shared" si="128"/>
        <v>B3F</v>
      </c>
      <c r="B1170" s="19" t="s">
        <v>50</v>
      </c>
      <c r="C1170" s="18" t="str">
        <f>"曾令拥"</f>
        <v>曾令拥</v>
      </c>
      <c r="D1170" s="18" t="str">
        <f t="shared" si="129"/>
        <v>男</v>
      </c>
      <c r="E1170" s="18" t="str">
        <f>"2022012521"</f>
        <v>2022012521</v>
      </c>
      <c r="F1170" s="18">
        <v>53</v>
      </c>
      <c r="G1170" s="18">
        <v>59</v>
      </c>
      <c r="H1170" s="18"/>
      <c r="I1170" s="18" t="s">
        <v>12</v>
      </c>
    </row>
    <row r="1171" s="1" customFormat="1" customHeight="1" spans="1:9">
      <c r="A1171" s="18" t="str">
        <f t="shared" si="128"/>
        <v>B3F</v>
      </c>
      <c r="B1171" s="19" t="s">
        <v>50</v>
      </c>
      <c r="C1171" s="18" t="str">
        <f>"何鹏伟"</f>
        <v>何鹏伟</v>
      </c>
      <c r="D1171" s="18" t="str">
        <f t="shared" si="129"/>
        <v>男</v>
      </c>
      <c r="E1171" s="18" t="str">
        <f>"2022012804"</f>
        <v>2022012804</v>
      </c>
      <c r="F1171" s="18">
        <v>52</v>
      </c>
      <c r="G1171" s="18">
        <v>60</v>
      </c>
      <c r="H1171" s="18"/>
      <c r="I1171" s="18" t="s">
        <v>12</v>
      </c>
    </row>
    <row r="1172" s="1" customFormat="1" customHeight="1" spans="1:9">
      <c r="A1172" s="18" t="str">
        <f t="shared" si="128"/>
        <v>B3F</v>
      </c>
      <c r="B1172" s="19" t="s">
        <v>50</v>
      </c>
      <c r="C1172" s="18" t="str">
        <f>"陈鸿伟"</f>
        <v>陈鸿伟</v>
      </c>
      <c r="D1172" s="18" t="str">
        <f t="shared" si="129"/>
        <v>男</v>
      </c>
      <c r="E1172" s="18" t="str">
        <f>"2022012719"</f>
        <v>2022012719</v>
      </c>
      <c r="F1172" s="18">
        <v>51</v>
      </c>
      <c r="G1172" s="18">
        <v>61</v>
      </c>
      <c r="H1172" s="18"/>
      <c r="I1172" s="18" t="s">
        <v>12</v>
      </c>
    </row>
    <row r="1173" s="1" customFormat="1" customHeight="1" spans="1:9">
      <c r="A1173" s="18" t="str">
        <f t="shared" si="128"/>
        <v>B3F</v>
      </c>
      <c r="B1173" s="19" t="s">
        <v>50</v>
      </c>
      <c r="C1173" s="18" t="str">
        <f>"唐海龙"</f>
        <v>唐海龙</v>
      </c>
      <c r="D1173" s="18" t="str">
        <f t="shared" si="129"/>
        <v>男</v>
      </c>
      <c r="E1173" s="18" t="str">
        <f>"2022012504"</f>
        <v>2022012504</v>
      </c>
      <c r="F1173" s="18">
        <v>50</v>
      </c>
      <c r="G1173" s="18">
        <v>62</v>
      </c>
      <c r="H1173" s="18"/>
      <c r="I1173" s="18" t="s">
        <v>12</v>
      </c>
    </row>
    <row r="1174" s="1" customFormat="1" customHeight="1" spans="1:9">
      <c r="A1174" s="18" t="str">
        <f t="shared" si="128"/>
        <v>B3F</v>
      </c>
      <c r="B1174" s="19" t="s">
        <v>50</v>
      </c>
      <c r="C1174" s="18" t="str">
        <f>"谢怡民"</f>
        <v>谢怡民</v>
      </c>
      <c r="D1174" s="18" t="str">
        <f t="shared" si="129"/>
        <v>男</v>
      </c>
      <c r="E1174" s="18" t="str">
        <f>"2022012729"</f>
        <v>2022012729</v>
      </c>
      <c r="F1174" s="18">
        <v>50</v>
      </c>
      <c r="G1174" s="18">
        <v>62</v>
      </c>
      <c r="H1174" s="18"/>
      <c r="I1174" s="18" t="s">
        <v>12</v>
      </c>
    </row>
    <row r="1175" s="1" customFormat="1" customHeight="1" spans="1:9">
      <c r="A1175" s="18" t="str">
        <f t="shared" si="128"/>
        <v>B3F</v>
      </c>
      <c r="B1175" s="19" t="s">
        <v>50</v>
      </c>
      <c r="C1175" s="18" t="str">
        <f>"黄昊"</f>
        <v>黄昊</v>
      </c>
      <c r="D1175" s="18" t="str">
        <f t="shared" si="129"/>
        <v>男</v>
      </c>
      <c r="E1175" s="18" t="str">
        <f>"2022012713"</f>
        <v>2022012713</v>
      </c>
      <c r="F1175" s="18">
        <v>49</v>
      </c>
      <c r="G1175" s="18">
        <v>64</v>
      </c>
      <c r="H1175" s="18"/>
      <c r="I1175" s="18" t="s">
        <v>12</v>
      </c>
    </row>
    <row r="1176" s="1" customFormat="1" customHeight="1" spans="1:9">
      <c r="A1176" s="18" t="str">
        <f t="shared" ref="A1176:A1221" si="130">"B3F"</f>
        <v>B3F</v>
      </c>
      <c r="B1176" s="19" t="s">
        <v>50</v>
      </c>
      <c r="C1176" s="18" t="str">
        <f>"刘平安"</f>
        <v>刘平安</v>
      </c>
      <c r="D1176" s="18" t="str">
        <f t="shared" ref="D1176:D1239" si="131">"男"</f>
        <v>男</v>
      </c>
      <c r="E1176" s="18" t="str">
        <f>"2022012734"</f>
        <v>2022012734</v>
      </c>
      <c r="F1176" s="18">
        <v>49</v>
      </c>
      <c r="G1176" s="18">
        <v>64</v>
      </c>
      <c r="H1176" s="18"/>
      <c r="I1176" s="18" t="s">
        <v>12</v>
      </c>
    </row>
    <row r="1177" s="1" customFormat="1" customHeight="1" spans="1:9">
      <c r="A1177" s="18" t="str">
        <f t="shared" si="130"/>
        <v>B3F</v>
      </c>
      <c r="B1177" s="19" t="s">
        <v>50</v>
      </c>
      <c r="C1177" s="18" t="str">
        <f>"张创奇"</f>
        <v>张创奇</v>
      </c>
      <c r="D1177" s="18" t="str">
        <f t="shared" si="131"/>
        <v>男</v>
      </c>
      <c r="E1177" s="18" t="str">
        <f>"2022012507"</f>
        <v>2022012507</v>
      </c>
      <c r="F1177" s="18">
        <v>48</v>
      </c>
      <c r="G1177" s="18">
        <v>66</v>
      </c>
      <c r="H1177" s="18"/>
      <c r="I1177" s="18" t="s">
        <v>12</v>
      </c>
    </row>
    <row r="1178" s="1" customFormat="1" customHeight="1" spans="1:9">
      <c r="A1178" s="18" t="str">
        <f t="shared" si="130"/>
        <v>B3F</v>
      </c>
      <c r="B1178" s="19" t="s">
        <v>50</v>
      </c>
      <c r="C1178" s="18" t="str">
        <f>"陆进"</f>
        <v>陆进</v>
      </c>
      <c r="D1178" s="18" t="str">
        <f t="shared" si="131"/>
        <v>男</v>
      </c>
      <c r="E1178" s="18" t="str">
        <f>"2022012517"</f>
        <v>2022012517</v>
      </c>
      <c r="F1178" s="18">
        <v>48</v>
      </c>
      <c r="G1178" s="18">
        <v>66</v>
      </c>
      <c r="H1178" s="18"/>
      <c r="I1178" s="18" t="s">
        <v>12</v>
      </c>
    </row>
    <row r="1179" s="1" customFormat="1" customHeight="1" spans="1:9">
      <c r="A1179" s="18" t="str">
        <f t="shared" si="130"/>
        <v>B3F</v>
      </c>
      <c r="B1179" s="19" t="s">
        <v>50</v>
      </c>
      <c r="C1179" s="18" t="str">
        <f>"戴磊"</f>
        <v>戴磊</v>
      </c>
      <c r="D1179" s="18" t="str">
        <f t="shared" si="131"/>
        <v>男</v>
      </c>
      <c r="E1179" s="18" t="str">
        <f>"2022012610"</f>
        <v>2022012610</v>
      </c>
      <c r="F1179" s="18">
        <v>48</v>
      </c>
      <c r="G1179" s="18">
        <v>66</v>
      </c>
      <c r="H1179" s="18"/>
      <c r="I1179" s="18" t="s">
        <v>12</v>
      </c>
    </row>
    <row r="1180" s="1" customFormat="1" customHeight="1" spans="1:9">
      <c r="A1180" s="18" t="str">
        <f t="shared" si="130"/>
        <v>B3F</v>
      </c>
      <c r="B1180" s="19" t="s">
        <v>50</v>
      </c>
      <c r="C1180" s="18" t="str">
        <f>"杨超"</f>
        <v>杨超</v>
      </c>
      <c r="D1180" s="18" t="str">
        <f t="shared" si="131"/>
        <v>男</v>
      </c>
      <c r="E1180" s="18" t="str">
        <f>"2022012510"</f>
        <v>2022012510</v>
      </c>
      <c r="F1180" s="18">
        <v>47</v>
      </c>
      <c r="G1180" s="18">
        <v>69</v>
      </c>
      <c r="H1180" s="18"/>
      <c r="I1180" s="18" t="s">
        <v>12</v>
      </c>
    </row>
    <row r="1181" s="1" customFormat="1" customHeight="1" spans="1:9">
      <c r="A1181" s="18" t="str">
        <f t="shared" si="130"/>
        <v>B3F</v>
      </c>
      <c r="B1181" s="19" t="s">
        <v>50</v>
      </c>
      <c r="C1181" s="18" t="str">
        <f>"钱先兵"</f>
        <v>钱先兵</v>
      </c>
      <c r="D1181" s="18" t="str">
        <f t="shared" si="131"/>
        <v>男</v>
      </c>
      <c r="E1181" s="18" t="str">
        <f>"2022012707"</f>
        <v>2022012707</v>
      </c>
      <c r="F1181" s="18">
        <v>47</v>
      </c>
      <c r="G1181" s="18">
        <v>69</v>
      </c>
      <c r="H1181" s="18"/>
      <c r="I1181" s="18" t="s">
        <v>12</v>
      </c>
    </row>
    <row r="1182" s="1" customFormat="1" customHeight="1" spans="1:9">
      <c r="A1182" s="18" t="str">
        <f t="shared" si="130"/>
        <v>B3F</v>
      </c>
      <c r="B1182" s="19" t="s">
        <v>50</v>
      </c>
      <c r="C1182" s="18" t="str">
        <f>"彭钰贤"</f>
        <v>彭钰贤</v>
      </c>
      <c r="D1182" s="18" t="str">
        <f t="shared" si="131"/>
        <v>男</v>
      </c>
      <c r="E1182" s="18" t="str">
        <f>"2022012523"</f>
        <v>2022012523</v>
      </c>
      <c r="F1182" s="18">
        <v>46</v>
      </c>
      <c r="G1182" s="18">
        <v>71</v>
      </c>
      <c r="H1182" s="18"/>
      <c r="I1182" s="18" t="s">
        <v>12</v>
      </c>
    </row>
    <row r="1183" s="1" customFormat="1" customHeight="1" spans="1:9">
      <c r="A1183" s="18" t="str">
        <f t="shared" si="130"/>
        <v>B3F</v>
      </c>
      <c r="B1183" s="19" t="s">
        <v>50</v>
      </c>
      <c r="C1183" s="18" t="str">
        <f>"匡柏"</f>
        <v>匡柏</v>
      </c>
      <c r="D1183" s="18" t="str">
        <f t="shared" si="131"/>
        <v>男</v>
      </c>
      <c r="E1183" s="18" t="str">
        <f>"2022012629"</f>
        <v>2022012629</v>
      </c>
      <c r="F1183" s="18">
        <v>46</v>
      </c>
      <c r="G1183" s="18">
        <v>71</v>
      </c>
      <c r="H1183" s="18"/>
      <c r="I1183" s="18" t="s">
        <v>12</v>
      </c>
    </row>
    <row r="1184" s="1" customFormat="1" customHeight="1" spans="1:9">
      <c r="A1184" s="18" t="str">
        <f t="shared" si="130"/>
        <v>B3F</v>
      </c>
      <c r="B1184" s="19" t="s">
        <v>50</v>
      </c>
      <c r="C1184" s="18" t="str">
        <f>"许强"</f>
        <v>许强</v>
      </c>
      <c r="D1184" s="18" t="str">
        <f t="shared" si="131"/>
        <v>男</v>
      </c>
      <c r="E1184" s="18" t="str">
        <f>"2022012616"</f>
        <v>2022012616</v>
      </c>
      <c r="F1184" s="18">
        <v>45</v>
      </c>
      <c r="G1184" s="18">
        <v>73</v>
      </c>
      <c r="H1184" s="18"/>
      <c r="I1184" s="18" t="s">
        <v>12</v>
      </c>
    </row>
    <row r="1185" s="1" customFormat="1" customHeight="1" spans="1:9">
      <c r="A1185" s="18" t="str">
        <f t="shared" si="130"/>
        <v>B3F</v>
      </c>
      <c r="B1185" s="19" t="s">
        <v>50</v>
      </c>
      <c r="C1185" s="18" t="str">
        <f>"胡鑫"</f>
        <v>胡鑫</v>
      </c>
      <c r="D1185" s="18" t="str">
        <f t="shared" si="131"/>
        <v>男</v>
      </c>
      <c r="E1185" s="18" t="str">
        <f>"2022012505"</f>
        <v>2022012505</v>
      </c>
      <c r="F1185" s="18">
        <v>44</v>
      </c>
      <c r="G1185" s="18">
        <v>74</v>
      </c>
      <c r="H1185" s="18"/>
      <c r="I1185" s="18" t="s">
        <v>12</v>
      </c>
    </row>
    <row r="1186" s="1" customFormat="1" customHeight="1" spans="1:9">
      <c r="A1186" s="18" t="str">
        <f t="shared" si="130"/>
        <v>B3F</v>
      </c>
      <c r="B1186" s="19" t="s">
        <v>50</v>
      </c>
      <c r="C1186" s="18" t="str">
        <f>"王枫"</f>
        <v>王枫</v>
      </c>
      <c r="D1186" s="18" t="str">
        <f t="shared" si="131"/>
        <v>男</v>
      </c>
      <c r="E1186" s="18" t="str">
        <f>"2022012709"</f>
        <v>2022012709</v>
      </c>
      <c r="F1186" s="18">
        <v>39</v>
      </c>
      <c r="G1186" s="18">
        <v>75</v>
      </c>
      <c r="H1186" s="18"/>
      <c r="I1186" s="18" t="s">
        <v>12</v>
      </c>
    </row>
    <row r="1187" s="1" customFormat="1" customHeight="1" spans="1:9">
      <c r="A1187" s="18" t="str">
        <f t="shared" si="130"/>
        <v>B3F</v>
      </c>
      <c r="B1187" s="19" t="s">
        <v>50</v>
      </c>
      <c r="C1187" s="18" t="str">
        <f>"周航"</f>
        <v>周航</v>
      </c>
      <c r="D1187" s="18" t="str">
        <f t="shared" si="131"/>
        <v>男</v>
      </c>
      <c r="E1187" s="18" t="str">
        <f>"2022012702"</f>
        <v>2022012702</v>
      </c>
      <c r="F1187" s="18">
        <v>35</v>
      </c>
      <c r="G1187" s="18">
        <v>76</v>
      </c>
      <c r="H1187" s="18"/>
      <c r="I1187" s="18" t="s">
        <v>12</v>
      </c>
    </row>
    <row r="1188" s="1" customFormat="1" customHeight="1" spans="1:9">
      <c r="A1188" s="18" t="str">
        <f t="shared" si="130"/>
        <v>B3F</v>
      </c>
      <c r="B1188" s="19" t="s">
        <v>50</v>
      </c>
      <c r="C1188" s="18" t="str">
        <f>"蒋镭"</f>
        <v>蒋镭</v>
      </c>
      <c r="D1188" s="18" t="str">
        <f t="shared" si="131"/>
        <v>男</v>
      </c>
      <c r="E1188" s="18" t="str">
        <f>"2022012731"</f>
        <v>2022012731</v>
      </c>
      <c r="F1188" s="18">
        <v>35</v>
      </c>
      <c r="G1188" s="18">
        <v>76</v>
      </c>
      <c r="H1188" s="18"/>
      <c r="I1188" s="18" t="s">
        <v>12</v>
      </c>
    </row>
    <row r="1189" s="1" customFormat="1" customHeight="1" spans="1:9">
      <c r="A1189" s="18" t="str">
        <f t="shared" si="130"/>
        <v>B3F</v>
      </c>
      <c r="B1189" s="19" t="s">
        <v>50</v>
      </c>
      <c r="C1189" s="18" t="str">
        <f>"吴扬鹏"</f>
        <v>吴扬鹏</v>
      </c>
      <c r="D1189" s="18" t="str">
        <f t="shared" si="131"/>
        <v>男</v>
      </c>
      <c r="E1189" s="18" t="str">
        <f>"2022012519"</f>
        <v>2022012519</v>
      </c>
      <c r="F1189" s="18">
        <v>34</v>
      </c>
      <c r="G1189" s="18">
        <v>78</v>
      </c>
      <c r="H1189" s="18"/>
      <c r="I1189" s="18" t="s">
        <v>12</v>
      </c>
    </row>
    <row r="1190" s="1" customFormat="1" customHeight="1" spans="1:9">
      <c r="A1190" s="18" t="str">
        <f t="shared" si="130"/>
        <v>B3F</v>
      </c>
      <c r="B1190" s="19" t="s">
        <v>50</v>
      </c>
      <c r="C1190" s="18" t="str">
        <f>"华波"</f>
        <v>华波</v>
      </c>
      <c r="D1190" s="18" t="str">
        <f t="shared" si="131"/>
        <v>男</v>
      </c>
      <c r="E1190" s="18" t="str">
        <f>"2022012720"</f>
        <v>2022012720</v>
      </c>
      <c r="F1190" s="18">
        <v>34</v>
      </c>
      <c r="G1190" s="18">
        <v>78</v>
      </c>
      <c r="H1190" s="18"/>
      <c r="I1190" s="18" t="s">
        <v>12</v>
      </c>
    </row>
    <row r="1191" s="1" customFormat="1" customHeight="1" spans="1:9">
      <c r="A1191" s="18" t="str">
        <f t="shared" si="130"/>
        <v>B3F</v>
      </c>
      <c r="B1191" s="19" t="s">
        <v>50</v>
      </c>
      <c r="C1191" s="18" t="str">
        <f>"李建民"</f>
        <v>李建民</v>
      </c>
      <c r="D1191" s="18" t="str">
        <f t="shared" si="131"/>
        <v>男</v>
      </c>
      <c r="E1191" s="18" t="str">
        <f>"2022012725"</f>
        <v>2022012725</v>
      </c>
      <c r="F1191" s="18">
        <v>33</v>
      </c>
      <c r="G1191" s="18">
        <v>80</v>
      </c>
      <c r="H1191" s="18"/>
      <c r="I1191" s="18" t="s">
        <v>12</v>
      </c>
    </row>
    <row r="1192" s="1" customFormat="1" customHeight="1" spans="1:9">
      <c r="A1192" s="18" t="str">
        <f t="shared" si="130"/>
        <v>B3F</v>
      </c>
      <c r="B1192" s="19" t="s">
        <v>50</v>
      </c>
      <c r="C1192" s="18" t="str">
        <f>"银聂"</f>
        <v>银聂</v>
      </c>
      <c r="D1192" s="18" t="str">
        <f t="shared" si="131"/>
        <v>男</v>
      </c>
      <c r="E1192" s="18" t="str">
        <f>"2022012633"</f>
        <v>2022012633</v>
      </c>
      <c r="F1192" s="18">
        <v>32</v>
      </c>
      <c r="G1192" s="18">
        <v>81</v>
      </c>
      <c r="H1192" s="18"/>
      <c r="I1192" s="18" t="s">
        <v>12</v>
      </c>
    </row>
    <row r="1193" s="1" customFormat="1" customHeight="1" spans="1:9">
      <c r="A1193" s="18" t="str">
        <f t="shared" si="130"/>
        <v>B3F</v>
      </c>
      <c r="B1193" s="19" t="s">
        <v>50</v>
      </c>
      <c r="C1193" s="18" t="str">
        <f>"刘超"</f>
        <v>刘超</v>
      </c>
      <c r="D1193" s="18" t="str">
        <f t="shared" si="131"/>
        <v>男</v>
      </c>
      <c r="E1193" s="18" t="str">
        <f>"2022012711"</f>
        <v>2022012711</v>
      </c>
      <c r="F1193" s="18">
        <v>32</v>
      </c>
      <c r="G1193" s="18">
        <v>81</v>
      </c>
      <c r="H1193" s="18"/>
      <c r="I1193" s="18" t="s">
        <v>12</v>
      </c>
    </row>
    <row r="1194" s="1" customFormat="1" customHeight="1" spans="1:9">
      <c r="A1194" s="18" t="str">
        <f t="shared" si="130"/>
        <v>B3F</v>
      </c>
      <c r="B1194" s="19" t="s">
        <v>50</v>
      </c>
      <c r="C1194" s="18" t="str">
        <f>"刘江舟"</f>
        <v>刘江舟</v>
      </c>
      <c r="D1194" s="18" t="str">
        <f t="shared" si="131"/>
        <v>男</v>
      </c>
      <c r="E1194" s="18" t="str">
        <f>"2022012612"</f>
        <v>2022012612</v>
      </c>
      <c r="F1194" s="18">
        <v>30</v>
      </c>
      <c r="G1194" s="18">
        <v>83</v>
      </c>
      <c r="H1194" s="18"/>
      <c r="I1194" s="18" t="s">
        <v>12</v>
      </c>
    </row>
    <row r="1195" s="1" customFormat="1" customHeight="1" spans="1:9">
      <c r="A1195" s="18" t="str">
        <f t="shared" si="130"/>
        <v>B3F</v>
      </c>
      <c r="B1195" s="19" t="s">
        <v>50</v>
      </c>
      <c r="C1195" s="18" t="str">
        <f>"曾庆钰"</f>
        <v>曾庆钰</v>
      </c>
      <c r="D1195" s="18" t="str">
        <f t="shared" si="131"/>
        <v>男</v>
      </c>
      <c r="E1195" s="18" t="str">
        <f>"2022012503"</f>
        <v>2022012503</v>
      </c>
      <c r="F1195" s="18">
        <v>0</v>
      </c>
      <c r="G1195" s="18">
        <v>84</v>
      </c>
      <c r="H1195" s="18" t="s">
        <v>13</v>
      </c>
      <c r="I1195" s="18" t="s">
        <v>12</v>
      </c>
    </row>
    <row r="1196" s="1" customFormat="1" customHeight="1" spans="1:9">
      <c r="A1196" s="18" t="str">
        <f t="shared" si="130"/>
        <v>B3F</v>
      </c>
      <c r="B1196" s="19" t="s">
        <v>50</v>
      </c>
      <c r="C1196" s="18" t="str">
        <f>"李振魁"</f>
        <v>李振魁</v>
      </c>
      <c r="D1196" s="18" t="str">
        <f t="shared" si="131"/>
        <v>男</v>
      </c>
      <c r="E1196" s="18" t="str">
        <f>"2022012506"</f>
        <v>2022012506</v>
      </c>
      <c r="F1196" s="18">
        <v>0</v>
      </c>
      <c r="G1196" s="18">
        <v>84</v>
      </c>
      <c r="H1196" s="18" t="s">
        <v>13</v>
      </c>
      <c r="I1196" s="18" t="s">
        <v>12</v>
      </c>
    </row>
    <row r="1197" s="1" customFormat="1" customHeight="1" spans="1:9">
      <c r="A1197" s="18" t="str">
        <f t="shared" si="130"/>
        <v>B3F</v>
      </c>
      <c r="B1197" s="19" t="s">
        <v>50</v>
      </c>
      <c r="C1197" s="18" t="str">
        <f>"王定"</f>
        <v>王定</v>
      </c>
      <c r="D1197" s="18" t="str">
        <f t="shared" si="131"/>
        <v>男</v>
      </c>
      <c r="E1197" s="18" t="str">
        <f>"2022012509"</f>
        <v>2022012509</v>
      </c>
      <c r="F1197" s="18">
        <v>0</v>
      </c>
      <c r="G1197" s="18">
        <v>84</v>
      </c>
      <c r="H1197" s="18" t="s">
        <v>13</v>
      </c>
      <c r="I1197" s="18" t="s">
        <v>12</v>
      </c>
    </row>
    <row r="1198" s="1" customFormat="1" customHeight="1" spans="1:9">
      <c r="A1198" s="18" t="str">
        <f t="shared" si="130"/>
        <v>B3F</v>
      </c>
      <c r="B1198" s="19" t="s">
        <v>50</v>
      </c>
      <c r="C1198" s="18" t="str">
        <f>"李勇"</f>
        <v>李勇</v>
      </c>
      <c r="D1198" s="18" t="str">
        <f t="shared" si="131"/>
        <v>男</v>
      </c>
      <c r="E1198" s="18" t="str">
        <f>"2022012513"</f>
        <v>2022012513</v>
      </c>
      <c r="F1198" s="18">
        <v>0</v>
      </c>
      <c r="G1198" s="18">
        <v>84</v>
      </c>
      <c r="H1198" s="18" t="s">
        <v>13</v>
      </c>
      <c r="I1198" s="18" t="s">
        <v>12</v>
      </c>
    </row>
    <row r="1199" s="1" customFormat="1" customHeight="1" spans="1:9">
      <c r="A1199" s="18" t="str">
        <f t="shared" si="130"/>
        <v>B3F</v>
      </c>
      <c r="B1199" s="19" t="s">
        <v>50</v>
      </c>
      <c r="C1199" s="18" t="str">
        <f>"杨静"</f>
        <v>杨静</v>
      </c>
      <c r="D1199" s="18" t="str">
        <f t="shared" si="131"/>
        <v>男</v>
      </c>
      <c r="E1199" s="18" t="str">
        <f>"2022012516"</f>
        <v>2022012516</v>
      </c>
      <c r="F1199" s="18">
        <v>0</v>
      </c>
      <c r="G1199" s="18">
        <v>84</v>
      </c>
      <c r="H1199" s="18" t="s">
        <v>13</v>
      </c>
      <c r="I1199" s="18" t="s">
        <v>12</v>
      </c>
    </row>
    <row r="1200" s="1" customFormat="1" customHeight="1" spans="1:9">
      <c r="A1200" s="18" t="str">
        <f t="shared" si="130"/>
        <v>B3F</v>
      </c>
      <c r="B1200" s="19" t="s">
        <v>50</v>
      </c>
      <c r="C1200" s="18" t="str">
        <f>"卿小龙"</f>
        <v>卿小龙</v>
      </c>
      <c r="D1200" s="18" t="str">
        <f t="shared" si="131"/>
        <v>男</v>
      </c>
      <c r="E1200" s="18" t="str">
        <f>"2022012518"</f>
        <v>2022012518</v>
      </c>
      <c r="F1200" s="18">
        <v>0</v>
      </c>
      <c r="G1200" s="18">
        <v>84</v>
      </c>
      <c r="H1200" s="18" t="s">
        <v>13</v>
      </c>
      <c r="I1200" s="18" t="s">
        <v>12</v>
      </c>
    </row>
    <row r="1201" s="1" customFormat="1" customHeight="1" spans="1:9">
      <c r="A1201" s="18" t="str">
        <f t="shared" si="130"/>
        <v>B3F</v>
      </c>
      <c r="B1201" s="19" t="s">
        <v>50</v>
      </c>
      <c r="C1201" s="18" t="str">
        <f>"宁佳林"</f>
        <v>宁佳林</v>
      </c>
      <c r="D1201" s="18" t="str">
        <f t="shared" si="131"/>
        <v>男</v>
      </c>
      <c r="E1201" s="18" t="str">
        <f>"2022012530"</f>
        <v>2022012530</v>
      </c>
      <c r="F1201" s="18">
        <v>0</v>
      </c>
      <c r="G1201" s="18">
        <v>84</v>
      </c>
      <c r="H1201" s="18" t="s">
        <v>13</v>
      </c>
      <c r="I1201" s="18" t="s">
        <v>12</v>
      </c>
    </row>
    <row r="1202" s="1" customFormat="1" customHeight="1" spans="1:9">
      <c r="A1202" s="18" t="str">
        <f t="shared" si="130"/>
        <v>B3F</v>
      </c>
      <c r="B1202" s="19" t="s">
        <v>50</v>
      </c>
      <c r="C1202" s="18" t="str">
        <f>"陈邵伯"</f>
        <v>陈邵伯</v>
      </c>
      <c r="D1202" s="18" t="str">
        <f t="shared" si="131"/>
        <v>男</v>
      </c>
      <c r="E1202" s="18" t="str">
        <f>"2022012607"</f>
        <v>2022012607</v>
      </c>
      <c r="F1202" s="18">
        <v>0</v>
      </c>
      <c r="G1202" s="18">
        <v>84</v>
      </c>
      <c r="H1202" s="18" t="s">
        <v>13</v>
      </c>
      <c r="I1202" s="18" t="s">
        <v>12</v>
      </c>
    </row>
    <row r="1203" s="1" customFormat="1" customHeight="1" spans="1:9">
      <c r="A1203" s="18" t="str">
        <f t="shared" si="130"/>
        <v>B3F</v>
      </c>
      <c r="B1203" s="19" t="s">
        <v>50</v>
      </c>
      <c r="C1203" s="18" t="str">
        <f>"李晨曦"</f>
        <v>李晨曦</v>
      </c>
      <c r="D1203" s="18" t="str">
        <f t="shared" si="131"/>
        <v>男</v>
      </c>
      <c r="E1203" s="18" t="str">
        <f>"2022012611"</f>
        <v>2022012611</v>
      </c>
      <c r="F1203" s="18">
        <v>0</v>
      </c>
      <c r="G1203" s="18">
        <v>84</v>
      </c>
      <c r="H1203" s="18" t="s">
        <v>13</v>
      </c>
      <c r="I1203" s="18" t="s">
        <v>12</v>
      </c>
    </row>
    <row r="1204" s="1" customFormat="1" customHeight="1" spans="1:9">
      <c r="A1204" s="18" t="str">
        <f t="shared" si="130"/>
        <v>B3F</v>
      </c>
      <c r="B1204" s="19" t="s">
        <v>50</v>
      </c>
      <c r="C1204" s="18" t="str">
        <f>"黄滔"</f>
        <v>黄滔</v>
      </c>
      <c r="D1204" s="18" t="str">
        <f t="shared" si="131"/>
        <v>男</v>
      </c>
      <c r="E1204" s="18" t="str">
        <f>"2022012615"</f>
        <v>2022012615</v>
      </c>
      <c r="F1204" s="18">
        <v>0</v>
      </c>
      <c r="G1204" s="18">
        <v>84</v>
      </c>
      <c r="H1204" s="18" t="s">
        <v>13</v>
      </c>
      <c r="I1204" s="18" t="s">
        <v>12</v>
      </c>
    </row>
    <row r="1205" s="1" customFormat="1" customHeight="1" spans="1:9">
      <c r="A1205" s="18" t="str">
        <f t="shared" si="130"/>
        <v>B3F</v>
      </c>
      <c r="B1205" s="19" t="s">
        <v>50</v>
      </c>
      <c r="C1205" s="18" t="str">
        <f>"邓全兵"</f>
        <v>邓全兵</v>
      </c>
      <c r="D1205" s="18" t="str">
        <f t="shared" si="131"/>
        <v>男</v>
      </c>
      <c r="E1205" s="18" t="str">
        <f>"2022012619"</f>
        <v>2022012619</v>
      </c>
      <c r="F1205" s="18">
        <v>0</v>
      </c>
      <c r="G1205" s="18">
        <v>84</v>
      </c>
      <c r="H1205" s="18" t="s">
        <v>13</v>
      </c>
      <c r="I1205" s="18" t="s">
        <v>12</v>
      </c>
    </row>
    <row r="1206" s="1" customFormat="1" customHeight="1" spans="1:9">
      <c r="A1206" s="18" t="str">
        <f t="shared" si="130"/>
        <v>B3F</v>
      </c>
      <c r="B1206" s="19" t="s">
        <v>50</v>
      </c>
      <c r="C1206" s="18" t="str">
        <f>"雷军林"</f>
        <v>雷军林</v>
      </c>
      <c r="D1206" s="18" t="str">
        <f t="shared" si="131"/>
        <v>男</v>
      </c>
      <c r="E1206" s="18" t="str">
        <f>"2022012625"</f>
        <v>2022012625</v>
      </c>
      <c r="F1206" s="18">
        <v>0</v>
      </c>
      <c r="G1206" s="18">
        <v>84</v>
      </c>
      <c r="H1206" s="18" t="s">
        <v>13</v>
      </c>
      <c r="I1206" s="18" t="s">
        <v>12</v>
      </c>
    </row>
    <row r="1207" s="1" customFormat="1" customHeight="1" spans="1:9">
      <c r="A1207" s="18" t="str">
        <f t="shared" si="130"/>
        <v>B3F</v>
      </c>
      <c r="B1207" s="19" t="s">
        <v>50</v>
      </c>
      <c r="C1207" s="18" t="str">
        <f>"欧超"</f>
        <v>欧超</v>
      </c>
      <c r="D1207" s="18" t="str">
        <f t="shared" si="131"/>
        <v>男</v>
      </c>
      <c r="E1207" s="18" t="str">
        <f>"2022012626"</f>
        <v>2022012626</v>
      </c>
      <c r="F1207" s="18">
        <v>0</v>
      </c>
      <c r="G1207" s="18">
        <v>84</v>
      </c>
      <c r="H1207" s="18" t="s">
        <v>13</v>
      </c>
      <c r="I1207" s="18" t="s">
        <v>12</v>
      </c>
    </row>
    <row r="1208" s="1" customFormat="1" customHeight="1" spans="1:9">
      <c r="A1208" s="18" t="str">
        <f t="shared" si="130"/>
        <v>B3F</v>
      </c>
      <c r="B1208" s="19" t="s">
        <v>50</v>
      </c>
      <c r="C1208" s="18" t="str">
        <f>"邓佳"</f>
        <v>邓佳</v>
      </c>
      <c r="D1208" s="18" t="str">
        <f t="shared" si="131"/>
        <v>男</v>
      </c>
      <c r="E1208" s="18" t="str">
        <f>"2022012628"</f>
        <v>2022012628</v>
      </c>
      <c r="F1208" s="18">
        <v>0</v>
      </c>
      <c r="G1208" s="18">
        <v>84</v>
      </c>
      <c r="H1208" s="18" t="s">
        <v>13</v>
      </c>
      <c r="I1208" s="18" t="s">
        <v>12</v>
      </c>
    </row>
    <row r="1209" s="1" customFormat="1" customHeight="1" spans="1:9">
      <c r="A1209" s="18" t="str">
        <f t="shared" si="130"/>
        <v>B3F</v>
      </c>
      <c r="B1209" s="19" t="s">
        <v>50</v>
      </c>
      <c r="C1209" s="18" t="str">
        <f>"陈巍巍"</f>
        <v>陈巍巍</v>
      </c>
      <c r="D1209" s="18" t="str">
        <f t="shared" si="131"/>
        <v>男</v>
      </c>
      <c r="E1209" s="18" t="str">
        <f>"2022012631"</f>
        <v>2022012631</v>
      </c>
      <c r="F1209" s="18">
        <v>0</v>
      </c>
      <c r="G1209" s="18">
        <v>84</v>
      </c>
      <c r="H1209" s="18" t="s">
        <v>13</v>
      </c>
      <c r="I1209" s="18" t="s">
        <v>12</v>
      </c>
    </row>
    <row r="1210" s="1" customFormat="1" customHeight="1" spans="1:9">
      <c r="A1210" s="18" t="str">
        <f t="shared" si="130"/>
        <v>B3F</v>
      </c>
      <c r="B1210" s="19" t="s">
        <v>50</v>
      </c>
      <c r="C1210" s="18" t="str">
        <f>"刘京里"</f>
        <v>刘京里</v>
      </c>
      <c r="D1210" s="18" t="str">
        <f t="shared" si="131"/>
        <v>男</v>
      </c>
      <c r="E1210" s="18" t="str">
        <f>"2022012632"</f>
        <v>2022012632</v>
      </c>
      <c r="F1210" s="18">
        <v>0</v>
      </c>
      <c r="G1210" s="18">
        <v>84</v>
      </c>
      <c r="H1210" s="18" t="s">
        <v>13</v>
      </c>
      <c r="I1210" s="18" t="s">
        <v>12</v>
      </c>
    </row>
    <row r="1211" s="1" customFormat="1" customHeight="1" spans="1:9">
      <c r="A1211" s="18" t="str">
        <f t="shared" si="130"/>
        <v>B3F</v>
      </c>
      <c r="B1211" s="19" t="s">
        <v>50</v>
      </c>
      <c r="C1211" s="18" t="str">
        <f>"曾桂慧"</f>
        <v>曾桂慧</v>
      </c>
      <c r="D1211" s="18" t="str">
        <f t="shared" si="131"/>
        <v>男</v>
      </c>
      <c r="E1211" s="18" t="str">
        <f>"2022012635"</f>
        <v>2022012635</v>
      </c>
      <c r="F1211" s="18">
        <v>0</v>
      </c>
      <c r="G1211" s="18">
        <v>84</v>
      </c>
      <c r="H1211" s="18" t="s">
        <v>13</v>
      </c>
      <c r="I1211" s="18" t="s">
        <v>12</v>
      </c>
    </row>
    <row r="1212" s="1" customFormat="1" customHeight="1" spans="1:9">
      <c r="A1212" s="18" t="str">
        <f t="shared" si="130"/>
        <v>B3F</v>
      </c>
      <c r="B1212" s="19" t="s">
        <v>50</v>
      </c>
      <c r="C1212" s="18" t="str">
        <f>"刘畅"</f>
        <v>刘畅</v>
      </c>
      <c r="D1212" s="18" t="str">
        <f t="shared" si="131"/>
        <v>男</v>
      </c>
      <c r="E1212" s="18" t="str">
        <f>"2022012703"</f>
        <v>2022012703</v>
      </c>
      <c r="F1212" s="18">
        <v>0</v>
      </c>
      <c r="G1212" s="18">
        <v>84</v>
      </c>
      <c r="H1212" s="18" t="s">
        <v>13</v>
      </c>
      <c r="I1212" s="18" t="s">
        <v>12</v>
      </c>
    </row>
    <row r="1213" s="1" customFormat="1" customHeight="1" spans="1:9">
      <c r="A1213" s="18" t="str">
        <f t="shared" si="130"/>
        <v>B3F</v>
      </c>
      <c r="B1213" s="19" t="s">
        <v>50</v>
      </c>
      <c r="C1213" s="18" t="str">
        <f>"罗泉"</f>
        <v>罗泉</v>
      </c>
      <c r="D1213" s="18" t="str">
        <f t="shared" si="131"/>
        <v>男</v>
      </c>
      <c r="E1213" s="18" t="str">
        <f>"2022012705"</f>
        <v>2022012705</v>
      </c>
      <c r="F1213" s="18">
        <v>0</v>
      </c>
      <c r="G1213" s="18">
        <v>84</v>
      </c>
      <c r="H1213" s="18" t="s">
        <v>13</v>
      </c>
      <c r="I1213" s="18" t="s">
        <v>12</v>
      </c>
    </row>
    <row r="1214" s="1" customFormat="1" customHeight="1" spans="1:9">
      <c r="A1214" s="18" t="str">
        <f t="shared" si="130"/>
        <v>B3F</v>
      </c>
      <c r="B1214" s="19" t="s">
        <v>50</v>
      </c>
      <c r="C1214" s="18" t="str">
        <f>"马中修"</f>
        <v>马中修</v>
      </c>
      <c r="D1214" s="18" t="str">
        <f t="shared" si="131"/>
        <v>男</v>
      </c>
      <c r="E1214" s="18" t="str">
        <f>"2022012710"</f>
        <v>2022012710</v>
      </c>
      <c r="F1214" s="18">
        <v>0</v>
      </c>
      <c r="G1214" s="18">
        <v>84</v>
      </c>
      <c r="H1214" s="18" t="s">
        <v>13</v>
      </c>
      <c r="I1214" s="18" t="s">
        <v>12</v>
      </c>
    </row>
    <row r="1215" s="1" customFormat="1" customHeight="1" spans="1:9">
      <c r="A1215" s="18" t="str">
        <f t="shared" si="130"/>
        <v>B3F</v>
      </c>
      <c r="B1215" s="19" t="s">
        <v>50</v>
      </c>
      <c r="C1215" s="18" t="str">
        <f>"杨涛"</f>
        <v>杨涛</v>
      </c>
      <c r="D1215" s="18" t="str">
        <f t="shared" si="131"/>
        <v>男</v>
      </c>
      <c r="E1215" s="18" t="str">
        <f>"2022012714"</f>
        <v>2022012714</v>
      </c>
      <c r="F1215" s="18">
        <v>0</v>
      </c>
      <c r="G1215" s="18">
        <v>84</v>
      </c>
      <c r="H1215" s="18" t="s">
        <v>13</v>
      </c>
      <c r="I1215" s="18" t="s">
        <v>12</v>
      </c>
    </row>
    <row r="1216" s="1" customFormat="1" customHeight="1" spans="1:9">
      <c r="A1216" s="18" t="str">
        <f t="shared" si="130"/>
        <v>B3F</v>
      </c>
      <c r="B1216" s="19" t="s">
        <v>50</v>
      </c>
      <c r="C1216" s="18" t="str">
        <f>"陶文超"</f>
        <v>陶文超</v>
      </c>
      <c r="D1216" s="18" t="str">
        <f t="shared" si="131"/>
        <v>男</v>
      </c>
      <c r="E1216" s="18" t="str">
        <f>"2022012715"</f>
        <v>2022012715</v>
      </c>
      <c r="F1216" s="18">
        <v>0</v>
      </c>
      <c r="G1216" s="18">
        <v>84</v>
      </c>
      <c r="H1216" s="18" t="s">
        <v>13</v>
      </c>
      <c r="I1216" s="18" t="s">
        <v>12</v>
      </c>
    </row>
    <row r="1217" s="1" customFormat="1" customHeight="1" spans="1:9">
      <c r="A1217" s="18" t="str">
        <f t="shared" si="130"/>
        <v>B3F</v>
      </c>
      <c r="B1217" s="19" t="s">
        <v>50</v>
      </c>
      <c r="C1217" s="18" t="str">
        <f>"王文"</f>
        <v>王文</v>
      </c>
      <c r="D1217" s="18" t="str">
        <f t="shared" si="131"/>
        <v>男</v>
      </c>
      <c r="E1217" s="18" t="str">
        <f>"2022012717"</f>
        <v>2022012717</v>
      </c>
      <c r="F1217" s="18">
        <v>0</v>
      </c>
      <c r="G1217" s="18">
        <v>84</v>
      </c>
      <c r="H1217" s="18" t="s">
        <v>13</v>
      </c>
      <c r="I1217" s="18" t="s">
        <v>12</v>
      </c>
    </row>
    <row r="1218" s="1" customFormat="1" customHeight="1" spans="1:9">
      <c r="A1218" s="18" t="str">
        <f t="shared" si="130"/>
        <v>B3F</v>
      </c>
      <c r="B1218" s="19" t="s">
        <v>50</v>
      </c>
      <c r="C1218" s="18" t="str">
        <f>"肖威廉"</f>
        <v>肖威廉</v>
      </c>
      <c r="D1218" s="18" t="str">
        <f t="shared" si="131"/>
        <v>男</v>
      </c>
      <c r="E1218" s="18" t="str">
        <f>"2022012718"</f>
        <v>2022012718</v>
      </c>
      <c r="F1218" s="18">
        <v>0</v>
      </c>
      <c r="G1218" s="18">
        <v>84</v>
      </c>
      <c r="H1218" s="18" t="s">
        <v>13</v>
      </c>
      <c r="I1218" s="18" t="s">
        <v>12</v>
      </c>
    </row>
    <row r="1219" s="1" customFormat="1" customHeight="1" spans="1:9">
      <c r="A1219" s="18" t="str">
        <f t="shared" si="130"/>
        <v>B3F</v>
      </c>
      <c r="B1219" s="19" t="s">
        <v>50</v>
      </c>
      <c r="C1219" s="18" t="str">
        <f>"黄仲三"</f>
        <v>黄仲三</v>
      </c>
      <c r="D1219" s="18" t="str">
        <f t="shared" si="131"/>
        <v>男</v>
      </c>
      <c r="E1219" s="18" t="str">
        <f>"2022012730"</f>
        <v>2022012730</v>
      </c>
      <c r="F1219" s="18">
        <v>0</v>
      </c>
      <c r="G1219" s="18">
        <v>84</v>
      </c>
      <c r="H1219" s="18" t="s">
        <v>13</v>
      </c>
      <c r="I1219" s="18" t="s">
        <v>12</v>
      </c>
    </row>
    <row r="1220" s="1" customFormat="1" customHeight="1" spans="1:9">
      <c r="A1220" s="18" t="str">
        <f t="shared" si="130"/>
        <v>B3F</v>
      </c>
      <c r="B1220" s="19" t="s">
        <v>50</v>
      </c>
      <c r="C1220" s="18" t="str">
        <f>"袁丰"</f>
        <v>袁丰</v>
      </c>
      <c r="D1220" s="18" t="str">
        <f t="shared" si="131"/>
        <v>男</v>
      </c>
      <c r="E1220" s="18" t="str">
        <f>"2022012733"</f>
        <v>2022012733</v>
      </c>
      <c r="F1220" s="18">
        <v>0</v>
      </c>
      <c r="G1220" s="18">
        <v>84</v>
      </c>
      <c r="H1220" s="18" t="s">
        <v>13</v>
      </c>
      <c r="I1220" s="18" t="s">
        <v>12</v>
      </c>
    </row>
    <row r="1221" s="1" customFormat="1" customHeight="1" spans="1:9">
      <c r="A1221" s="18" t="str">
        <f t="shared" si="130"/>
        <v>B3F</v>
      </c>
      <c r="B1221" s="19" t="s">
        <v>50</v>
      </c>
      <c r="C1221" s="18" t="str">
        <f>"戴甲奎"</f>
        <v>戴甲奎</v>
      </c>
      <c r="D1221" s="18" t="str">
        <f t="shared" si="131"/>
        <v>男</v>
      </c>
      <c r="E1221" s="18" t="str">
        <f>"2022012735"</f>
        <v>2022012735</v>
      </c>
      <c r="F1221" s="18">
        <v>0</v>
      </c>
      <c r="G1221" s="18">
        <v>84</v>
      </c>
      <c r="H1221" s="18" t="s">
        <v>13</v>
      </c>
      <c r="I1221" s="18" t="s">
        <v>12</v>
      </c>
    </row>
    <row r="1222" s="1" customFormat="1" customHeight="1" spans="1:9">
      <c r="A1222" s="18" t="str">
        <f t="shared" ref="A1222:A1257" si="132">"B3G"</f>
        <v>B3G</v>
      </c>
      <c r="B1222" s="19" t="s">
        <v>51</v>
      </c>
      <c r="C1222" s="18" t="str">
        <f>"刘盛春"</f>
        <v>刘盛春</v>
      </c>
      <c r="D1222" s="18" t="str">
        <f t="shared" si="131"/>
        <v>男</v>
      </c>
      <c r="E1222" s="18" t="str">
        <f>"2022012814"</f>
        <v>2022012814</v>
      </c>
      <c r="F1222" s="18">
        <v>81</v>
      </c>
      <c r="G1222" s="18">
        <v>1</v>
      </c>
      <c r="H1222" s="18"/>
      <c r="I1222" s="28" t="s">
        <v>11</v>
      </c>
    </row>
    <row r="1223" s="1" customFormat="1" customHeight="1" spans="1:9">
      <c r="A1223" s="18" t="str">
        <f t="shared" si="132"/>
        <v>B3G</v>
      </c>
      <c r="B1223" s="19" t="s">
        <v>51</v>
      </c>
      <c r="C1223" s="18" t="str">
        <f>"何忠涵"</f>
        <v>何忠涵</v>
      </c>
      <c r="D1223" s="18" t="str">
        <f t="shared" si="131"/>
        <v>男</v>
      </c>
      <c r="E1223" s="18" t="str">
        <f>"2022012903"</f>
        <v>2022012903</v>
      </c>
      <c r="F1223" s="18">
        <v>80</v>
      </c>
      <c r="G1223" s="18">
        <v>2</v>
      </c>
      <c r="H1223" s="18"/>
      <c r="I1223" s="28" t="s">
        <v>11</v>
      </c>
    </row>
    <row r="1224" s="1" customFormat="1" customHeight="1" spans="1:9">
      <c r="A1224" s="18" t="str">
        <f t="shared" si="132"/>
        <v>B3G</v>
      </c>
      <c r="B1224" s="19" t="s">
        <v>51</v>
      </c>
      <c r="C1224" s="18" t="str">
        <f>"李鑫"</f>
        <v>李鑫</v>
      </c>
      <c r="D1224" s="18" t="str">
        <f t="shared" si="131"/>
        <v>男</v>
      </c>
      <c r="E1224" s="18" t="str">
        <f>"2022012812"</f>
        <v>2022012812</v>
      </c>
      <c r="F1224" s="18">
        <v>74</v>
      </c>
      <c r="G1224" s="18">
        <v>3</v>
      </c>
      <c r="H1224" s="18"/>
      <c r="I1224" s="18" t="s">
        <v>12</v>
      </c>
    </row>
    <row r="1225" s="1" customFormat="1" customHeight="1" spans="1:9">
      <c r="A1225" s="18" t="str">
        <f t="shared" si="132"/>
        <v>B3G</v>
      </c>
      <c r="B1225" s="19" t="s">
        <v>51</v>
      </c>
      <c r="C1225" s="18" t="str">
        <f>"石宇"</f>
        <v>石宇</v>
      </c>
      <c r="D1225" s="18" t="str">
        <f t="shared" si="131"/>
        <v>男</v>
      </c>
      <c r="E1225" s="18" t="str">
        <f>"2022012808"</f>
        <v>2022012808</v>
      </c>
      <c r="F1225" s="18">
        <v>73</v>
      </c>
      <c r="G1225" s="18">
        <v>4</v>
      </c>
      <c r="H1225" s="18"/>
      <c r="I1225" s="18" t="s">
        <v>12</v>
      </c>
    </row>
    <row r="1226" s="1" customFormat="1" customHeight="1" spans="1:9">
      <c r="A1226" s="18" t="str">
        <f t="shared" si="132"/>
        <v>B3G</v>
      </c>
      <c r="B1226" s="19" t="s">
        <v>51</v>
      </c>
      <c r="C1226" s="18" t="str">
        <f>"李星彪"</f>
        <v>李星彪</v>
      </c>
      <c r="D1226" s="18" t="str">
        <f t="shared" si="131"/>
        <v>男</v>
      </c>
      <c r="E1226" s="18" t="str">
        <f>"2022012833"</f>
        <v>2022012833</v>
      </c>
      <c r="F1226" s="18">
        <v>72</v>
      </c>
      <c r="G1226" s="18">
        <v>5</v>
      </c>
      <c r="H1226" s="18"/>
      <c r="I1226" s="18" t="s">
        <v>12</v>
      </c>
    </row>
    <row r="1227" s="1" customFormat="1" customHeight="1" spans="1:9">
      <c r="A1227" s="18" t="str">
        <f t="shared" si="132"/>
        <v>B3G</v>
      </c>
      <c r="B1227" s="19" t="s">
        <v>51</v>
      </c>
      <c r="C1227" s="18" t="str">
        <f>"陈洪东"</f>
        <v>陈洪东</v>
      </c>
      <c r="D1227" s="18" t="str">
        <f t="shared" si="131"/>
        <v>男</v>
      </c>
      <c r="E1227" s="18" t="str">
        <f>"2022012904"</f>
        <v>2022012904</v>
      </c>
      <c r="F1227" s="18">
        <v>67</v>
      </c>
      <c r="G1227" s="18">
        <v>6</v>
      </c>
      <c r="H1227" s="18"/>
      <c r="I1227" s="18" t="s">
        <v>12</v>
      </c>
    </row>
    <row r="1228" s="1" customFormat="1" customHeight="1" spans="1:9">
      <c r="A1228" s="18" t="str">
        <f t="shared" si="132"/>
        <v>B3G</v>
      </c>
      <c r="B1228" s="19" t="s">
        <v>51</v>
      </c>
      <c r="C1228" s="18" t="str">
        <f>"谭佳春"</f>
        <v>谭佳春</v>
      </c>
      <c r="D1228" s="18" t="str">
        <f t="shared" si="131"/>
        <v>男</v>
      </c>
      <c r="E1228" s="18" t="str">
        <f>"2022012806"</f>
        <v>2022012806</v>
      </c>
      <c r="F1228" s="18">
        <v>61</v>
      </c>
      <c r="G1228" s="18">
        <v>7</v>
      </c>
      <c r="H1228" s="18"/>
      <c r="I1228" s="18" t="s">
        <v>12</v>
      </c>
    </row>
    <row r="1229" s="1" customFormat="1" customHeight="1" spans="1:9">
      <c r="A1229" s="18" t="str">
        <f t="shared" si="132"/>
        <v>B3G</v>
      </c>
      <c r="B1229" s="19" t="s">
        <v>51</v>
      </c>
      <c r="C1229" s="18" t="str">
        <f>"方涌泉"</f>
        <v>方涌泉</v>
      </c>
      <c r="D1229" s="18" t="str">
        <f t="shared" si="131"/>
        <v>男</v>
      </c>
      <c r="E1229" s="18" t="str">
        <f>"2022012827"</f>
        <v>2022012827</v>
      </c>
      <c r="F1229" s="18">
        <v>60</v>
      </c>
      <c r="G1229" s="18">
        <v>8</v>
      </c>
      <c r="H1229" s="18"/>
      <c r="I1229" s="18" t="s">
        <v>12</v>
      </c>
    </row>
    <row r="1230" s="1" customFormat="1" customHeight="1" spans="1:9">
      <c r="A1230" s="18" t="str">
        <f t="shared" si="132"/>
        <v>B3G</v>
      </c>
      <c r="B1230" s="19" t="s">
        <v>51</v>
      </c>
      <c r="C1230" s="18" t="str">
        <f>"曾尚伟"</f>
        <v>曾尚伟</v>
      </c>
      <c r="D1230" s="18" t="str">
        <f t="shared" si="131"/>
        <v>男</v>
      </c>
      <c r="E1230" s="18" t="str">
        <f>"2022012815"</f>
        <v>2022012815</v>
      </c>
      <c r="F1230" s="18">
        <v>59</v>
      </c>
      <c r="G1230" s="18">
        <v>9</v>
      </c>
      <c r="H1230" s="18"/>
      <c r="I1230" s="18" t="s">
        <v>12</v>
      </c>
    </row>
    <row r="1231" s="1" customFormat="1" customHeight="1" spans="1:9">
      <c r="A1231" s="18" t="str">
        <f t="shared" si="132"/>
        <v>B3G</v>
      </c>
      <c r="B1231" s="19" t="s">
        <v>51</v>
      </c>
      <c r="C1231" s="18" t="str">
        <f>"刘检球"</f>
        <v>刘检球</v>
      </c>
      <c r="D1231" s="18" t="str">
        <f t="shared" si="131"/>
        <v>男</v>
      </c>
      <c r="E1231" s="18" t="str">
        <f>"2022012830"</f>
        <v>2022012830</v>
      </c>
      <c r="F1231" s="18">
        <v>59</v>
      </c>
      <c r="G1231" s="18">
        <v>9</v>
      </c>
      <c r="H1231" s="18"/>
      <c r="I1231" s="18" t="s">
        <v>12</v>
      </c>
    </row>
    <row r="1232" s="1" customFormat="1" customHeight="1" spans="1:9">
      <c r="A1232" s="18" t="str">
        <f t="shared" si="132"/>
        <v>B3G</v>
      </c>
      <c r="B1232" s="19" t="s">
        <v>51</v>
      </c>
      <c r="C1232" s="18" t="str">
        <f>"杨谦"</f>
        <v>杨谦</v>
      </c>
      <c r="D1232" s="18" t="str">
        <f t="shared" si="131"/>
        <v>男</v>
      </c>
      <c r="E1232" s="18" t="str">
        <f>"2022012823"</f>
        <v>2022012823</v>
      </c>
      <c r="F1232" s="18">
        <v>56</v>
      </c>
      <c r="G1232" s="18">
        <v>11</v>
      </c>
      <c r="H1232" s="18"/>
      <c r="I1232" s="18" t="s">
        <v>12</v>
      </c>
    </row>
    <row r="1233" s="1" customFormat="1" customHeight="1" spans="1:9">
      <c r="A1233" s="18" t="str">
        <f t="shared" si="132"/>
        <v>B3G</v>
      </c>
      <c r="B1233" s="19" t="s">
        <v>51</v>
      </c>
      <c r="C1233" s="18" t="str">
        <f>"陈敏灵"</f>
        <v>陈敏灵</v>
      </c>
      <c r="D1233" s="18" t="str">
        <f t="shared" si="131"/>
        <v>男</v>
      </c>
      <c r="E1233" s="18" t="str">
        <f>"2022012818"</f>
        <v>2022012818</v>
      </c>
      <c r="F1233" s="18">
        <v>54</v>
      </c>
      <c r="G1233" s="18">
        <v>12</v>
      </c>
      <c r="H1233" s="18"/>
      <c r="I1233" s="18" t="s">
        <v>12</v>
      </c>
    </row>
    <row r="1234" s="1" customFormat="1" customHeight="1" spans="1:9">
      <c r="A1234" s="18" t="str">
        <f t="shared" si="132"/>
        <v>B3G</v>
      </c>
      <c r="B1234" s="19" t="s">
        <v>51</v>
      </c>
      <c r="C1234" s="18" t="str">
        <f>"曾涛"</f>
        <v>曾涛</v>
      </c>
      <c r="D1234" s="18" t="str">
        <f t="shared" si="131"/>
        <v>男</v>
      </c>
      <c r="E1234" s="18" t="str">
        <f>"2022012811"</f>
        <v>2022012811</v>
      </c>
      <c r="F1234" s="18">
        <v>53</v>
      </c>
      <c r="G1234" s="18">
        <v>13</v>
      </c>
      <c r="H1234" s="18"/>
      <c r="I1234" s="18" t="s">
        <v>12</v>
      </c>
    </row>
    <row r="1235" s="1" customFormat="1" customHeight="1" spans="1:9">
      <c r="A1235" s="18" t="str">
        <f t="shared" si="132"/>
        <v>B3G</v>
      </c>
      <c r="B1235" s="19" t="s">
        <v>51</v>
      </c>
      <c r="C1235" s="18" t="str">
        <f>"杨品"</f>
        <v>杨品</v>
      </c>
      <c r="D1235" s="18" t="str">
        <f t="shared" si="131"/>
        <v>男</v>
      </c>
      <c r="E1235" s="18" t="str">
        <f>"2022012817"</f>
        <v>2022012817</v>
      </c>
      <c r="F1235" s="18">
        <v>53</v>
      </c>
      <c r="G1235" s="18">
        <v>13</v>
      </c>
      <c r="H1235" s="18"/>
      <c r="I1235" s="18" t="s">
        <v>12</v>
      </c>
    </row>
    <row r="1236" s="1" customFormat="1" customHeight="1" spans="1:9">
      <c r="A1236" s="18" t="str">
        <f t="shared" si="132"/>
        <v>B3G</v>
      </c>
      <c r="B1236" s="19" t="s">
        <v>51</v>
      </c>
      <c r="C1236" s="18" t="str">
        <f>"雷霆"</f>
        <v>雷霆</v>
      </c>
      <c r="D1236" s="18" t="str">
        <f t="shared" si="131"/>
        <v>男</v>
      </c>
      <c r="E1236" s="18" t="str">
        <f>"2022012824"</f>
        <v>2022012824</v>
      </c>
      <c r="F1236" s="18">
        <v>53</v>
      </c>
      <c r="G1236" s="18">
        <v>13</v>
      </c>
      <c r="H1236" s="18"/>
      <c r="I1236" s="18" t="s">
        <v>12</v>
      </c>
    </row>
    <row r="1237" s="1" customFormat="1" customHeight="1" spans="1:9">
      <c r="A1237" s="18" t="str">
        <f t="shared" si="132"/>
        <v>B3G</v>
      </c>
      <c r="B1237" s="19" t="s">
        <v>51</v>
      </c>
      <c r="C1237" s="18" t="str">
        <f>"罗可"</f>
        <v>罗可</v>
      </c>
      <c r="D1237" s="18" t="str">
        <f t="shared" si="131"/>
        <v>男</v>
      </c>
      <c r="E1237" s="18" t="str">
        <f>"2022012819"</f>
        <v>2022012819</v>
      </c>
      <c r="F1237" s="18">
        <v>47</v>
      </c>
      <c r="G1237" s="18">
        <v>16</v>
      </c>
      <c r="H1237" s="18"/>
      <c r="I1237" s="18" t="s">
        <v>12</v>
      </c>
    </row>
    <row r="1238" s="1" customFormat="1" customHeight="1" spans="1:9">
      <c r="A1238" s="18" t="str">
        <f t="shared" si="132"/>
        <v>B3G</v>
      </c>
      <c r="B1238" s="19" t="s">
        <v>51</v>
      </c>
      <c r="C1238" s="18" t="str">
        <f>"刘彬"</f>
        <v>刘彬</v>
      </c>
      <c r="D1238" s="18" t="str">
        <f t="shared" si="131"/>
        <v>男</v>
      </c>
      <c r="E1238" s="18" t="str">
        <f>"2022012826"</f>
        <v>2022012826</v>
      </c>
      <c r="F1238" s="18">
        <v>47</v>
      </c>
      <c r="G1238" s="18">
        <v>16</v>
      </c>
      <c r="H1238" s="18"/>
      <c r="I1238" s="18" t="s">
        <v>12</v>
      </c>
    </row>
    <row r="1239" s="1" customFormat="1" customHeight="1" spans="1:9">
      <c r="A1239" s="18" t="str">
        <f t="shared" si="132"/>
        <v>B3G</v>
      </c>
      <c r="B1239" s="19" t="s">
        <v>51</v>
      </c>
      <c r="C1239" s="18" t="str">
        <f>"杨焕邦"</f>
        <v>杨焕邦</v>
      </c>
      <c r="D1239" s="18" t="str">
        <f t="shared" si="131"/>
        <v>男</v>
      </c>
      <c r="E1239" s="18" t="str">
        <f>"2022012831"</f>
        <v>2022012831</v>
      </c>
      <c r="F1239" s="18">
        <v>47</v>
      </c>
      <c r="G1239" s="18">
        <v>16</v>
      </c>
      <c r="H1239" s="18"/>
      <c r="I1239" s="18" t="s">
        <v>12</v>
      </c>
    </row>
    <row r="1240" s="1" customFormat="1" customHeight="1" spans="1:9">
      <c r="A1240" s="18" t="str">
        <f t="shared" si="132"/>
        <v>B3G</v>
      </c>
      <c r="B1240" s="19" t="s">
        <v>51</v>
      </c>
      <c r="C1240" s="18" t="str">
        <f>"吴伦广"</f>
        <v>吴伦广</v>
      </c>
      <c r="D1240" s="18" t="str">
        <f t="shared" ref="D1240:D1257" si="133">"男"</f>
        <v>男</v>
      </c>
      <c r="E1240" s="18" t="str">
        <f>"2022012835"</f>
        <v>2022012835</v>
      </c>
      <c r="F1240" s="18">
        <v>47</v>
      </c>
      <c r="G1240" s="18">
        <v>16</v>
      </c>
      <c r="H1240" s="18"/>
      <c r="I1240" s="18" t="s">
        <v>12</v>
      </c>
    </row>
    <row r="1241" s="1" customFormat="1" customHeight="1" spans="1:9">
      <c r="A1241" s="18" t="str">
        <f t="shared" si="132"/>
        <v>B3G</v>
      </c>
      <c r="B1241" s="19" t="s">
        <v>51</v>
      </c>
      <c r="C1241" s="18" t="str">
        <f>"林海峰"</f>
        <v>林海峰</v>
      </c>
      <c r="D1241" s="18" t="str">
        <f t="shared" si="133"/>
        <v>男</v>
      </c>
      <c r="E1241" s="18" t="str">
        <f>"2022012825"</f>
        <v>2022012825</v>
      </c>
      <c r="F1241" s="18">
        <v>42</v>
      </c>
      <c r="G1241" s="18">
        <v>20</v>
      </c>
      <c r="H1241" s="18"/>
      <c r="I1241" s="18" t="s">
        <v>12</v>
      </c>
    </row>
    <row r="1242" s="1" customFormat="1" customHeight="1" spans="1:9">
      <c r="A1242" s="18" t="str">
        <f t="shared" si="132"/>
        <v>B3G</v>
      </c>
      <c r="B1242" s="19" t="s">
        <v>51</v>
      </c>
      <c r="C1242" s="18" t="str">
        <f>"唐杰"</f>
        <v>唐杰</v>
      </c>
      <c r="D1242" s="18" t="str">
        <f t="shared" si="133"/>
        <v>男</v>
      </c>
      <c r="E1242" s="18" t="str">
        <f>"2022012906"</f>
        <v>2022012906</v>
      </c>
      <c r="F1242" s="18">
        <v>42</v>
      </c>
      <c r="G1242" s="18">
        <v>20</v>
      </c>
      <c r="H1242" s="18"/>
      <c r="I1242" s="18" t="s">
        <v>12</v>
      </c>
    </row>
    <row r="1243" s="1" customFormat="1" customHeight="1" spans="1:9">
      <c r="A1243" s="18" t="str">
        <f t="shared" si="132"/>
        <v>B3G</v>
      </c>
      <c r="B1243" s="19" t="s">
        <v>51</v>
      </c>
      <c r="C1243" s="18" t="str">
        <f>"林濠"</f>
        <v>林濠</v>
      </c>
      <c r="D1243" s="18" t="str">
        <f t="shared" si="133"/>
        <v>男</v>
      </c>
      <c r="E1243" s="18" t="str">
        <f>"2022012834"</f>
        <v>2022012834</v>
      </c>
      <c r="F1243" s="18">
        <v>37</v>
      </c>
      <c r="G1243" s="18">
        <v>22</v>
      </c>
      <c r="H1243" s="18"/>
      <c r="I1243" s="18" t="s">
        <v>12</v>
      </c>
    </row>
    <row r="1244" s="1" customFormat="1" customHeight="1" spans="1:9">
      <c r="A1244" s="18" t="str">
        <f t="shared" si="132"/>
        <v>B3G</v>
      </c>
      <c r="B1244" s="19" t="s">
        <v>51</v>
      </c>
      <c r="C1244" s="18" t="str">
        <f>"苏长靖"</f>
        <v>苏长靖</v>
      </c>
      <c r="D1244" s="18" t="str">
        <f t="shared" si="133"/>
        <v>男</v>
      </c>
      <c r="E1244" s="18" t="str">
        <f>"2022012905"</f>
        <v>2022012905</v>
      </c>
      <c r="F1244" s="18">
        <v>35</v>
      </c>
      <c r="G1244" s="18">
        <v>23</v>
      </c>
      <c r="H1244" s="18"/>
      <c r="I1244" s="18" t="s">
        <v>12</v>
      </c>
    </row>
    <row r="1245" s="1" customFormat="1" customHeight="1" spans="1:9">
      <c r="A1245" s="18" t="str">
        <f t="shared" si="132"/>
        <v>B3G</v>
      </c>
      <c r="B1245" s="19" t="s">
        <v>51</v>
      </c>
      <c r="C1245" s="18" t="str">
        <f>"罗雷齐"</f>
        <v>罗雷齐</v>
      </c>
      <c r="D1245" s="18" t="str">
        <f t="shared" si="133"/>
        <v>男</v>
      </c>
      <c r="E1245" s="18" t="str">
        <f>"2022012810"</f>
        <v>2022012810</v>
      </c>
      <c r="F1245" s="18">
        <v>33</v>
      </c>
      <c r="G1245" s="18">
        <v>24</v>
      </c>
      <c r="H1245" s="18"/>
      <c r="I1245" s="18" t="s">
        <v>12</v>
      </c>
    </row>
    <row r="1246" s="1" customFormat="1" customHeight="1" spans="1:9">
      <c r="A1246" s="18" t="str">
        <f t="shared" si="132"/>
        <v>B3G</v>
      </c>
      <c r="B1246" s="19" t="s">
        <v>51</v>
      </c>
      <c r="C1246" s="18" t="str">
        <f>"陆垒"</f>
        <v>陆垒</v>
      </c>
      <c r="D1246" s="18" t="str">
        <f t="shared" si="133"/>
        <v>男</v>
      </c>
      <c r="E1246" s="18" t="str">
        <f>"2022012820"</f>
        <v>2022012820</v>
      </c>
      <c r="F1246" s="18">
        <v>26</v>
      </c>
      <c r="G1246" s="18">
        <v>25</v>
      </c>
      <c r="H1246" s="18"/>
      <c r="I1246" s="18" t="s">
        <v>12</v>
      </c>
    </row>
    <row r="1247" s="1" customFormat="1" customHeight="1" spans="1:9">
      <c r="A1247" s="18" t="str">
        <f t="shared" si="132"/>
        <v>B3G</v>
      </c>
      <c r="B1247" s="19" t="s">
        <v>51</v>
      </c>
      <c r="C1247" s="18" t="str">
        <f>"田源"</f>
        <v>田源</v>
      </c>
      <c r="D1247" s="18" t="str">
        <f t="shared" si="133"/>
        <v>男</v>
      </c>
      <c r="E1247" s="18" t="str">
        <f>"2022012807"</f>
        <v>2022012807</v>
      </c>
      <c r="F1247" s="18">
        <v>0</v>
      </c>
      <c r="G1247" s="18">
        <v>26</v>
      </c>
      <c r="H1247" s="18" t="s">
        <v>13</v>
      </c>
      <c r="I1247" s="18" t="s">
        <v>12</v>
      </c>
    </row>
    <row r="1248" s="1" customFormat="1" customHeight="1" spans="1:9">
      <c r="A1248" s="18" t="str">
        <f t="shared" si="132"/>
        <v>B3G</v>
      </c>
      <c r="B1248" s="19" t="s">
        <v>51</v>
      </c>
      <c r="C1248" s="18" t="str">
        <f>"段政"</f>
        <v>段政</v>
      </c>
      <c r="D1248" s="18" t="str">
        <f t="shared" si="133"/>
        <v>男</v>
      </c>
      <c r="E1248" s="18" t="str">
        <f>"2022012809"</f>
        <v>2022012809</v>
      </c>
      <c r="F1248" s="18">
        <v>0</v>
      </c>
      <c r="G1248" s="18">
        <v>27</v>
      </c>
      <c r="H1248" s="18" t="s">
        <v>13</v>
      </c>
      <c r="I1248" s="18" t="s">
        <v>12</v>
      </c>
    </row>
    <row r="1249" s="1" customFormat="1" customHeight="1" spans="1:9">
      <c r="A1249" s="18" t="str">
        <f t="shared" si="132"/>
        <v>B3G</v>
      </c>
      <c r="B1249" s="19" t="s">
        <v>51</v>
      </c>
      <c r="C1249" s="18" t="str">
        <f>"邓泉"</f>
        <v>邓泉</v>
      </c>
      <c r="D1249" s="18" t="str">
        <f t="shared" si="133"/>
        <v>男</v>
      </c>
      <c r="E1249" s="18" t="str">
        <f>"2022012813"</f>
        <v>2022012813</v>
      </c>
      <c r="F1249" s="18">
        <v>0</v>
      </c>
      <c r="G1249" s="18">
        <v>28</v>
      </c>
      <c r="H1249" s="18" t="s">
        <v>13</v>
      </c>
      <c r="I1249" s="18" t="s">
        <v>12</v>
      </c>
    </row>
    <row r="1250" s="1" customFormat="1" customHeight="1" spans="1:9">
      <c r="A1250" s="18" t="str">
        <f t="shared" si="132"/>
        <v>B3G</v>
      </c>
      <c r="B1250" s="19" t="s">
        <v>51</v>
      </c>
      <c r="C1250" s="18" t="str">
        <f>"张远庸"</f>
        <v>张远庸</v>
      </c>
      <c r="D1250" s="18" t="str">
        <f t="shared" si="133"/>
        <v>男</v>
      </c>
      <c r="E1250" s="18" t="str">
        <f>"2022012816"</f>
        <v>2022012816</v>
      </c>
      <c r="F1250" s="18">
        <v>0</v>
      </c>
      <c r="G1250" s="18">
        <v>29</v>
      </c>
      <c r="H1250" s="18" t="s">
        <v>13</v>
      </c>
      <c r="I1250" s="18" t="s">
        <v>12</v>
      </c>
    </row>
    <row r="1251" s="1" customFormat="1" customHeight="1" spans="1:9">
      <c r="A1251" s="18" t="str">
        <f t="shared" si="132"/>
        <v>B3G</v>
      </c>
      <c r="B1251" s="19" t="s">
        <v>51</v>
      </c>
      <c r="C1251" s="18" t="str">
        <f>"周迎国"</f>
        <v>周迎国</v>
      </c>
      <c r="D1251" s="18" t="str">
        <f t="shared" si="133"/>
        <v>男</v>
      </c>
      <c r="E1251" s="18" t="str">
        <f>"2022012821"</f>
        <v>2022012821</v>
      </c>
      <c r="F1251" s="18">
        <v>0</v>
      </c>
      <c r="G1251" s="18">
        <v>30</v>
      </c>
      <c r="H1251" s="18" t="s">
        <v>13</v>
      </c>
      <c r="I1251" s="18" t="s">
        <v>12</v>
      </c>
    </row>
    <row r="1252" s="1" customFormat="1" customHeight="1" spans="1:9">
      <c r="A1252" s="18" t="str">
        <f t="shared" si="132"/>
        <v>B3G</v>
      </c>
      <c r="B1252" s="19" t="s">
        <v>51</v>
      </c>
      <c r="C1252" s="18" t="str">
        <f>"汪伟丰"</f>
        <v>汪伟丰</v>
      </c>
      <c r="D1252" s="18" t="str">
        <f t="shared" si="133"/>
        <v>男</v>
      </c>
      <c r="E1252" s="18" t="str">
        <f>"2022012822"</f>
        <v>2022012822</v>
      </c>
      <c r="F1252" s="18">
        <v>0</v>
      </c>
      <c r="G1252" s="18">
        <v>31</v>
      </c>
      <c r="H1252" s="18" t="s">
        <v>13</v>
      </c>
      <c r="I1252" s="18" t="s">
        <v>12</v>
      </c>
    </row>
    <row r="1253" s="1" customFormat="1" customHeight="1" spans="1:9">
      <c r="A1253" s="18" t="str">
        <f t="shared" si="132"/>
        <v>B3G</v>
      </c>
      <c r="B1253" s="19" t="s">
        <v>51</v>
      </c>
      <c r="C1253" s="18" t="str">
        <f>"黄旭"</f>
        <v>黄旭</v>
      </c>
      <c r="D1253" s="18" t="str">
        <f t="shared" si="133"/>
        <v>男</v>
      </c>
      <c r="E1253" s="18" t="str">
        <f>"2022012828"</f>
        <v>2022012828</v>
      </c>
      <c r="F1253" s="18">
        <v>0</v>
      </c>
      <c r="G1253" s="18">
        <v>32</v>
      </c>
      <c r="H1253" s="18" t="s">
        <v>13</v>
      </c>
      <c r="I1253" s="18" t="s">
        <v>12</v>
      </c>
    </row>
    <row r="1254" s="1" customFormat="1" customHeight="1" spans="1:9">
      <c r="A1254" s="18" t="str">
        <f t="shared" si="132"/>
        <v>B3G</v>
      </c>
      <c r="B1254" s="19" t="s">
        <v>51</v>
      </c>
      <c r="C1254" s="18" t="str">
        <f>"金科"</f>
        <v>金科</v>
      </c>
      <c r="D1254" s="18" t="str">
        <f t="shared" si="133"/>
        <v>男</v>
      </c>
      <c r="E1254" s="18" t="str">
        <f>"2022012829"</f>
        <v>2022012829</v>
      </c>
      <c r="F1254" s="18">
        <v>0</v>
      </c>
      <c r="G1254" s="18">
        <v>33</v>
      </c>
      <c r="H1254" s="18" t="s">
        <v>13</v>
      </c>
      <c r="I1254" s="18" t="s">
        <v>12</v>
      </c>
    </row>
    <row r="1255" s="1" customFormat="1" customHeight="1" spans="1:9">
      <c r="A1255" s="18" t="str">
        <f t="shared" si="132"/>
        <v>B3G</v>
      </c>
      <c r="B1255" s="19" t="s">
        <v>51</v>
      </c>
      <c r="C1255" s="18" t="str">
        <f>"刘仕柯"</f>
        <v>刘仕柯</v>
      </c>
      <c r="D1255" s="18" t="str">
        <f t="shared" si="133"/>
        <v>男</v>
      </c>
      <c r="E1255" s="18" t="str">
        <f>"2022012832"</f>
        <v>2022012832</v>
      </c>
      <c r="F1255" s="18">
        <v>0</v>
      </c>
      <c r="G1255" s="18">
        <v>34</v>
      </c>
      <c r="H1255" s="18" t="s">
        <v>13</v>
      </c>
      <c r="I1255" s="18" t="s">
        <v>12</v>
      </c>
    </row>
    <row r="1256" s="1" customFormat="1" customHeight="1" spans="1:9">
      <c r="A1256" s="18" t="str">
        <f t="shared" si="132"/>
        <v>B3G</v>
      </c>
      <c r="B1256" s="19" t="s">
        <v>51</v>
      </c>
      <c r="C1256" s="18" t="str">
        <f>"李鑫"</f>
        <v>李鑫</v>
      </c>
      <c r="D1256" s="18" t="str">
        <f t="shared" si="133"/>
        <v>男</v>
      </c>
      <c r="E1256" s="18" t="str">
        <f>"2022012901"</f>
        <v>2022012901</v>
      </c>
      <c r="F1256" s="18">
        <v>0</v>
      </c>
      <c r="G1256" s="18">
        <v>35</v>
      </c>
      <c r="H1256" s="18" t="s">
        <v>13</v>
      </c>
      <c r="I1256" s="18" t="s">
        <v>12</v>
      </c>
    </row>
    <row r="1257" s="1" customFormat="1" customHeight="1" spans="1:9">
      <c r="A1257" s="18" t="str">
        <f t="shared" si="132"/>
        <v>B3G</v>
      </c>
      <c r="B1257" s="19" t="s">
        <v>51</v>
      </c>
      <c r="C1257" s="18" t="str">
        <f>"邓胜"</f>
        <v>邓胜</v>
      </c>
      <c r="D1257" s="18" t="str">
        <f t="shared" si="133"/>
        <v>男</v>
      </c>
      <c r="E1257" s="18" t="str">
        <f>"2022012902"</f>
        <v>2022012902</v>
      </c>
      <c r="F1257" s="18">
        <v>0</v>
      </c>
      <c r="G1257" s="18">
        <v>36</v>
      </c>
      <c r="H1257" s="18" t="s">
        <v>13</v>
      </c>
      <c r="I1257" s="18" t="s">
        <v>12</v>
      </c>
    </row>
    <row r="1258" s="1" customFormat="1" customHeight="1" spans="1:9">
      <c r="A1258" s="18" t="str">
        <f t="shared" ref="A1258:A1321" si="134">"B4F"</f>
        <v>B4F</v>
      </c>
      <c r="B1258" s="19" t="s">
        <v>52</v>
      </c>
      <c r="C1258" s="18" t="str">
        <f>"张年香"</f>
        <v>张年香</v>
      </c>
      <c r="D1258" s="18" t="str">
        <f t="shared" ref="D1258:D1321" si="135">"女"</f>
        <v>女</v>
      </c>
      <c r="E1258" s="18" t="str">
        <f>"2022012914"</f>
        <v>2022012914</v>
      </c>
      <c r="F1258" s="18">
        <v>88</v>
      </c>
      <c r="G1258" s="18">
        <v>1</v>
      </c>
      <c r="H1258" s="18"/>
      <c r="I1258" s="28" t="s">
        <v>11</v>
      </c>
    </row>
    <row r="1259" s="1" customFormat="1" customHeight="1" spans="1:9">
      <c r="A1259" s="18" t="str">
        <f t="shared" si="134"/>
        <v>B4F</v>
      </c>
      <c r="B1259" s="19" t="s">
        <v>52</v>
      </c>
      <c r="C1259" s="18" t="str">
        <f>"李瑶"</f>
        <v>李瑶</v>
      </c>
      <c r="D1259" s="18" t="str">
        <f t="shared" si="135"/>
        <v>女</v>
      </c>
      <c r="E1259" s="18" t="str">
        <f>"2022013006"</f>
        <v>2022013006</v>
      </c>
      <c r="F1259" s="18">
        <v>85</v>
      </c>
      <c r="G1259" s="18">
        <v>2</v>
      </c>
      <c r="H1259" s="18"/>
      <c r="I1259" s="28" t="s">
        <v>11</v>
      </c>
    </row>
    <row r="1260" s="1" customFormat="1" customHeight="1" spans="1:9">
      <c r="A1260" s="18" t="str">
        <f t="shared" si="134"/>
        <v>B4F</v>
      </c>
      <c r="B1260" s="19" t="s">
        <v>52</v>
      </c>
      <c r="C1260" s="18" t="str">
        <f>"张圆花"</f>
        <v>张圆花</v>
      </c>
      <c r="D1260" s="18" t="str">
        <f t="shared" si="135"/>
        <v>女</v>
      </c>
      <c r="E1260" s="18" t="str">
        <f>"2022013220"</f>
        <v>2022013220</v>
      </c>
      <c r="F1260" s="18">
        <v>84</v>
      </c>
      <c r="G1260" s="18">
        <v>3</v>
      </c>
      <c r="H1260" s="18"/>
      <c r="I1260" s="18" t="s">
        <v>12</v>
      </c>
    </row>
    <row r="1261" s="1" customFormat="1" customHeight="1" spans="1:9">
      <c r="A1261" s="18" t="str">
        <f t="shared" si="134"/>
        <v>B4F</v>
      </c>
      <c r="B1261" s="19" t="s">
        <v>52</v>
      </c>
      <c r="C1261" s="18" t="str">
        <f>"殷娜"</f>
        <v>殷娜</v>
      </c>
      <c r="D1261" s="18" t="str">
        <f t="shared" si="135"/>
        <v>女</v>
      </c>
      <c r="E1261" s="18" t="str">
        <f>"2022013323"</f>
        <v>2022013323</v>
      </c>
      <c r="F1261" s="18">
        <v>84</v>
      </c>
      <c r="G1261" s="18">
        <v>3</v>
      </c>
      <c r="H1261" s="18"/>
      <c r="I1261" s="18" t="s">
        <v>12</v>
      </c>
    </row>
    <row r="1262" s="1" customFormat="1" customHeight="1" spans="1:9">
      <c r="A1262" s="18" t="str">
        <f t="shared" si="134"/>
        <v>B4F</v>
      </c>
      <c r="B1262" s="19" t="s">
        <v>52</v>
      </c>
      <c r="C1262" s="18" t="str">
        <f>"肖美艳"</f>
        <v>肖美艳</v>
      </c>
      <c r="D1262" s="18" t="str">
        <f t="shared" si="135"/>
        <v>女</v>
      </c>
      <c r="E1262" s="18" t="str">
        <f>"2022013218"</f>
        <v>2022013218</v>
      </c>
      <c r="F1262" s="18">
        <v>83</v>
      </c>
      <c r="G1262" s="18">
        <v>5</v>
      </c>
      <c r="H1262" s="18"/>
      <c r="I1262" s="18" t="s">
        <v>12</v>
      </c>
    </row>
    <row r="1263" s="1" customFormat="1" customHeight="1" spans="1:9">
      <c r="A1263" s="18" t="str">
        <f t="shared" si="134"/>
        <v>B4F</v>
      </c>
      <c r="B1263" s="19" t="s">
        <v>52</v>
      </c>
      <c r="C1263" s="18" t="str">
        <f>"邓焰之"</f>
        <v>邓焰之</v>
      </c>
      <c r="D1263" s="18" t="str">
        <f t="shared" si="135"/>
        <v>女</v>
      </c>
      <c r="E1263" s="18" t="str">
        <f>"2022013016"</f>
        <v>2022013016</v>
      </c>
      <c r="F1263" s="18">
        <v>82</v>
      </c>
      <c r="G1263" s="18">
        <v>6</v>
      </c>
      <c r="H1263" s="18"/>
      <c r="I1263" s="18" t="s">
        <v>12</v>
      </c>
    </row>
    <row r="1264" s="1" customFormat="1" customHeight="1" spans="1:9">
      <c r="A1264" s="18" t="str">
        <f t="shared" si="134"/>
        <v>B4F</v>
      </c>
      <c r="B1264" s="19" t="s">
        <v>52</v>
      </c>
      <c r="C1264" s="18" t="str">
        <f>"王盼"</f>
        <v>王盼</v>
      </c>
      <c r="D1264" s="18" t="str">
        <f t="shared" si="135"/>
        <v>女</v>
      </c>
      <c r="E1264" s="18" t="str">
        <f>"2022013411"</f>
        <v>2022013411</v>
      </c>
      <c r="F1264" s="18">
        <v>82</v>
      </c>
      <c r="G1264" s="18">
        <v>6</v>
      </c>
      <c r="H1264" s="18"/>
      <c r="I1264" s="18" t="s">
        <v>12</v>
      </c>
    </row>
    <row r="1265" s="1" customFormat="1" customHeight="1" spans="1:9">
      <c r="A1265" s="18" t="str">
        <f t="shared" si="134"/>
        <v>B4F</v>
      </c>
      <c r="B1265" s="19" t="s">
        <v>52</v>
      </c>
      <c r="C1265" s="18" t="str">
        <f>"梁春艳"</f>
        <v>梁春艳</v>
      </c>
      <c r="D1265" s="18" t="str">
        <f t="shared" si="135"/>
        <v>女</v>
      </c>
      <c r="E1265" s="18" t="str">
        <f>"2022012925"</f>
        <v>2022012925</v>
      </c>
      <c r="F1265" s="18">
        <v>81</v>
      </c>
      <c r="G1265" s="18">
        <v>8</v>
      </c>
      <c r="H1265" s="18"/>
      <c r="I1265" s="18" t="s">
        <v>12</v>
      </c>
    </row>
    <row r="1266" s="1" customFormat="1" customHeight="1" spans="1:9">
      <c r="A1266" s="18" t="str">
        <f t="shared" si="134"/>
        <v>B4F</v>
      </c>
      <c r="B1266" s="19" t="s">
        <v>52</v>
      </c>
      <c r="C1266" s="18" t="str">
        <f>"陈颖臻"</f>
        <v>陈颖臻</v>
      </c>
      <c r="D1266" s="18" t="str">
        <f t="shared" si="135"/>
        <v>女</v>
      </c>
      <c r="E1266" s="18" t="str">
        <f>"2022012929"</f>
        <v>2022012929</v>
      </c>
      <c r="F1266" s="18">
        <v>81</v>
      </c>
      <c r="G1266" s="18">
        <v>8</v>
      </c>
      <c r="H1266" s="18"/>
      <c r="I1266" s="18" t="s">
        <v>12</v>
      </c>
    </row>
    <row r="1267" s="1" customFormat="1" customHeight="1" spans="1:9">
      <c r="A1267" s="18" t="str">
        <f t="shared" si="134"/>
        <v>B4F</v>
      </c>
      <c r="B1267" s="19" t="s">
        <v>52</v>
      </c>
      <c r="C1267" s="18" t="str">
        <f>"舒璇"</f>
        <v>舒璇</v>
      </c>
      <c r="D1267" s="18" t="str">
        <f t="shared" si="135"/>
        <v>女</v>
      </c>
      <c r="E1267" s="18" t="str">
        <f>"2022013132"</f>
        <v>2022013132</v>
      </c>
      <c r="F1267" s="18">
        <v>81</v>
      </c>
      <c r="G1267" s="18">
        <v>8</v>
      </c>
      <c r="H1267" s="18"/>
      <c r="I1267" s="18" t="s">
        <v>12</v>
      </c>
    </row>
    <row r="1268" s="1" customFormat="1" customHeight="1" spans="1:9">
      <c r="A1268" s="18" t="str">
        <f t="shared" si="134"/>
        <v>B4F</v>
      </c>
      <c r="B1268" s="19" t="s">
        <v>52</v>
      </c>
      <c r="C1268" s="18" t="str">
        <f>"李美凤"</f>
        <v>李美凤</v>
      </c>
      <c r="D1268" s="18" t="str">
        <f t="shared" si="135"/>
        <v>女</v>
      </c>
      <c r="E1268" s="18" t="str">
        <f>"2022013331"</f>
        <v>2022013331</v>
      </c>
      <c r="F1268" s="18">
        <v>81</v>
      </c>
      <c r="G1268" s="18">
        <v>8</v>
      </c>
      <c r="H1268" s="18"/>
      <c r="I1268" s="18" t="s">
        <v>12</v>
      </c>
    </row>
    <row r="1269" s="1" customFormat="1" customHeight="1" spans="1:9">
      <c r="A1269" s="18" t="str">
        <f t="shared" si="134"/>
        <v>B4F</v>
      </c>
      <c r="B1269" s="19" t="s">
        <v>52</v>
      </c>
      <c r="C1269" s="18" t="str">
        <f>"王婷"</f>
        <v>王婷</v>
      </c>
      <c r="D1269" s="18" t="str">
        <f t="shared" si="135"/>
        <v>女</v>
      </c>
      <c r="E1269" s="18" t="str">
        <f>"2022012915"</f>
        <v>2022012915</v>
      </c>
      <c r="F1269" s="18">
        <v>80</v>
      </c>
      <c r="G1269" s="18">
        <v>12</v>
      </c>
      <c r="H1269" s="18"/>
      <c r="I1269" s="18" t="s">
        <v>12</v>
      </c>
    </row>
    <row r="1270" s="1" customFormat="1" customHeight="1" spans="1:9">
      <c r="A1270" s="18" t="str">
        <f t="shared" si="134"/>
        <v>B4F</v>
      </c>
      <c r="B1270" s="19" t="s">
        <v>52</v>
      </c>
      <c r="C1270" s="18" t="str">
        <f>"杨洛川"</f>
        <v>杨洛川</v>
      </c>
      <c r="D1270" s="18" t="str">
        <f t="shared" si="135"/>
        <v>女</v>
      </c>
      <c r="E1270" s="18" t="str">
        <f>"2022013003"</f>
        <v>2022013003</v>
      </c>
      <c r="F1270" s="18">
        <v>80</v>
      </c>
      <c r="G1270" s="18">
        <v>12</v>
      </c>
      <c r="H1270" s="18"/>
      <c r="I1270" s="18" t="s">
        <v>12</v>
      </c>
    </row>
    <row r="1271" s="1" customFormat="1" customHeight="1" spans="1:9">
      <c r="A1271" s="18" t="str">
        <f t="shared" si="134"/>
        <v>B4F</v>
      </c>
      <c r="B1271" s="19" t="s">
        <v>52</v>
      </c>
      <c r="C1271" s="18" t="str">
        <f>"周彩霞"</f>
        <v>周彩霞</v>
      </c>
      <c r="D1271" s="18" t="str">
        <f t="shared" si="135"/>
        <v>女</v>
      </c>
      <c r="E1271" s="18" t="str">
        <f>"2022013034"</f>
        <v>2022013034</v>
      </c>
      <c r="F1271" s="18">
        <v>80</v>
      </c>
      <c r="G1271" s="18">
        <v>12</v>
      </c>
      <c r="H1271" s="18"/>
      <c r="I1271" s="18" t="s">
        <v>12</v>
      </c>
    </row>
    <row r="1272" s="1" customFormat="1" customHeight="1" spans="1:9">
      <c r="A1272" s="18" t="str">
        <f t="shared" si="134"/>
        <v>B4F</v>
      </c>
      <c r="B1272" s="19" t="s">
        <v>52</v>
      </c>
      <c r="C1272" s="18" t="str">
        <f>"龚小平"</f>
        <v>龚小平</v>
      </c>
      <c r="D1272" s="18" t="str">
        <f t="shared" si="135"/>
        <v>女</v>
      </c>
      <c r="E1272" s="18" t="str">
        <f>"2022013402"</f>
        <v>2022013402</v>
      </c>
      <c r="F1272" s="18">
        <v>79</v>
      </c>
      <c r="G1272" s="18">
        <v>15</v>
      </c>
      <c r="H1272" s="18"/>
      <c r="I1272" s="18" t="s">
        <v>12</v>
      </c>
    </row>
    <row r="1273" s="1" customFormat="1" customHeight="1" spans="1:9">
      <c r="A1273" s="18" t="str">
        <f t="shared" si="134"/>
        <v>B4F</v>
      </c>
      <c r="B1273" s="19" t="s">
        <v>52</v>
      </c>
      <c r="C1273" s="18" t="str">
        <f>"杨发香"</f>
        <v>杨发香</v>
      </c>
      <c r="D1273" s="18" t="str">
        <f t="shared" si="135"/>
        <v>女</v>
      </c>
      <c r="E1273" s="18" t="str">
        <f>"2022013007"</f>
        <v>2022013007</v>
      </c>
      <c r="F1273" s="18">
        <v>78</v>
      </c>
      <c r="G1273" s="18">
        <v>16</v>
      </c>
      <c r="H1273" s="18"/>
      <c r="I1273" s="18" t="s">
        <v>12</v>
      </c>
    </row>
    <row r="1274" s="1" customFormat="1" customHeight="1" spans="1:9">
      <c r="A1274" s="18" t="str">
        <f t="shared" si="134"/>
        <v>B4F</v>
      </c>
      <c r="B1274" s="19" t="s">
        <v>52</v>
      </c>
      <c r="C1274" s="18" t="str">
        <f>"唐春燕"</f>
        <v>唐春燕</v>
      </c>
      <c r="D1274" s="18" t="str">
        <f t="shared" si="135"/>
        <v>女</v>
      </c>
      <c r="E1274" s="18" t="str">
        <f>"2022013023"</f>
        <v>2022013023</v>
      </c>
      <c r="F1274" s="18">
        <v>78</v>
      </c>
      <c r="G1274" s="18">
        <v>16</v>
      </c>
      <c r="H1274" s="18"/>
      <c r="I1274" s="18" t="s">
        <v>12</v>
      </c>
    </row>
    <row r="1275" s="1" customFormat="1" customHeight="1" spans="1:9">
      <c r="A1275" s="18" t="str">
        <f t="shared" si="134"/>
        <v>B4F</v>
      </c>
      <c r="B1275" s="19" t="s">
        <v>52</v>
      </c>
      <c r="C1275" s="18" t="str">
        <f>"雷利群"</f>
        <v>雷利群</v>
      </c>
      <c r="D1275" s="18" t="str">
        <f t="shared" si="135"/>
        <v>女</v>
      </c>
      <c r="E1275" s="18" t="str">
        <f>"2022013226"</f>
        <v>2022013226</v>
      </c>
      <c r="F1275" s="18">
        <v>78</v>
      </c>
      <c r="G1275" s="18">
        <v>16</v>
      </c>
      <c r="H1275" s="18"/>
      <c r="I1275" s="18" t="s">
        <v>12</v>
      </c>
    </row>
    <row r="1276" s="1" customFormat="1" customHeight="1" spans="1:9">
      <c r="A1276" s="18" t="str">
        <f t="shared" si="134"/>
        <v>B4F</v>
      </c>
      <c r="B1276" s="19" t="s">
        <v>52</v>
      </c>
      <c r="C1276" s="18" t="str">
        <f>"陈书婷"</f>
        <v>陈书婷</v>
      </c>
      <c r="D1276" s="18" t="str">
        <f t="shared" si="135"/>
        <v>女</v>
      </c>
      <c r="E1276" s="18" t="str">
        <f>"2022013214"</f>
        <v>2022013214</v>
      </c>
      <c r="F1276" s="18">
        <v>77</v>
      </c>
      <c r="G1276" s="18">
        <v>19</v>
      </c>
      <c r="H1276" s="18"/>
      <c r="I1276" s="18" t="s">
        <v>12</v>
      </c>
    </row>
    <row r="1277" s="1" customFormat="1" customHeight="1" spans="1:9">
      <c r="A1277" s="18" t="str">
        <f t="shared" si="134"/>
        <v>B4F</v>
      </c>
      <c r="B1277" s="19" t="s">
        <v>52</v>
      </c>
      <c r="C1277" s="18" t="str">
        <f>"汪少芳"</f>
        <v>汪少芳</v>
      </c>
      <c r="D1277" s="18" t="str">
        <f t="shared" si="135"/>
        <v>女</v>
      </c>
      <c r="E1277" s="18" t="str">
        <f>"2022013309"</f>
        <v>2022013309</v>
      </c>
      <c r="F1277" s="18">
        <v>77</v>
      </c>
      <c r="G1277" s="18">
        <v>19</v>
      </c>
      <c r="H1277" s="18"/>
      <c r="I1277" s="18" t="s">
        <v>12</v>
      </c>
    </row>
    <row r="1278" s="1" customFormat="1" customHeight="1" spans="1:9">
      <c r="A1278" s="18" t="str">
        <f t="shared" si="134"/>
        <v>B4F</v>
      </c>
      <c r="B1278" s="19" t="s">
        <v>52</v>
      </c>
      <c r="C1278" s="18" t="str">
        <f>"许月"</f>
        <v>许月</v>
      </c>
      <c r="D1278" s="18" t="str">
        <f t="shared" si="135"/>
        <v>女</v>
      </c>
      <c r="E1278" s="18" t="str">
        <f>"2022013405"</f>
        <v>2022013405</v>
      </c>
      <c r="F1278" s="18">
        <v>77</v>
      </c>
      <c r="G1278" s="18">
        <v>19</v>
      </c>
      <c r="H1278" s="18"/>
      <c r="I1278" s="18" t="s">
        <v>12</v>
      </c>
    </row>
    <row r="1279" s="1" customFormat="1" customHeight="1" spans="1:9">
      <c r="A1279" s="18" t="str">
        <f t="shared" si="134"/>
        <v>B4F</v>
      </c>
      <c r="B1279" s="19" t="s">
        <v>52</v>
      </c>
      <c r="C1279" s="18" t="str">
        <f>"梁秀莲"</f>
        <v>梁秀莲</v>
      </c>
      <c r="D1279" s="18" t="str">
        <f t="shared" si="135"/>
        <v>女</v>
      </c>
      <c r="E1279" s="18" t="str">
        <f>"2022013201"</f>
        <v>2022013201</v>
      </c>
      <c r="F1279" s="18">
        <v>76</v>
      </c>
      <c r="G1279" s="18">
        <v>22</v>
      </c>
      <c r="H1279" s="18"/>
      <c r="I1279" s="18" t="s">
        <v>12</v>
      </c>
    </row>
    <row r="1280" s="1" customFormat="1" customHeight="1" spans="1:9">
      <c r="A1280" s="18" t="str">
        <f t="shared" si="134"/>
        <v>B4F</v>
      </c>
      <c r="B1280" s="19" t="s">
        <v>52</v>
      </c>
      <c r="C1280" s="18" t="str">
        <f>"华艳君"</f>
        <v>华艳君</v>
      </c>
      <c r="D1280" s="18" t="str">
        <f t="shared" si="135"/>
        <v>女</v>
      </c>
      <c r="E1280" s="18" t="str">
        <f>"2022013021"</f>
        <v>2022013021</v>
      </c>
      <c r="F1280" s="18">
        <v>74</v>
      </c>
      <c r="G1280" s="18">
        <v>23</v>
      </c>
      <c r="H1280" s="18"/>
      <c r="I1280" s="18" t="s">
        <v>12</v>
      </c>
    </row>
    <row r="1281" s="1" customFormat="1" customHeight="1" spans="1:9">
      <c r="A1281" s="18" t="str">
        <f t="shared" si="134"/>
        <v>B4F</v>
      </c>
      <c r="B1281" s="19" t="s">
        <v>52</v>
      </c>
      <c r="C1281" s="18" t="str">
        <f>"伍羊林"</f>
        <v>伍羊林</v>
      </c>
      <c r="D1281" s="18" t="str">
        <f t="shared" si="135"/>
        <v>女</v>
      </c>
      <c r="E1281" s="18" t="str">
        <f>"2022013329"</f>
        <v>2022013329</v>
      </c>
      <c r="F1281" s="18">
        <v>74</v>
      </c>
      <c r="G1281" s="18">
        <v>23</v>
      </c>
      <c r="H1281" s="18"/>
      <c r="I1281" s="18" t="s">
        <v>12</v>
      </c>
    </row>
    <row r="1282" s="1" customFormat="1" customHeight="1" spans="1:9">
      <c r="A1282" s="18" t="str">
        <f t="shared" si="134"/>
        <v>B4F</v>
      </c>
      <c r="B1282" s="19" t="s">
        <v>52</v>
      </c>
      <c r="C1282" s="18" t="str">
        <f>"杨碧霞"</f>
        <v>杨碧霞</v>
      </c>
      <c r="D1282" s="18" t="str">
        <f t="shared" si="135"/>
        <v>女</v>
      </c>
      <c r="E1282" s="18" t="str">
        <f>"2022012933"</f>
        <v>2022012933</v>
      </c>
      <c r="F1282" s="18">
        <v>73</v>
      </c>
      <c r="G1282" s="18">
        <v>25</v>
      </c>
      <c r="H1282" s="18"/>
      <c r="I1282" s="18" t="s">
        <v>12</v>
      </c>
    </row>
    <row r="1283" s="1" customFormat="1" customHeight="1" spans="1:9">
      <c r="A1283" s="18" t="str">
        <f t="shared" si="134"/>
        <v>B4F</v>
      </c>
      <c r="B1283" s="19" t="s">
        <v>52</v>
      </c>
      <c r="C1283" s="18" t="str">
        <f>"李述达"</f>
        <v>李述达</v>
      </c>
      <c r="D1283" s="18" t="str">
        <f t="shared" si="135"/>
        <v>女</v>
      </c>
      <c r="E1283" s="18" t="str">
        <f>"2022013013"</f>
        <v>2022013013</v>
      </c>
      <c r="F1283" s="18">
        <v>73</v>
      </c>
      <c r="G1283" s="18">
        <v>25</v>
      </c>
      <c r="H1283" s="18"/>
      <c r="I1283" s="18" t="s">
        <v>12</v>
      </c>
    </row>
    <row r="1284" s="1" customFormat="1" customHeight="1" spans="1:9">
      <c r="A1284" s="18" t="str">
        <f t="shared" si="134"/>
        <v>B4F</v>
      </c>
      <c r="B1284" s="19" t="s">
        <v>52</v>
      </c>
      <c r="C1284" s="18" t="str">
        <f>"黄桃丽"</f>
        <v>黄桃丽</v>
      </c>
      <c r="D1284" s="18" t="str">
        <f t="shared" si="135"/>
        <v>女</v>
      </c>
      <c r="E1284" s="18" t="str">
        <f>"2022013113"</f>
        <v>2022013113</v>
      </c>
      <c r="F1284" s="18">
        <v>73</v>
      </c>
      <c r="G1284" s="18">
        <v>25</v>
      </c>
      <c r="H1284" s="18"/>
      <c r="I1284" s="18" t="s">
        <v>12</v>
      </c>
    </row>
    <row r="1285" s="1" customFormat="1" customHeight="1" spans="1:9">
      <c r="A1285" s="18" t="str">
        <f t="shared" si="134"/>
        <v>B4F</v>
      </c>
      <c r="B1285" s="19" t="s">
        <v>52</v>
      </c>
      <c r="C1285" s="18" t="str">
        <f>"刘情"</f>
        <v>刘情</v>
      </c>
      <c r="D1285" s="18" t="str">
        <f t="shared" si="135"/>
        <v>女</v>
      </c>
      <c r="E1285" s="18" t="str">
        <f>"2022013209"</f>
        <v>2022013209</v>
      </c>
      <c r="F1285" s="18">
        <v>72</v>
      </c>
      <c r="G1285" s="18">
        <v>28</v>
      </c>
      <c r="H1285" s="18"/>
      <c r="I1285" s="18" t="s">
        <v>12</v>
      </c>
    </row>
    <row r="1286" s="1" customFormat="1" customHeight="1" spans="1:9">
      <c r="A1286" s="18" t="str">
        <f t="shared" si="134"/>
        <v>B4F</v>
      </c>
      <c r="B1286" s="19" t="s">
        <v>52</v>
      </c>
      <c r="C1286" s="18" t="str">
        <f>"黄秋丽"</f>
        <v>黄秋丽</v>
      </c>
      <c r="D1286" s="18" t="str">
        <f t="shared" si="135"/>
        <v>女</v>
      </c>
      <c r="E1286" s="18" t="str">
        <f>"2022013210"</f>
        <v>2022013210</v>
      </c>
      <c r="F1286" s="18">
        <v>72</v>
      </c>
      <c r="G1286" s="18">
        <v>28</v>
      </c>
      <c r="H1286" s="18"/>
      <c r="I1286" s="18" t="s">
        <v>12</v>
      </c>
    </row>
    <row r="1287" s="1" customFormat="1" customHeight="1" spans="1:9">
      <c r="A1287" s="18" t="str">
        <f t="shared" si="134"/>
        <v>B4F</v>
      </c>
      <c r="B1287" s="19" t="s">
        <v>52</v>
      </c>
      <c r="C1287" s="18" t="str">
        <f>"王霞"</f>
        <v>王霞</v>
      </c>
      <c r="D1287" s="18" t="str">
        <f t="shared" si="135"/>
        <v>女</v>
      </c>
      <c r="E1287" s="18" t="str">
        <f>"2022013221"</f>
        <v>2022013221</v>
      </c>
      <c r="F1287" s="18">
        <v>71</v>
      </c>
      <c r="G1287" s="18">
        <v>30</v>
      </c>
      <c r="H1287" s="18"/>
      <c r="I1287" s="18" t="s">
        <v>12</v>
      </c>
    </row>
    <row r="1288" s="1" customFormat="1" customHeight="1" spans="1:9">
      <c r="A1288" s="18" t="str">
        <f t="shared" si="134"/>
        <v>B4F</v>
      </c>
      <c r="B1288" s="19" t="s">
        <v>52</v>
      </c>
      <c r="C1288" s="18" t="str">
        <f>"银艳阳"</f>
        <v>银艳阳</v>
      </c>
      <c r="D1288" s="18" t="str">
        <f t="shared" si="135"/>
        <v>女</v>
      </c>
      <c r="E1288" s="18" t="str">
        <f>"2022013401"</f>
        <v>2022013401</v>
      </c>
      <c r="F1288" s="18">
        <v>71</v>
      </c>
      <c r="G1288" s="18">
        <v>30</v>
      </c>
      <c r="H1288" s="18"/>
      <c r="I1288" s="18" t="s">
        <v>12</v>
      </c>
    </row>
    <row r="1289" s="1" customFormat="1" customHeight="1" spans="1:9">
      <c r="A1289" s="18" t="str">
        <f t="shared" si="134"/>
        <v>B4F</v>
      </c>
      <c r="B1289" s="19" t="s">
        <v>52</v>
      </c>
      <c r="C1289" s="18" t="str">
        <f>"张祝蓉"</f>
        <v>张祝蓉</v>
      </c>
      <c r="D1289" s="18" t="str">
        <f t="shared" si="135"/>
        <v>女</v>
      </c>
      <c r="E1289" s="18" t="str">
        <f>"2022013408"</f>
        <v>2022013408</v>
      </c>
      <c r="F1289" s="18">
        <v>71</v>
      </c>
      <c r="G1289" s="18">
        <v>30</v>
      </c>
      <c r="H1289" s="18"/>
      <c r="I1289" s="18" t="s">
        <v>12</v>
      </c>
    </row>
    <row r="1290" s="1" customFormat="1" customHeight="1" spans="1:9">
      <c r="A1290" s="18" t="str">
        <f t="shared" si="134"/>
        <v>B4F</v>
      </c>
      <c r="B1290" s="19" t="s">
        <v>52</v>
      </c>
      <c r="C1290" s="18" t="str">
        <f>"黄佞媛"</f>
        <v>黄佞媛</v>
      </c>
      <c r="D1290" s="18" t="str">
        <f t="shared" si="135"/>
        <v>女</v>
      </c>
      <c r="E1290" s="18" t="str">
        <f>"2022013011"</f>
        <v>2022013011</v>
      </c>
      <c r="F1290" s="18">
        <v>69</v>
      </c>
      <c r="G1290" s="18">
        <v>33</v>
      </c>
      <c r="H1290" s="18"/>
      <c r="I1290" s="18" t="s">
        <v>12</v>
      </c>
    </row>
    <row r="1291" s="1" customFormat="1" customHeight="1" spans="1:9">
      <c r="A1291" s="18" t="str">
        <f t="shared" si="134"/>
        <v>B4F</v>
      </c>
      <c r="B1291" s="19" t="s">
        <v>52</v>
      </c>
      <c r="C1291" s="18" t="str">
        <f>"彭欢"</f>
        <v>彭欢</v>
      </c>
      <c r="D1291" s="18" t="str">
        <f t="shared" si="135"/>
        <v>女</v>
      </c>
      <c r="E1291" s="18" t="str">
        <f>"2022013133"</f>
        <v>2022013133</v>
      </c>
      <c r="F1291" s="18">
        <v>69</v>
      </c>
      <c r="G1291" s="18">
        <v>33</v>
      </c>
      <c r="H1291" s="18"/>
      <c r="I1291" s="18" t="s">
        <v>12</v>
      </c>
    </row>
    <row r="1292" s="1" customFormat="1" customHeight="1" spans="1:9">
      <c r="A1292" s="18" t="str">
        <f t="shared" si="134"/>
        <v>B4F</v>
      </c>
      <c r="B1292" s="19" t="s">
        <v>52</v>
      </c>
      <c r="C1292" s="18" t="str">
        <f>"于林爱"</f>
        <v>于林爱</v>
      </c>
      <c r="D1292" s="18" t="str">
        <f t="shared" si="135"/>
        <v>女</v>
      </c>
      <c r="E1292" s="18" t="str">
        <f>"2022013118"</f>
        <v>2022013118</v>
      </c>
      <c r="F1292" s="18">
        <v>68</v>
      </c>
      <c r="G1292" s="18">
        <v>33</v>
      </c>
      <c r="H1292" s="18"/>
      <c r="I1292" s="18" t="s">
        <v>12</v>
      </c>
    </row>
    <row r="1293" s="1" customFormat="1" customHeight="1" spans="1:9">
      <c r="A1293" s="18" t="str">
        <f t="shared" si="134"/>
        <v>B4F</v>
      </c>
      <c r="B1293" s="19" t="s">
        <v>52</v>
      </c>
      <c r="C1293" s="18" t="str">
        <f>"钟海燕"</f>
        <v>钟海燕</v>
      </c>
      <c r="D1293" s="18" t="str">
        <f t="shared" si="135"/>
        <v>女</v>
      </c>
      <c r="E1293" s="18" t="str">
        <f>"2022013211"</f>
        <v>2022013211</v>
      </c>
      <c r="F1293" s="18">
        <v>68</v>
      </c>
      <c r="G1293" s="18">
        <v>33</v>
      </c>
      <c r="H1293" s="18"/>
      <c r="I1293" s="18" t="s">
        <v>12</v>
      </c>
    </row>
    <row r="1294" s="1" customFormat="1" customHeight="1" spans="1:9">
      <c r="A1294" s="18" t="str">
        <f t="shared" si="134"/>
        <v>B4F</v>
      </c>
      <c r="B1294" s="19" t="s">
        <v>52</v>
      </c>
      <c r="C1294" s="18" t="str">
        <f>"莫珮琴"</f>
        <v>莫珮琴</v>
      </c>
      <c r="D1294" s="18" t="str">
        <f t="shared" si="135"/>
        <v>女</v>
      </c>
      <c r="E1294" s="18" t="str">
        <f>"2022013230"</f>
        <v>2022013230</v>
      </c>
      <c r="F1294" s="18">
        <v>68</v>
      </c>
      <c r="G1294" s="18">
        <v>33</v>
      </c>
      <c r="H1294" s="18"/>
      <c r="I1294" s="18" t="s">
        <v>12</v>
      </c>
    </row>
    <row r="1295" s="1" customFormat="1" customHeight="1" spans="1:9">
      <c r="A1295" s="18" t="str">
        <f t="shared" si="134"/>
        <v>B4F</v>
      </c>
      <c r="B1295" s="19" t="s">
        <v>52</v>
      </c>
      <c r="C1295" s="18" t="str">
        <f>"向钦"</f>
        <v>向钦</v>
      </c>
      <c r="D1295" s="18" t="str">
        <f t="shared" si="135"/>
        <v>女</v>
      </c>
      <c r="E1295" s="18" t="str">
        <f>"2022013407"</f>
        <v>2022013407</v>
      </c>
      <c r="F1295" s="18">
        <v>68</v>
      </c>
      <c r="G1295" s="18">
        <v>33</v>
      </c>
      <c r="H1295" s="18"/>
      <c r="I1295" s="18" t="s">
        <v>12</v>
      </c>
    </row>
    <row r="1296" s="1" customFormat="1" customHeight="1" spans="1:9">
      <c r="A1296" s="18" t="str">
        <f t="shared" si="134"/>
        <v>B4F</v>
      </c>
      <c r="B1296" s="19" t="s">
        <v>52</v>
      </c>
      <c r="C1296" s="18" t="str">
        <f>"李春"</f>
        <v>李春</v>
      </c>
      <c r="D1296" s="18" t="str">
        <f t="shared" si="135"/>
        <v>女</v>
      </c>
      <c r="E1296" s="18" t="str">
        <f>"2022013020"</f>
        <v>2022013020</v>
      </c>
      <c r="F1296" s="18">
        <v>67</v>
      </c>
      <c r="G1296" s="18">
        <v>39</v>
      </c>
      <c r="H1296" s="18"/>
      <c r="I1296" s="18" t="s">
        <v>12</v>
      </c>
    </row>
    <row r="1297" s="1" customFormat="1" customHeight="1" spans="1:9">
      <c r="A1297" s="18" t="str">
        <f t="shared" si="134"/>
        <v>B4F</v>
      </c>
      <c r="B1297" s="19" t="s">
        <v>52</v>
      </c>
      <c r="C1297" s="18" t="str">
        <f>"肖海玉"</f>
        <v>肖海玉</v>
      </c>
      <c r="D1297" s="18" t="str">
        <f t="shared" si="135"/>
        <v>女</v>
      </c>
      <c r="E1297" s="18" t="str">
        <f>"2022013130"</f>
        <v>2022013130</v>
      </c>
      <c r="F1297" s="18">
        <v>67</v>
      </c>
      <c r="G1297" s="18">
        <v>39</v>
      </c>
      <c r="H1297" s="18"/>
      <c r="I1297" s="18" t="s">
        <v>12</v>
      </c>
    </row>
    <row r="1298" s="1" customFormat="1" customHeight="1" spans="1:9">
      <c r="A1298" s="18" t="str">
        <f t="shared" si="134"/>
        <v>B4F</v>
      </c>
      <c r="B1298" s="19" t="s">
        <v>52</v>
      </c>
      <c r="C1298" s="18" t="str">
        <f>"周玲玲"</f>
        <v>周玲玲</v>
      </c>
      <c r="D1298" s="18" t="str">
        <f t="shared" si="135"/>
        <v>女</v>
      </c>
      <c r="E1298" s="18" t="str">
        <f>"2022013320"</f>
        <v>2022013320</v>
      </c>
      <c r="F1298" s="18">
        <v>67</v>
      </c>
      <c r="G1298" s="18">
        <v>39</v>
      </c>
      <c r="H1298" s="18"/>
      <c r="I1298" s="18" t="s">
        <v>12</v>
      </c>
    </row>
    <row r="1299" s="1" customFormat="1" customHeight="1" spans="1:9">
      <c r="A1299" s="18" t="str">
        <f t="shared" si="134"/>
        <v>B4F</v>
      </c>
      <c r="B1299" s="19" t="s">
        <v>52</v>
      </c>
      <c r="C1299" s="18" t="str">
        <f>"钟艳"</f>
        <v>钟艳</v>
      </c>
      <c r="D1299" s="18" t="str">
        <f t="shared" si="135"/>
        <v>女</v>
      </c>
      <c r="E1299" s="18" t="str">
        <f>"2022013207"</f>
        <v>2022013207</v>
      </c>
      <c r="F1299" s="18">
        <v>66</v>
      </c>
      <c r="G1299" s="18">
        <v>42</v>
      </c>
      <c r="H1299" s="18"/>
      <c r="I1299" s="18" t="s">
        <v>12</v>
      </c>
    </row>
    <row r="1300" s="1" customFormat="1" customHeight="1" spans="1:9">
      <c r="A1300" s="18" t="str">
        <f t="shared" si="134"/>
        <v>B4F</v>
      </c>
      <c r="B1300" s="19" t="s">
        <v>52</v>
      </c>
      <c r="C1300" s="18" t="str">
        <f>"陈丽娟"</f>
        <v>陈丽娟</v>
      </c>
      <c r="D1300" s="18" t="str">
        <f t="shared" si="135"/>
        <v>女</v>
      </c>
      <c r="E1300" s="18" t="str">
        <f>"2022013102"</f>
        <v>2022013102</v>
      </c>
      <c r="F1300" s="18">
        <v>65</v>
      </c>
      <c r="G1300" s="18">
        <v>43</v>
      </c>
      <c r="H1300" s="18"/>
      <c r="I1300" s="18" t="s">
        <v>12</v>
      </c>
    </row>
    <row r="1301" s="1" customFormat="1" customHeight="1" spans="1:9">
      <c r="A1301" s="18" t="str">
        <f t="shared" si="134"/>
        <v>B4F</v>
      </c>
      <c r="B1301" s="19" t="s">
        <v>52</v>
      </c>
      <c r="C1301" s="18" t="str">
        <f>"周彩锋"</f>
        <v>周彩锋</v>
      </c>
      <c r="D1301" s="18" t="str">
        <f t="shared" si="135"/>
        <v>女</v>
      </c>
      <c r="E1301" s="18" t="str">
        <f>"2022013223"</f>
        <v>2022013223</v>
      </c>
      <c r="F1301" s="18">
        <v>65</v>
      </c>
      <c r="G1301" s="18">
        <v>43</v>
      </c>
      <c r="H1301" s="18"/>
      <c r="I1301" s="18" t="s">
        <v>12</v>
      </c>
    </row>
    <row r="1302" s="1" customFormat="1" customHeight="1" spans="1:9">
      <c r="A1302" s="18" t="str">
        <f t="shared" si="134"/>
        <v>B4F</v>
      </c>
      <c r="B1302" s="19" t="s">
        <v>52</v>
      </c>
      <c r="C1302" s="18" t="str">
        <f>"李益香"</f>
        <v>李益香</v>
      </c>
      <c r="D1302" s="18" t="str">
        <f t="shared" si="135"/>
        <v>女</v>
      </c>
      <c r="E1302" s="18" t="str">
        <f>"2022013303"</f>
        <v>2022013303</v>
      </c>
      <c r="F1302" s="18">
        <v>65</v>
      </c>
      <c r="G1302" s="18">
        <v>43</v>
      </c>
      <c r="H1302" s="18"/>
      <c r="I1302" s="18" t="s">
        <v>12</v>
      </c>
    </row>
    <row r="1303" s="1" customFormat="1" customHeight="1" spans="1:9">
      <c r="A1303" s="18" t="str">
        <f t="shared" si="134"/>
        <v>B4F</v>
      </c>
      <c r="B1303" s="19" t="s">
        <v>52</v>
      </c>
      <c r="C1303" s="18" t="str">
        <f>"尹媚"</f>
        <v>尹媚</v>
      </c>
      <c r="D1303" s="18" t="str">
        <f t="shared" si="135"/>
        <v>女</v>
      </c>
      <c r="E1303" s="18" t="str">
        <f>"2022012922"</f>
        <v>2022012922</v>
      </c>
      <c r="F1303" s="18">
        <v>64</v>
      </c>
      <c r="G1303" s="18">
        <v>46</v>
      </c>
      <c r="H1303" s="18"/>
      <c r="I1303" s="18" t="s">
        <v>12</v>
      </c>
    </row>
    <row r="1304" s="1" customFormat="1" customHeight="1" spans="1:9">
      <c r="A1304" s="18" t="str">
        <f t="shared" si="134"/>
        <v>B4F</v>
      </c>
      <c r="B1304" s="19" t="s">
        <v>52</v>
      </c>
      <c r="C1304" s="18" t="str">
        <f>"李湘慧"</f>
        <v>李湘慧</v>
      </c>
      <c r="D1304" s="18" t="str">
        <f t="shared" si="135"/>
        <v>女</v>
      </c>
      <c r="E1304" s="18" t="str">
        <f>"2022013101"</f>
        <v>2022013101</v>
      </c>
      <c r="F1304" s="18">
        <v>64</v>
      </c>
      <c r="G1304" s="18">
        <v>46</v>
      </c>
      <c r="H1304" s="18"/>
      <c r="I1304" s="18" t="s">
        <v>12</v>
      </c>
    </row>
    <row r="1305" s="1" customFormat="1" customHeight="1" spans="1:9">
      <c r="A1305" s="18" t="str">
        <f t="shared" si="134"/>
        <v>B4F</v>
      </c>
      <c r="B1305" s="19" t="s">
        <v>52</v>
      </c>
      <c r="C1305" s="18" t="str">
        <f>"肖慧云"</f>
        <v>肖慧云</v>
      </c>
      <c r="D1305" s="18" t="str">
        <f t="shared" si="135"/>
        <v>女</v>
      </c>
      <c r="E1305" s="18" t="str">
        <f>"2022013304"</f>
        <v>2022013304</v>
      </c>
      <c r="F1305" s="18">
        <v>64</v>
      </c>
      <c r="G1305" s="18">
        <v>46</v>
      </c>
      <c r="H1305" s="18"/>
      <c r="I1305" s="18" t="s">
        <v>12</v>
      </c>
    </row>
    <row r="1306" s="1" customFormat="1" customHeight="1" spans="1:9">
      <c r="A1306" s="18" t="str">
        <f t="shared" si="134"/>
        <v>B4F</v>
      </c>
      <c r="B1306" s="19" t="s">
        <v>52</v>
      </c>
      <c r="C1306" s="18" t="str">
        <f>"艾贵"</f>
        <v>艾贵</v>
      </c>
      <c r="D1306" s="18" t="str">
        <f t="shared" si="135"/>
        <v>女</v>
      </c>
      <c r="E1306" s="18" t="str">
        <f>"2022013312"</f>
        <v>2022013312</v>
      </c>
      <c r="F1306" s="18">
        <v>64</v>
      </c>
      <c r="G1306" s="18">
        <v>46</v>
      </c>
      <c r="H1306" s="18"/>
      <c r="I1306" s="18" t="s">
        <v>12</v>
      </c>
    </row>
    <row r="1307" s="1" customFormat="1" customHeight="1" spans="1:9">
      <c r="A1307" s="18" t="str">
        <f t="shared" si="134"/>
        <v>B4F</v>
      </c>
      <c r="B1307" s="19" t="s">
        <v>52</v>
      </c>
      <c r="C1307" s="18" t="str">
        <f>"戴林芳"</f>
        <v>戴林芳</v>
      </c>
      <c r="D1307" s="18" t="str">
        <f t="shared" si="135"/>
        <v>女</v>
      </c>
      <c r="E1307" s="18" t="str">
        <f>"2022012918"</f>
        <v>2022012918</v>
      </c>
      <c r="F1307" s="18">
        <v>62</v>
      </c>
      <c r="G1307" s="18">
        <v>50</v>
      </c>
      <c r="H1307" s="18"/>
      <c r="I1307" s="18" t="s">
        <v>12</v>
      </c>
    </row>
    <row r="1308" s="1" customFormat="1" customHeight="1" spans="1:9">
      <c r="A1308" s="18" t="str">
        <f t="shared" si="134"/>
        <v>B4F</v>
      </c>
      <c r="B1308" s="19" t="s">
        <v>52</v>
      </c>
      <c r="C1308" s="18" t="str">
        <f>"张娟"</f>
        <v>张娟</v>
      </c>
      <c r="D1308" s="18" t="str">
        <f t="shared" si="135"/>
        <v>女</v>
      </c>
      <c r="E1308" s="18" t="str">
        <f>"2022013024"</f>
        <v>2022013024</v>
      </c>
      <c r="F1308" s="18">
        <v>62</v>
      </c>
      <c r="G1308" s="18">
        <v>50</v>
      </c>
      <c r="H1308" s="18"/>
      <c r="I1308" s="18" t="s">
        <v>12</v>
      </c>
    </row>
    <row r="1309" s="1" customFormat="1" customHeight="1" spans="1:9">
      <c r="A1309" s="18" t="str">
        <f t="shared" si="134"/>
        <v>B4F</v>
      </c>
      <c r="B1309" s="19" t="s">
        <v>52</v>
      </c>
      <c r="C1309" s="18" t="str">
        <f>"卿丽"</f>
        <v>卿丽</v>
      </c>
      <c r="D1309" s="18" t="str">
        <f t="shared" si="135"/>
        <v>女</v>
      </c>
      <c r="E1309" s="18" t="str">
        <f>"2022013117"</f>
        <v>2022013117</v>
      </c>
      <c r="F1309" s="18">
        <v>62</v>
      </c>
      <c r="G1309" s="18">
        <v>50</v>
      </c>
      <c r="H1309" s="18"/>
      <c r="I1309" s="18" t="s">
        <v>12</v>
      </c>
    </row>
    <row r="1310" s="1" customFormat="1" customHeight="1" spans="1:9">
      <c r="A1310" s="18" t="str">
        <f t="shared" si="134"/>
        <v>B4F</v>
      </c>
      <c r="B1310" s="19" t="s">
        <v>52</v>
      </c>
      <c r="C1310" s="18" t="str">
        <f>"苏丽君"</f>
        <v>苏丽君</v>
      </c>
      <c r="D1310" s="18" t="str">
        <f t="shared" si="135"/>
        <v>女</v>
      </c>
      <c r="E1310" s="18" t="str">
        <f>"2022013032"</f>
        <v>2022013032</v>
      </c>
      <c r="F1310" s="18">
        <v>61.5</v>
      </c>
      <c r="G1310" s="18">
        <v>53</v>
      </c>
      <c r="H1310" s="18"/>
      <c r="I1310" s="18" t="s">
        <v>12</v>
      </c>
    </row>
    <row r="1311" s="1" customFormat="1" customHeight="1" spans="1:9">
      <c r="A1311" s="18" t="str">
        <f t="shared" si="134"/>
        <v>B4F</v>
      </c>
      <c r="B1311" s="19" t="s">
        <v>52</v>
      </c>
      <c r="C1311" s="18" t="str">
        <f>"罗佳佳"</f>
        <v>罗佳佳</v>
      </c>
      <c r="D1311" s="18" t="str">
        <f t="shared" si="135"/>
        <v>女</v>
      </c>
      <c r="E1311" s="18" t="str">
        <f>"2022013035"</f>
        <v>2022013035</v>
      </c>
      <c r="F1311" s="18">
        <v>61</v>
      </c>
      <c r="G1311" s="18">
        <v>54</v>
      </c>
      <c r="H1311" s="18"/>
      <c r="I1311" s="18" t="s">
        <v>12</v>
      </c>
    </row>
    <row r="1312" s="1" customFormat="1" customHeight="1" spans="1:9">
      <c r="A1312" s="18" t="str">
        <f t="shared" si="134"/>
        <v>B4F</v>
      </c>
      <c r="B1312" s="19" t="s">
        <v>52</v>
      </c>
      <c r="C1312" s="18" t="str">
        <f>"岳娟玲"</f>
        <v>岳娟玲</v>
      </c>
      <c r="D1312" s="18" t="str">
        <f t="shared" si="135"/>
        <v>女</v>
      </c>
      <c r="E1312" s="18" t="str">
        <f>"2022013108"</f>
        <v>2022013108</v>
      </c>
      <c r="F1312" s="18">
        <v>61</v>
      </c>
      <c r="G1312" s="18">
        <v>54</v>
      </c>
      <c r="H1312" s="18"/>
      <c r="I1312" s="18" t="s">
        <v>12</v>
      </c>
    </row>
    <row r="1313" s="1" customFormat="1" customHeight="1" spans="1:9">
      <c r="A1313" s="18" t="str">
        <f t="shared" si="134"/>
        <v>B4F</v>
      </c>
      <c r="B1313" s="19" t="s">
        <v>52</v>
      </c>
      <c r="C1313" s="18" t="str">
        <f>"饶美兰"</f>
        <v>饶美兰</v>
      </c>
      <c r="D1313" s="18" t="str">
        <f t="shared" si="135"/>
        <v>女</v>
      </c>
      <c r="E1313" s="18" t="str">
        <f>"2022013202"</f>
        <v>2022013202</v>
      </c>
      <c r="F1313" s="18">
        <v>61</v>
      </c>
      <c r="G1313" s="18">
        <v>54</v>
      </c>
      <c r="H1313" s="18"/>
      <c r="I1313" s="18" t="s">
        <v>12</v>
      </c>
    </row>
    <row r="1314" s="1" customFormat="1" customHeight="1" spans="1:9">
      <c r="A1314" s="18" t="str">
        <f t="shared" si="134"/>
        <v>B4F</v>
      </c>
      <c r="B1314" s="19" t="s">
        <v>52</v>
      </c>
      <c r="C1314" s="18" t="str">
        <f>"杨锦秀"</f>
        <v>杨锦秀</v>
      </c>
      <c r="D1314" s="18" t="str">
        <f t="shared" si="135"/>
        <v>女</v>
      </c>
      <c r="E1314" s="18" t="str">
        <f>"2022013001"</f>
        <v>2022013001</v>
      </c>
      <c r="F1314" s="18">
        <v>60</v>
      </c>
      <c r="G1314" s="18">
        <v>57</v>
      </c>
      <c r="H1314" s="18"/>
      <c r="I1314" s="18" t="s">
        <v>12</v>
      </c>
    </row>
    <row r="1315" s="1" customFormat="1" customHeight="1" spans="1:9">
      <c r="A1315" s="18" t="str">
        <f t="shared" si="134"/>
        <v>B4F</v>
      </c>
      <c r="B1315" s="19" t="s">
        <v>52</v>
      </c>
      <c r="C1315" s="18" t="str">
        <f>"戴珂"</f>
        <v>戴珂</v>
      </c>
      <c r="D1315" s="18" t="str">
        <f t="shared" si="135"/>
        <v>女</v>
      </c>
      <c r="E1315" s="18" t="str">
        <f>"2022012935"</f>
        <v>2022012935</v>
      </c>
      <c r="F1315" s="18">
        <v>59</v>
      </c>
      <c r="G1315" s="18">
        <v>58</v>
      </c>
      <c r="H1315" s="18"/>
      <c r="I1315" s="18" t="s">
        <v>12</v>
      </c>
    </row>
    <row r="1316" s="1" customFormat="1" customHeight="1" spans="1:9">
      <c r="A1316" s="18" t="str">
        <f t="shared" si="134"/>
        <v>B4F</v>
      </c>
      <c r="B1316" s="19" t="s">
        <v>52</v>
      </c>
      <c r="C1316" s="18" t="str">
        <f>"奚恒"</f>
        <v>奚恒</v>
      </c>
      <c r="D1316" s="18" t="str">
        <f t="shared" si="135"/>
        <v>女</v>
      </c>
      <c r="E1316" s="18" t="str">
        <f>"2022013123"</f>
        <v>2022013123</v>
      </c>
      <c r="F1316" s="18">
        <v>59</v>
      </c>
      <c r="G1316" s="18">
        <v>58</v>
      </c>
      <c r="H1316" s="18"/>
      <c r="I1316" s="18" t="s">
        <v>12</v>
      </c>
    </row>
    <row r="1317" s="1" customFormat="1" customHeight="1" spans="1:9">
      <c r="A1317" s="18" t="str">
        <f t="shared" si="134"/>
        <v>B4F</v>
      </c>
      <c r="B1317" s="19" t="s">
        <v>52</v>
      </c>
      <c r="C1317" s="18" t="str">
        <f>"滕玲"</f>
        <v>滕玲</v>
      </c>
      <c r="D1317" s="18" t="str">
        <f t="shared" si="135"/>
        <v>女</v>
      </c>
      <c r="E1317" s="18" t="str">
        <f>"2022013319"</f>
        <v>2022013319</v>
      </c>
      <c r="F1317" s="18">
        <v>59</v>
      </c>
      <c r="G1317" s="18">
        <v>58</v>
      </c>
      <c r="H1317" s="18"/>
      <c r="I1317" s="18" t="s">
        <v>12</v>
      </c>
    </row>
    <row r="1318" s="1" customFormat="1" customHeight="1" spans="1:9">
      <c r="A1318" s="18" t="str">
        <f t="shared" si="134"/>
        <v>B4F</v>
      </c>
      <c r="B1318" s="19" t="s">
        <v>52</v>
      </c>
      <c r="C1318" s="18" t="str">
        <f>"钟爱文"</f>
        <v>钟爱文</v>
      </c>
      <c r="D1318" s="18" t="str">
        <f t="shared" si="135"/>
        <v>女</v>
      </c>
      <c r="E1318" s="18" t="str">
        <f>"2022013410"</f>
        <v>2022013410</v>
      </c>
      <c r="F1318" s="18">
        <v>59</v>
      </c>
      <c r="G1318" s="18">
        <v>58</v>
      </c>
      <c r="H1318" s="18"/>
      <c r="I1318" s="18" t="s">
        <v>12</v>
      </c>
    </row>
    <row r="1319" s="1" customFormat="1" customHeight="1" spans="1:9">
      <c r="A1319" s="18" t="str">
        <f t="shared" si="134"/>
        <v>B4F</v>
      </c>
      <c r="B1319" s="19" t="s">
        <v>52</v>
      </c>
      <c r="C1319" s="18" t="str">
        <f>"管菊花"</f>
        <v>管菊花</v>
      </c>
      <c r="D1319" s="18" t="str">
        <f t="shared" si="135"/>
        <v>女</v>
      </c>
      <c r="E1319" s="18" t="str">
        <f>"2022013116"</f>
        <v>2022013116</v>
      </c>
      <c r="F1319" s="18">
        <v>58</v>
      </c>
      <c r="G1319" s="18">
        <v>58</v>
      </c>
      <c r="H1319" s="18"/>
      <c r="I1319" s="18" t="s">
        <v>12</v>
      </c>
    </row>
    <row r="1320" s="1" customFormat="1" customHeight="1" spans="1:9">
      <c r="A1320" s="18" t="str">
        <f t="shared" si="134"/>
        <v>B4F</v>
      </c>
      <c r="B1320" s="19" t="s">
        <v>52</v>
      </c>
      <c r="C1320" s="18" t="str">
        <f>"刘倩妮"</f>
        <v>刘倩妮</v>
      </c>
      <c r="D1320" s="18" t="str">
        <f t="shared" si="135"/>
        <v>女</v>
      </c>
      <c r="E1320" s="18" t="str">
        <f>"2022013325"</f>
        <v>2022013325</v>
      </c>
      <c r="F1320" s="18">
        <v>58</v>
      </c>
      <c r="G1320" s="18">
        <v>58</v>
      </c>
      <c r="H1320" s="18"/>
      <c r="I1320" s="18" t="s">
        <v>12</v>
      </c>
    </row>
    <row r="1321" s="1" customFormat="1" customHeight="1" spans="1:9">
      <c r="A1321" s="18" t="str">
        <f t="shared" si="134"/>
        <v>B4F</v>
      </c>
      <c r="B1321" s="19" t="s">
        <v>52</v>
      </c>
      <c r="C1321" s="18" t="str">
        <f>"唐萍"</f>
        <v>唐萍</v>
      </c>
      <c r="D1321" s="18" t="str">
        <f t="shared" si="135"/>
        <v>女</v>
      </c>
      <c r="E1321" s="18" t="str">
        <f>"2022013103"</f>
        <v>2022013103</v>
      </c>
      <c r="F1321" s="18">
        <v>57</v>
      </c>
      <c r="G1321" s="18">
        <v>64</v>
      </c>
      <c r="H1321" s="18"/>
      <c r="I1321" s="18" t="s">
        <v>12</v>
      </c>
    </row>
    <row r="1322" s="1" customFormat="1" customHeight="1" spans="1:9">
      <c r="A1322" s="18" t="str">
        <f t="shared" ref="A1322:A1385" si="136">"B4F"</f>
        <v>B4F</v>
      </c>
      <c r="B1322" s="19" t="s">
        <v>52</v>
      </c>
      <c r="C1322" s="18" t="str">
        <f>"徐欢"</f>
        <v>徐欢</v>
      </c>
      <c r="D1322" s="18" t="str">
        <f t="shared" ref="D1322:D1385" si="137">"女"</f>
        <v>女</v>
      </c>
      <c r="E1322" s="18" t="str">
        <f>"2022013219"</f>
        <v>2022013219</v>
      </c>
      <c r="F1322" s="18">
        <v>57</v>
      </c>
      <c r="G1322" s="18">
        <v>64</v>
      </c>
      <c r="H1322" s="18"/>
      <c r="I1322" s="18" t="s">
        <v>12</v>
      </c>
    </row>
    <row r="1323" s="1" customFormat="1" customHeight="1" spans="1:9">
      <c r="A1323" s="18" t="str">
        <f t="shared" si="136"/>
        <v>B4F</v>
      </c>
      <c r="B1323" s="19" t="s">
        <v>52</v>
      </c>
      <c r="C1323" s="18" t="str">
        <f>"肖姝"</f>
        <v>肖姝</v>
      </c>
      <c r="D1323" s="18" t="str">
        <f t="shared" si="137"/>
        <v>女</v>
      </c>
      <c r="E1323" s="18" t="str">
        <f>"2022013012"</f>
        <v>2022013012</v>
      </c>
      <c r="F1323" s="18">
        <v>56</v>
      </c>
      <c r="G1323" s="18">
        <v>66</v>
      </c>
      <c r="H1323" s="18"/>
      <c r="I1323" s="18" t="s">
        <v>12</v>
      </c>
    </row>
    <row r="1324" s="1" customFormat="1" customHeight="1" spans="1:9">
      <c r="A1324" s="18" t="str">
        <f t="shared" si="136"/>
        <v>B4F</v>
      </c>
      <c r="B1324" s="19" t="s">
        <v>52</v>
      </c>
      <c r="C1324" s="18" t="str">
        <f>"陈盈盈"</f>
        <v>陈盈盈</v>
      </c>
      <c r="D1324" s="18" t="str">
        <f t="shared" si="137"/>
        <v>女</v>
      </c>
      <c r="E1324" s="18" t="str">
        <f>"2022013314"</f>
        <v>2022013314</v>
      </c>
      <c r="F1324" s="18">
        <v>56</v>
      </c>
      <c r="G1324" s="18">
        <v>66</v>
      </c>
      <c r="H1324" s="18"/>
      <c r="I1324" s="18" t="s">
        <v>12</v>
      </c>
    </row>
    <row r="1325" s="1" customFormat="1" customHeight="1" spans="1:9">
      <c r="A1325" s="18" t="str">
        <f t="shared" si="136"/>
        <v>B4F</v>
      </c>
      <c r="B1325" s="19" t="s">
        <v>52</v>
      </c>
      <c r="C1325" s="18" t="str">
        <f>"彭菊凤"</f>
        <v>彭菊凤</v>
      </c>
      <c r="D1325" s="18" t="str">
        <f t="shared" si="137"/>
        <v>女</v>
      </c>
      <c r="E1325" s="18" t="str">
        <f>"2022013014"</f>
        <v>2022013014</v>
      </c>
      <c r="F1325" s="18">
        <v>55</v>
      </c>
      <c r="G1325" s="18">
        <v>68</v>
      </c>
      <c r="H1325" s="18"/>
      <c r="I1325" s="18" t="s">
        <v>12</v>
      </c>
    </row>
    <row r="1326" s="1" customFormat="1" customHeight="1" spans="1:9">
      <c r="A1326" s="18" t="str">
        <f t="shared" si="136"/>
        <v>B4F</v>
      </c>
      <c r="B1326" s="19" t="s">
        <v>52</v>
      </c>
      <c r="C1326" s="18" t="str">
        <f>"莫江凡"</f>
        <v>莫江凡</v>
      </c>
      <c r="D1326" s="18" t="str">
        <f t="shared" si="137"/>
        <v>女</v>
      </c>
      <c r="E1326" s="18" t="str">
        <f>"2022013122"</f>
        <v>2022013122</v>
      </c>
      <c r="F1326" s="18">
        <v>55</v>
      </c>
      <c r="G1326" s="18">
        <v>68</v>
      </c>
      <c r="H1326" s="18"/>
      <c r="I1326" s="18" t="s">
        <v>12</v>
      </c>
    </row>
    <row r="1327" s="1" customFormat="1" customHeight="1" spans="1:9">
      <c r="A1327" s="18" t="str">
        <f t="shared" si="136"/>
        <v>B4F</v>
      </c>
      <c r="B1327" s="19" t="s">
        <v>52</v>
      </c>
      <c r="C1327" s="18" t="str">
        <f>"雷喜菊"</f>
        <v>雷喜菊</v>
      </c>
      <c r="D1327" s="18" t="str">
        <f t="shared" si="137"/>
        <v>女</v>
      </c>
      <c r="E1327" s="18" t="str">
        <f>"2022013310"</f>
        <v>2022013310</v>
      </c>
      <c r="F1327" s="18">
        <v>55</v>
      </c>
      <c r="G1327" s="18">
        <v>68</v>
      </c>
      <c r="H1327" s="18"/>
      <c r="I1327" s="18" t="s">
        <v>12</v>
      </c>
    </row>
    <row r="1328" s="1" customFormat="1" customHeight="1" spans="1:9">
      <c r="A1328" s="18" t="str">
        <f t="shared" si="136"/>
        <v>B4F</v>
      </c>
      <c r="B1328" s="19" t="s">
        <v>52</v>
      </c>
      <c r="C1328" s="18" t="str">
        <f>"张蓓"</f>
        <v>张蓓</v>
      </c>
      <c r="D1328" s="18" t="str">
        <f t="shared" si="137"/>
        <v>女</v>
      </c>
      <c r="E1328" s="18" t="str">
        <f>"2022013406"</f>
        <v>2022013406</v>
      </c>
      <c r="F1328" s="18">
        <v>55</v>
      </c>
      <c r="G1328" s="18">
        <v>68</v>
      </c>
      <c r="H1328" s="18"/>
      <c r="I1328" s="18" t="s">
        <v>12</v>
      </c>
    </row>
    <row r="1329" s="1" customFormat="1" customHeight="1" spans="1:9">
      <c r="A1329" s="18" t="str">
        <f t="shared" si="136"/>
        <v>B4F</v>
      </c>
      <c r="B1329" s="19" t="s">
        <v>52</v>
      </c>
      <c r="C1329" s="18" t="str">
        <f>"肖菁芳"</f>
        <v>肖菁芳</v>
      </c>
      <c r="D1329" s="18" t="str">
        <f t="shared" si="137"/>
        <v>女</v>
      </c>
      <c r="E1329" s="18" t="str">
        <f>"2022013008"</f>
        <v>2022013008</v>
      </c>
      <c r="F1329" s="18">
        <v>54</v>
      </c>
      <c r="G1329" s="18">
        <v>72</v>
      </c>
      <c r="H1329" s="18"/>
      <c r="I1329" s="18" t="s">
        <v>12</v>
      </c>
    </row>
    <row r="1330" s="1" customFormat="1" customHeight="1" spans="1:9">
      <c r="A1330" s="18" t="str">
        <f t="shared" si="136"/>
        <v>B4F</v>
      </c>
      <c r="B1330" s="19" t="s">
        <v>52</v>
      </c>
      <c r="C1330" s="18" t="str">
        <f>"孔容容"</f>
        <v>孔容容</v>
      </c>
      <c r="D1330" s="18" t="str">
        <f t="shared" si="137"/>
        <v>女</v>
      </c>
      <c r="E1330" s="18" t="str">
        <f>"2022013333"</f>
        <v>2022013333</v>
      </c>
      <c r="F1330" s="18">
        <v>54</v>
      </c>
      <c r="G1330" s="18">
        <v>72</v>
      </c>
      <c r="H1330" s="18"/>
      <c r="I1330" s="18" t="s">
        <v>12</v>
      </c>
    </row>
    <row r="1331" s="1" customFormat="1" customHeight="1" spans="1:9">
      <c r="A1331" s="18" t="str">
        <f t="shared" si="136"/>
        <v>B4F</v>
      </c>
      <c r="B1331" s="19" t="s">
        <v>52</v>
      </c>
      <c r="C1331" s="18" t="str">
        <f>"刘永星"</f>
        <v>刘永星</v>
      </c>
      <c r="D1331" s="18" t="str">
        <f t="shared" si="137"/>
        <v>女</v>
      </c>
      <c r="E1331" s="18" t="str">
        <f>"2022012924"</f>
        <v>2022012924</v>
      </c>
      <c r="F1331" s="18">
        <v>53</v>
      </c>
      <c r="G1331" s="18">
        <v>74</v>
      </c>
      <c r="H1331" s="18"/>
      <c r="I1331" s="18" t="s">
        <v>12</v>
      </c>
    </row>
    <row r="1332" s="1" customFormat="1" customHeight="1" spans="1:9">
      <c r="A1332" s="18" t="str">
        <f t="shared" si="136"/>
        <v>B4F</v>
      </c>
      <c r="B1332" s="19" t="s">
        <v>52</v>
      </c>
      <c r="C1332" s="18" t="str">
        <f>"梁心霞"</f>
        <v>梁心霞</v>
      </c>
      <c r="D1332" s="18" t="str">
        <f t="shared" si="137"/>
        <v>女</v>
      </c>
      <c r="E1332" s="18" t="str">
        <f>"2022013334"</f>
        <v>2022013334</v>
      </c>
      <c r="F1332" s="18">
        <v>53</v>
      </c>
      <c r="G1332" s="18">
        <v>74</v>
      </c>
      <c r="H1332" s="18"/>
      <c r="I1332" s="18" t="s">
        <v>12</v>
      </c>
    </row>
    <row r="1333" s="1" customFormat="1" customHeight="1" spans="1:9">
      <c r="A1333" s="18" t="str">
        <f t="shared" si="136"/>
        <v>B4F</v>
      </c>
      <c r="B1333" s="19" t="s">
        <v>52</v>
      </c>
      <c r="C1333" s="18" t="str">
        <f>"张娉亮"</f>
        <v>张娉亮</v>
      </c>
      <c r="D1333" s="18" t="str">
        <f t="shared" si="137"/>
        <v>女</v>
      </c>
      <c r="E1333" s="18" t="str">
        <f>"2022012910"</f>
        <v>2022012910</v>
      </c>
      <c r="F1333" s="18">
        <v>52</v>
      </c>
      <c r="G1333" s="18">
        <v>76</v>
      </c>
      <c r="H1333" s="18"/>
      <c r="I1333" s="18" t="s">
        <v>12</v>
      </c>
    </row>
    <row r="1334" s="1" customFormat="1" customHeight="1" spans="1:9">
      <c r="A1334" s="18" t="str">
        <f t="shared" si="136"/>
        <v>B4F</v>
      </c>
      <c r="B1334" s="19" t="s">
        <v>52</v>
      </c>
      <c r="C1334" s="18" t="str">
        <f>"李建园"</f>
        <v>李建园</v>
      </c>
      <c r="D1334" s="18" t="str">
        <f t="shared" si="137"/>
        <v>女</v>
      </c>
      <c r="E1334" s="18" t="str">
        <f>"2022012932"</f>
        <v>2022012932</v>
      </c>
      <c r="F1334" s="18">
        <v>51</v>
      </c>
      <c r="G1334" s="18">
        <v>77</v>
      </c>
      <c r="H1334" s="18"/>
      <c r="I1334" s="18" t="s">
        <v>12</v>
      </c>
    </row>
    <row r="1335" s="1" customFormat="1" customHeight="1" spans="1:9">
      <c r="A1335" s="18" t="str">
        <f t="shared" si="136"/>
        <v>B4F</v>
      </c>
      <c r="B1335" s="19" t="s">
        <v>52</v>
      </c>
      <c r="C1335" s="18" t="str">
        <f>"茹艳芳"</f>
        <v>茹艳芳</v>
      </c>
      <c r="D1335" s="18" t="str">
        <f t="shared" si="137"/>
        <v>女</v>
      </c>
      <c r="E1335" s="18" t="str">
        <f>"2022013002"</f>
        <v>2022013002</v>
      </c>
      <c r="F1335" s="18">
        <v>51</v>
      </c>
      <c r="G1335" s="18">
        <v>77</v>
      </c>
      <c r="H1335" s="18"/>
      <c r="I1335" s="18" t="s">
        <v>12</v>
      </c>
    </row>
    <row r="1336" s="1" customFormat="1" customHeight="1" spans="1:9">
      <c r="A1336" s="18" t="str">
        <f t="shared" si="136"/>
        <v>B4F</v>
      </c>
      <c r="B1336" s="19" t="s">
        <v>52</v>
      </c>
      <c r="C1336" s="18" t="str">
        <f>"蒲媛媛"</f>
        <v>蒲媛媛</v>
      </c>
      <c r="D1336" s="18" t="str">
        <f t="shared" si="137"/>
        <v>女</v>
      </c>
      <c r="E1336" s="18" t="str">
        <f>"2022013119"</f>
        <v>2022013119</v>
      </c>
      <c r="F1336" s="18">
        <v>51</v>
      </c>
      <c r="G1336" s="18">
        <v>77</v>
      </c>
      <c r="H1336" s="18"/>
      <c r="I1336" s="18" t="s">
        <v>12</v>
      </c>
    </row>
    <row r="1337" s="1" customFormat="1" customHeight="1" spans="1:9">
      <c r="A1337" s="18" t="str">
        <f t="shared" si="136"/>
        <v>B4F</v>
      </c>
      <c r="B1337" s="19" t="s">
        <v>52</v>
      </c>
      <c r="C1337" s="18" t="str">
        <f>"吴思敏"</f>
        <v>吴思敏</v>
      </c>
      <c r="D1337" s="18" t="str">
        <f t="shared" si="137"/>
        <v>女</v>
      </c>
      <c r="E1337" s="18" t="str">
        <f>"2022012920"</f>
        <v>2022012920</v>
      </c>
      <c r="F1337" s="18">
        <v>50</v>
      </c>
      <c r="G1337" s="18">
        <v>80</v>
      </c>
      <c r="H1337" s="18"/>
      <c r="I1337" s="18" t="s">
        <v>12</v>
      </c>
    </row>
    <row r="1338" s="1" customFormat="1" customHeight="1" spans="1:9">
      <c r="A1338" s="18" t="str">
        <f t="shared" si="136"/>
        <v>B4F</v>
      </c>
      <c r="B1338" s="19" t="s">
        <v>52</v>
      </c>
      <c r="C1338" s="18" t="str">
        <f>"周丽容"</f>
        <v>周丽容</v>
      </c>
      <c r="D1338" s="18" t="str">
        <f t="shared" si="137"/>
        <v>女</v>
      </c>
      <c r="E1338" s="18" t="str">
        <f>"2022013206"</f>
        <v>2022013206</v>
      </c>
      <c r="F1338" s="18">
        <v>50</v>
      </c>
      <c r="G1338" s="18">
        <v>80</v>
      </c>
      <c r="H1338" s="18"/>
      <c r="I1338" s="18" t="s">
        <v>12</v>
      </c>
    </row>
    <row r="1339" s="1" customFormat="1" customHeight="1" spans="1:9">
      <c r="A1339" s="18" t="str">
        <f t="shared" si="136"/>
        <v>B4F</v>
      </c>
      <c r="B1339" s="19" t="s">
        <v>52</v>
      </c>
      <c r="C1339" s="18" t="str">
        <f>"杨意"</f>
        <v>杨意</v>
      </c>
      <c r="D1339" s="18" t="str">
        <f t="shared" si="137"/>
        <v>女</v>
      </c>
      <c r="E1339" s="18" t="str">
        <f>"2022013228"</f>
        <v>2022013228</v>
      </c>
      <c r="F1339" s="18">
        <v>50</v>
      </c>
      <c r="G1339" s="18">
        <v>80</v>
      </c>
      <c r="H1339" s="18"/>
      <c r="I1339" s="18" t="s">
        <v>12</v>
      </c>
    </row>
    <row r="1340" s="1" customFormat="1" customHeight="1" spans="1:9">
      <c r="A1340" s="18" t="str">
        <f t="shared" si="136"/>
        <v>B4F</v>
      </c>
      <c r="B1340" s="19" t="s">
        <v>52</v>
      </c>
      <c r="C1340" s="18" t="str">
        <f>"赵欢"</f>
        <v>赵欢</v>
      </c>
      <c r="D1340" s="18" t="str">
        <f t="shared" si="137"/>
        <v>女</v>
      </c>
      <c r="E1340" s="18" t="str">
        <f>"2022013332"</f>
        <v>2022013332</v>
      </c>
      <c r="F1340" s="18">
        <v>50</v>
      </c>
      <c r="G1340" s="18">
        <v>80</v>
      </c>
      <c r="H1340" s="18"/>
      <c r="I1340" s="18" t="s">
        <v>12</v>
      </c>
    </row>
    <row r="1341" s="1" customFormat="1" customHeight="1" spans="1:9">
      <c r="A1341" s="18" t="str">
        <f t="shared" si="136"/>
        <v>B4F</v>
      </c>
      <c r="B1341" s="19" t="s">
        <v>52</v>
      </c>
      <c r="C1341" s="18" t="str">
        <f>"蒋枫"</f>
        <v>蒋枫</v>
      </c>
      <c r="D1341" s="18" t="str">
        <f t="shared" si="137"/>
        <v>女</v>
      </c>
      <c r="E1341" s="18" t="str">
        <f>"2022013111"</f>
        <v>2022013111</v>
      </c>
      <c r="F1341" s="18">
        <v>49</v>
      </c>
      <c r="G1341" s="18">
        <v>84</v>
      </c>
      <c r="H1341" s="18"/>
      <c r="I1341" s="18" t="s">
        <v>12</v>
      </c>
    </row>
    <row r="1342" s="1" customFormat="1" customHeight="1" spans="1:9">
      <c r="A1342" s="18" t="str">
        <f t="shared" si="136"/>
        <v>B4F</v>
      </c>
      <c r="B1342" s="19" t="s">
        <v>52</v>
      </c>
      <c r="C1342" s="18" t="str">
        <f>"曾丽晚"</f>
        <v>曾丽晚</v>
      </c>
      <c r="D1342" s="18" t="str">
        <f t="shared" si="137"/>
        <v>女</v>
      </c>
      <c r="E1342" s="18" t="str">
        <f>"2022013106"</f>
        <v>2022013106</v>
      </c>
      <c r="F1342" s="18">
        <v>48</v>
      </c>
      <c r="G1342" s="18">
        <v>85</v>
      </c>
      <c r="H1342" s="18"/>
      <c r="I1342" s="18" t="s">
        <v>12</v>
      </c>
    </row>
    <row r="1343" s="1" customFormat="1" customHeight="1" spans="1:9">
      <c r="A1343" s="18" t="str">
        <f t="shared" si="136"/>
        <v>B4F</v>
      </c>
      <c r="B1343" s="19" t="s">
        <v>52</v>
      </c>
      <c r="C1343" s="18" t="str">
        <f>"陈云丽"</f>
        <v>陈云丽</v>
      </c>
      <c r="D1343" s="18" t="str">
        <f t="shared" si="137"/>
        <v>女</v>
      </c>
      <c r="E1343" s="18" t="str">
        <f>"2022013324"</f>
        <v>2022013324</v>
      </c>
      <c r="F1343" s="18">
        <v>48</v>
      </c>
      <c r="G1343" s="18">
        <v>85</v>
      </c>
      <c r="H1343" s="18"/>
      <c r="I1343" s="18" t="s">
        <v>12</v>
      </c>
    </row>
    <row r="1344" s="1" customFormat="1" customHeight="1" spans="1:9">
      <c r="A1344" s="18" t="str">
        <f t="shared" si="136"/>
        <v>B4F</v>
      </c>
      <c r="B1344" s="19" t="s">
        <v>52</v>
      </c>
      <c r="C1344" s="18" t="str">
        <f>"郭桂飞"</f>
        <v>郭桂飞</v>
      </c>
      <c r="D1344" s="18" t="str">
        <f t="shared" si="137"/>
        <v>女</v>
      </c>
      <c r="E1344" s="18" t="str">
        <f>"2022013010"</f>
        <v>2022013010</v>
      </c>
      <c r="F1344" s="18">
        <v>47</v>
      </c>
      <c r="G1344" s="18">
        <v>87</v>
      </c>
      <c r="H1344" s="18"/>
      <c r="I1344" s="18" t="s">
        <v>12</v>
      </c>
    </row>
    <row r="1345" s="1" customFormat="1" customHeight="1" spans="1:9">
      <c r="A1345" s="18" t="str">
        <f t="shared" si="136"/>
        <v>B4F</v>
      </c>
      <c r="B1345" s="19" t="s">
        <v>52</v>
      </c>
      <c r="C1345" s="18" t="str">
        <f>"杨倩"</f>
        <v>杨倩</v>
      </c>
      <c r="D1345" s="18" t="str">
        <f t="shared" si="137"/>
        <v>女</v>
      </c>
      <c r="E1345" s="18" t="str">
        <f>"2022013033"</f>
        <v>2022013033</v>
      </c>
      <c r="F1345" s="18">
        <v>47</v>
      </c>
      <c r="G1345" s="18">
        <v>87</v>
      </c>
      <c r="H1345" s="18"/>
      <c r="I1345" s="18" t="s">
        <v>12</v>
      </c>
    </row>
    <row r="1346" s="1" customFormat="1" customHeight="1" spans="1:9">
      <c r="A1346" s="18" t="str">
        <f t="shared" si="136"/>
        <v>B4F</v>
      </c>
      <c r="B1346" s="19" t="s">
        <v>52</v>
      </c>
      <c r="C1346" s="18" t="str">
        <f>"黄诗凯"</f>
        <v>黄诗凯</v>
      </c>
      <c r="D1346" s="18" t="str">
        <f t="shared" si="137"/>
        <v>女</v>
      </c>
      <c r="E1346" s="18" t="str">
        <f>"2022012934"</f>
        <v>2022012934</v>
      </c>
      <c r="F1346" s="18">
        <v>46</v>
      </c>
      <c r="G1346" s="18">
        <v>89</v>
      </c>
      <c r="H1346" s="18"/>
      <c r="I1346" s="18" t="s">
        <v>12</v>
      </c>
    </row>
    <row r="1347" s="1" customFormat="1" customHeight="1" spans="1:9">
      <c r="A1347" s="18" t="str">
        <f t="shared" si="136"/>
        <v>B4F</v>
      </c>
      <c r="B1347" s="19" t="s">
        <v>52</v>
      </c>
      <c r="C1347" s="18" t="str">
        <f>"邓娟"</f>
        <v>邓娟</v>
      </c>
      <c r="D1347" s="18" t="str">
        <f t="shared" si="137"/>
        <v>女</v>
      </c>
      <c r="E1347" s="18" t="str">
        <f>"2022013227"</f>
        <v>2022013227</v>
      </c>
      <c r="F1347" s="18">
        <v>46</v>
      </c>
      <c r="G1347" s="18">
        <v>89</v>
      </c>
      <c r="H1347" s="18"/>
      <c r="I1347" s="18" t="s">
        <v>12</v>
      </c>
    </row>
    <row r="1348" s="1" customFormat="1" customHeight="1" spans="1:9">
      <c r="A1348" s="18" t="str">
        <f t="shared" si="136"/>
        <v>B4F</v>
      </c>
      <c r="B1348" s="19" t="s">
        <v>52</v>
      </c>
      <c r="C1348" s="18" t="str">
        <f>"卢艳"</f>
        <v>卢艳</v>
      </c>
      <c r="D1348" s="18" t="str">
        <f t="shared" si="137"/>
        <v>女</v>
      </c>
      <c r="E1348" s="18" t="str">
        <f>"2022013017"</f>
        <v>2022013017</v>
      </c>
      <c r="F1348" s="18">
        <v>45</v>
      </c>
      <c r="G1348" s="18">
        <v>91</v>
      </c>
      <c r="H1348" s="18"/>
      <c r="I1348" s="18" t="s">
        <v>12</v>
      </c>
    </row>
    <row r="1349" s="1" customFormat="1" customHeight="1" spans="1:9">
      <c r="A1349" s="18" t="str">
        <f t="shared" si="136"/>
        <v>B4F</v>
      </c>
      <c r="B1349" s="19" t="s">
        <v>52</v>
      </c>
      <c r="C1349" s="18" t="str">
        <f>"陈爱林"</f>
        <v>陈爱林</v>
      </c>
      <c r="D1349" s="18" t="str">
        <f t="shared" si="137"/>
        <v>女</v>
      </c>
      <c r="E1349" s="18" t="str">
        <f>"2022013028"</f>
        <v>2022013028</v>
      </c>
      <c r="F1349" s="18">
        <v>45</v>
      </c>
      <c r="G1349" s="18">
        <v>91</v>
      </c>
      <c r="H1349" s="18"/>
      <c r="I1349" s="18" t="s">
        <v>12</v>
      </c>
    </row>
    <row r="1350" s="1" customFormat="1" customHeight="1" spans="1:9">
      <c r="A1350" s="18" t="str">
        <f t="shared" si="136"/>
        <v>B4F</v>
      </c>
      <c r="B1350" s="19" t="s">
        <v>52</v>
      </c>
      <c r="C1350" s="18" t="str">
        <f>"张思"</f>
        <v>张思</v>
      </c>
      <c r="D1350" s="18" t="str">
        <f t="shared" si="137"/>
        <v>女</v>
      </c>
      <c r="E1350" s="18" t="str">
        <f>"2022013317"</f>
        <v>2022013317</v>
      </c>
      <c r="F1350" s="18">
        <v>45</v>
      </c>
      <c r="G1350" s="18">
        <v>91</v>
      </c>
      <c r="H1350" s="18"/>
      <c r="I1350" s="18" t="s">
        <v>12</v>
      </c>
    </row>
    <row r="1351" s="1" customFormat="1" customHeight="1" spans="1:9">
      <c r="A1351" s="18" t="str">
        <f t="shared" si="136"/>
        <v>B4F</v>
      </c>
      <c r="B1351" s="19" t="s">
        <v>52</v>
      </c>
      <c r="C1351" s="18" t="str">
        <f>"刘燕兰"</f>
        <v>刘燕兰</v>
      </c>
      <c r="D1351" s="18" t="str">
        <f t="shared" si="137"/>
        <v>女</v>
      </c>
      <c r="E1351" s="18" t="str">
        <f>"2022013025"</f>
        <v>2022013025</v>
      </c>
      <c r="F1351" s="18">
        <v>44</v>
      </c>
      <c r="G1351" s="18">
        <v>94</v>
      </c>
      <c r="H1351" s="18"/>
      <c r="I1351" s="18" t="s">
        <v>12</v>
      </c>
    </row>
    <row r="1352" s="1" customFormat="1" customHeight="1" spans="1:9">
      <c r="A1352" s="18" t="str">
        <f t="shared" si="136"/>
        <v>B4F</v>
      </c>
      <c r="B1352" s="19" t="s">
        <v>52</v>
      </c>
      <c r="C1352" s="18" t="str">
        <f>"于娣"</f>
        <v>于娣</v>
      </c>
      <c r="D1352" s="18" t="str">
        <f t="shared" si="137"/>
        <v>女</v>
      </c>
      <c r="E1352" s="18" t="str">
        <f>"2022013114"</f>
        <v>2022013114</v>
      </c>
      <c r="F1352" s="18">
        <v>44</v>
      </c>
      <c r="G1352" s="18">
        <v>94</v>
      </c>
      <c r="H1352" s="18"/>
      <c r="I1352" s="18" t="s">
        <v>12</v>
      </c>
    </row>
    <row r="1353" s="1" customFormat="1" customHeight="1" spans="1:9">
      <c r="A1353" s="18" t="str">
        <f t="shared" si="136"/>
        <v>B4F</v>
      </c>
      <c r="B1353" s="19" t="s">
        <v>52</v>
      </c>
      <c r="C1353" s="18" t="str">
        <f>"蒋玉群"</f>
        <v>蒋玉群</v>
      </c>
      <c r="D1353" s="18" t="str">
        <f t="shared" si="137"/>
        <v>女</v>
      </c>
      <c r="E1353" s="18" t="str">
        <f>"2022013009"</f>
        <v>2022013009</v>
      </c>
      <c r="F1353" s="18">
        <v>42</v>
      </c>
      <c r="G1353" s="18">
        <v>96</v>
      </c>
      <c r="H1353" s="18"/>
      <c r="I1353" s="18" t="s">
        <v>12</v>
      </c>
    </row>
    <row r="1354" s="1" customFormat="1" customHeight="1" spans="1:9">
      <c r="A1354" s="18" t="str">
        <f t="shared" si="136"/>
        <v>B4F</v>
      </c>
      <c r="B1354" s="19" t="s">
        <v>52</v>
      </c>
      <c r="C1354" s="18" t="str">
        <f>"刘霞晖"</f>
        <v>刘霞晖</v>
      </c>
      <c r="D1354" s="18" t="str">
        <f t="shared" si="137"/>
        <v>女</v>
      </c>
      <c r="E1354" s="18" t="str">
        <f>"2022013022"</f>
        <v>2022013022</v>
      </c>
      <c r="F1354" s="18">
        <v>42</v>
      </c>
      <c r="G1354" s="18">
        <v>96</v>
      </c>
      <c r="H1354" s="18"/>
      <c r="I1354" s="18" t="s">
        <v>12</v>
      </c>
    </row>
    <row r="1355" s="1" customFormat="1" customHeight="1" spans="1:9">
      <c r="A1355" s="18" t="str">
        <f t="shared" si="136"/>
        <v>B4F</v>
      </c>
      <c r="B1355" s="19" t="s">
        <v>52</v>
      </c>
      <c r="C1355" s="18" t="str">
        <f>"彭娇英"</f>
        <v>彭娇英</v>
      </c>
      <c r="D1355" s="18" t="str">
        <f t="shared" si="137"/>
        <v>女</v>
      </c>
      <c r="E1355" s="18" t="str">
        <f>"2022013212"</f>
        <v>2022013212</v>
      </c>
      <c r="F1355" s="18">
        <v>42</v>
      </c>
      <c r="G1355" s="18">
        <v>96</v>
      </c>
      <c r="H1355" s="18"/>
      <c r="I1355" s="18" t="s">
        <v>12</v>
      </c>
    </row>
    <row r="1356" s="1" customFormat="1" customHeight="1" spans="1:9">
      <c r="A1356" s="18" t="str">
        <f t="shared" si="136"/>
        <v>B4F</v>
      </c>
      <c r="B1356" s="19" t="s">
        <v>52</v>
      </c>
      <c r="C1356" s="18" t="str">
        <f>"阳帆"</f>
        <v>阳帆</v>
      </c>
      <c r="D1356" s="18" t="str">
        <f t="shared" si="137"/>
        <v>女</v>
      </c>
      <c r="E1356" s="18" t="str">
        <f>"2022013305"</f>
        <v>2022013305</v>
      </c>
      <c r="F1356" s="18">
        <v>42</v>
      </c>
      <c r="G1356" s="18">
        <v>96</v>
      </c>
      <c r="H1356" s="18"/>
      <c r="I1356" s="18" t="s">
        <v>12</v>
      </c>
    </row>
    <row r="1357" s="1" customFormat="1" customHeight="1" spans="1:9">
      <c r="A1357" s="18" t="str">
        <f t="shared" si="136"/>
        <v>B4F</v>
      </c>
      <c r="B1357" s="19" t="s">
        <v>52</v>
      </c>
      <c r="C1357" s="18" t="str">
        <f>"马赛男"</f>
        <v>马赛男</v>
      </c>
      <c r="D1357" s="18" t="str">
        <f t="shared" si="137"/>
        <v>女</v>
      </c>
      <c r="E1357" s="18" t="str">
        <f>"2022013027"</f>
        <v>2022013027</v>
      </c>
      <c r="F1357" s="18">
        <v>41</v>
      </c>
      <c r="G1357" s="18">
        <v>100</v>
      </c>
      <c r="H1357" s="18"/>
      <c r="I1357" s="18" t="s">
        <v>12</v>
      </c>
    </row>
    <row r="1358" s="1" customFormat="1" customHeight="1" spans="1:9">
      <c r="A1358" s="18" t="str">
        <f t="shared" si="136"/>
        <v>B4F</v>
      </c>
      <c r="B1358" s="19" t="s">
        <v>52</v>
      </c>
      <c r="C1358" s="18" t="str">
        <f>"陈丹"</f>
        <v>陈丹</v>
      </c>
      <c r="D1358" s="18" t="str">
        <f t="shared" si="137"/>
        <v>女</v>
      </c>
      <c r="E1358" s="18" t="str">
        <f>"2022013205"</f>
        <v>2022013205</v>
      </c>
      <c r="F1358" s="18">
        <v>41</v>
      </c>
      <c r="G1358" s="18">
        <v>100</v>
      </c>
      <c r="H1358" s="18"/>
      <c r="I1358" s="18" t="s">
        <v>12</v>
      </c>
    </row>
    <row r="1359" s="1" customFormat="1" customHeight="1" spans="1:9">
      <c r="A1359" s="18" t="str">
        <f t="shared" si="136"/>
        <v>B4F</v>
      </c>
      <c r="B1359" s="19" t="s">
        <v>52</v>
      </c>
      <c r="C1359" s="18" t="str">
        <f>"唐斯君"</f>
        <v>唐斯君</v>
      </c>
      <c r="D1359" s="18" t="str">
        <f t="shared" si="137"/>
        <v>女</v>
      </c>
      <c r="E1359" s="18" t="str">
        <f>"2022013019"</f>
        <v>2022013019</v>
      </c>
      <c r="F1359" s="18">
        <v>40</v>
      </c>
      <c r="G1359" s="18">
        <v>102</v>
      </c>
      <c r="H1359" s="18"/>
      <c r="I1359" s="18" t="s">
        <v>12</v>
      </c>
    </row>
    <row r="1360" s="1" customFormat="1" customHeight="1" spans="1:9">
      <c r="A1360" s="18" t="str">
        <f t="shared" si="136"/>
        <v>B4F</v>
      </c>
      <c r="B1360" s="19" t="s">
        <v>52</v>
      </c>
      <c r="C1360" s="18" t="str">
        <f>"罗迎秀"</f>
        <v>罗迎秀</v>
      </c>
      <c r="D1360" s="18" t="str">
        <f t="shared" si="137"/>
        <v>女</v>
      </c>
      <c r="E1360" s="18" t="str">
        <f>"2022012909"</f>
        <v>2022012909</v>
      </c>
      <c r="F1360" s="18">
        <v>39</v>
      </c>
      <c r="G1360" s="18">
        <v>103</v>
      </c>
      <c r="H1360" s="18"/>
      <c r="I1360" s="18" t="s">
        <v>12</v>
      </c>
    </row>
    <row r="1361" s="1" customFormat="1" customHeight="1" spans="1:9">
      <c r="A1361" s="18" t="str">
        <f t="shared" si="136"/>
        <v>B4F</v>
      </c>
      <c r="B1361" s="19" t="s">
        <v>52</v>
      </c>
      <c r="C1361" s="18" t="str">
        <f>"刘一馨"</f>
        <v>刘一馨</v>
      </c>
      <c r="D1361" s="18" t="str">
        <f t="shared" si="137"/>
        <v>女</v>
      </c>
      <c r="E1361" s="18" t="str">
        <f>"2022013124"</f>
        <v>2022013124</v>
      </c>
      <c r="F1361" s="18">
        <v>39</v>
      </c>
      <c r="G1361" s="18">
        <v>103</v>
      </c>
      <c r="H1361" s="18"/>
      <c r="I1361" s="18" t="s">
        <v>12</v>
      </c>
    </row>
    <row r="1362" s="1" customFormat="1" customHeight="1" spans="1:9">
      <c r="A1362" s="18" t="str">
        <f t="shared" si="136"/>
        <v>B4F</v>
      </c>
      <c r="B1362" s="19" t="s">
        <v>52</v>
      </c>
      <c r="C1362" s="18" t="str">
        <f>"文慧君"</f>
        <v>文慧君</v>
      </c>
      <c r="D1362" s="18" t="str">
        <f t="shared" si="137"/>
        <v>女</v>
      </c>
      <c r="E1362" s="18" t="str">
        <f>"2022013307"</f>
        <v>2022013307</v>
      </c>
      <c r="F1362" s="18">
        <v>39</v>
      </c>
      <c r="G1362" s="18">
        <v>103</v>
      </c>
      <c r="H1362" s="18"/>
      <c r="I1362" s="18" t="s">
        <v>12</v>
      </c>
    </row>
    <row r="1363" s="1" customFormat="1" customHeight="1" spans="1:9">
      <c r="A1363" s="18" t="str">
        <f t="shared" si="136"/>
        <v>B4F</v>
      </c>
      <c r="B1363" s="19" t="s">
        <v>52</v>
      </c>
      <c r="C1363" s="18" t="str">
        <f>"曾蓉"</f>
        <v>曾蓉</v>
      </c>
      <c r="D1363" s="18" t="str">
        <f t="shared" si="137"/>
        <v>女</v>
      </c>
      <c r="E1363" s="18" t="str">
        <f>"2022012907"</f>
        <v>2022012907</v>
      </c>
      <c r="F1363" s="18">
        <v>38</v>
      </c>
      <c r="G1363" s="18">
        <v>106</v>
      </c>
      <c r="H1363" s="18"/>
      <c r="I1363" s="18" t="s">
        <v>12</v>
      </c>
    </row>
    <row r="1364" s="1" customFormat="1" customHeight="1" spans="1:9">
      <c r="A1364" s="18" t="str">
        <f t="shared" si="136"/>
        <v>B4F</v>
      </c>
      <c r="B1364" s="19" t="s">
        <v>52</v>
      </c>
      <c r="C1364" s="18" t="str">
        <f>"刘秀金"</f>
        <v>刘秀金</v>
      </c>
      <c r="D1364" s="18" t="str">
        <f t="shared" si="137"/>
        <v>女</v>
      </c>
      <c r="E1364" s="18" t="str">
        <f>"2022012911"</f>
        <v>2022012911</v>
      </c>
      <c r="F1364" s="18">
        <v>38</v>
      </c>
      <c r="G1364" s="18">
        <v>106</v>
      </c>
      <c r="H1364" s="18"/>
      <c r="I1364" s="18" t="s">
        <v>12</v>
      </c>
    </row>
    <row r="1365" s="1" customFormat="1" customHeight="1" spans="1:9">
      <c r="A1365" s="18" t="str">
        <f t="shared" si="136"/>
        <v>B4F</v>
      </c>
      <c r="B1365" s="19" t="s">
        <v>52</v>
      </c>
      <c r="C1365" s="18" t="str">
        <f>"戴丽婷"</f>
        <v>戴丽婷</v>
      </c>
      <c r="D1365" s="18" t="str">
        <f t="shared" si="137"/>
        <v>女</v>
      </c>
      <c r="E1365" s="18" t="str">
        <f>"2022013110"</f>
        <v>2022013110</v>
      </c>
      <c r="F1365" s="18">
        <v>38</v>
      </c>
      <c r="G1365" s="18">
        <v>106</v>
      </c>
      <c r="H1365" s="18"/>
      <c r="I1365" s="18" t="s">
        <v>12</v>
      </c>
    </row>
    <row r="1366" s="1" customFormat="1" customHeight="1" spans="1:9">
      <c r="A1366" s="18" t="str">
        <f t="shared" si="136"/>
        <v>B4F</v>
      </c>
      <c r="B1366" s="19" t="s">
        <v>52</v>
      </c>
      <c r="C1366" s="18" t="str">
        <f>"卢妮"</f>
        <v>卢妮</v>
      </c>
      <c r="D1366" s="18" t="str">
        <f t="shared" si="137"/>
        <v>女</v>
      </c>
      <c r="E1366" s="18" t="str">
        <f>"2022013134"</f>
        <v>2022013134</v>
      </c>
      <c r="F1366" s="18">
        <v>38</v>
      </c>
      <c r="G1366" s="18">
        <v>106</v>
      </c>
      <c r="H1366" s="18"/>
      <c r="I1366" s="18" t="s">
        <v>12</v>
      </c>
    </row>
    <row r="1367" s="1" customFormat="1" customHeight="1" spans="1:9">
      <c r="A1367" s="18" t="str">
        <f t="shared" si="136"/>
        <v>B4F</v>
      </c>
      <c r="B1367" s="19" t="s">
        <v>52</v>
      </c>
      <c r="C1367" s="18" t="str">
        <f>"颜慧"</f>
        <v>颜慧</v>
      </c>
      <c r="D1367" s="18" t="str">
        <f t="shared" si="137"/>
        <v>女</v>
      </c>
      <c r="E1367" s="18" t="str">
        <f>"2022013208"</f>
        <v>2022013208</v>
      </c>
      <c r="F1367" s="18">
        <v>38</v>
      </c>
      <c r="G1367" s="18">
        <v>106</v>
      </c>
      <c r="H1367" s="18"/>
      <c r="I1367" s="18" t="s">
        <v>12</v>
      </c>
    </row>
    <row r="1368" s="1" customFormat="1" customHeight="1" spans="1:9">
      <c r="A1368" s="18" t="str">
        <f t="shared" si="136"/>
        <v>B4F</v>
      </c>
      <c r="B1368" s="19" t="s">
        <v>52</v>
      </c>
      <c r="C1368" s="18" t="str">
        <f>"银戍琼"</f>
        <v>银戍琼</v>
      </c>
      <c r="D1368" s="18" t="str">
        <f t="shared" si="137"/>
        <v>女</v>
      </c>
      <c r="E1368" s="18" t="str">
        <f>"2022013302"</f>
        <v>2022013302</v>
      </c>
      <c r="F1368" s="18">
        <v>38</v>
      </c>
      <c r="G1368" s="18">
        <v>106</v>
      </c>
      <c r="H1368" s="18"/>
      <c r="I1368" s="18" t="s">
        <v>12</v>
      </c>
    </row>
    <row r="1369" s="1" customFormat="1" customHeight="1" spans="1:9">
      <c r="A1369" s="18" t="str">
        <f t="shared" si="136"/>
        <v>B4F</v>
      </c>
      <c r="B1369" s="19" t="s">
        <v>52</v>
      </c>
      <c r="C1369" s="18" t="str">
        <f>"陈丽"</f>
        <v>陈丽</v>
      </c>
      <c r="D1369" s="18" t="str">
        <f t="shared" si="137"/>
        <v>女</v>
      </c>
      <c r="E1369" s="18" t="str">
        <f>"2022013322"</f>
        <v>2022013322</v>
      </c>
      <c r="F1369" s="18">
        <v>37</v>
      </c>
      <c r="G1369" s="18">
        <v>112</v>
      </c>
      <c r="H1369" s="18"/>
      <c r="I1369" s="18" t="s">
        <v>12</v>
      </c>
    </row>
    <row r="1370" s="1" customFormat="1" customHeight="1" spans="1:9">
      <c r="A1370" s="18" t="str">
        <f t="shared" si="136"/>
        <v>B4F</v>
      </c>
      <c r="B1370" s="19" t="s">
        <v>52</v>
      </c>
      <c r="C1370" s="18" t="str">
        <f>"胡梅"</f>
        <v>胡梅</v>
      </c>
      <c r="D1370" s="18" t="str">
        <f t="shared" si="137"/>
        <v>女</v>
      </c>
      <c r="E1370" s="18" t="str">
        <f>"2022013109"</f>
        <v>2022013109</v>
      </c>
      <c r="F1370" s="18">
        <v>35</v>
      </c>
      <c r="G1370" s="18">
        <v>113</v>
      </c>
      <c r="H1370" s="18"/>
      <c r="I1370" s="18" t="s">
        <v>12</v>
      </c>
    </row>
    <row r="1371" s="1" customFormat="1" customHeight="1" spans="1:9">
      <c r="A1371" s="18" t="str">
        <f t="shared" si="136"/>
        <v>B4F</v>
      </c>
      <c r="B1371" s="19" t="s">
        <v>52</v>
      </c>
      <c r="C1371" s="18" t="str">
        <f>"唐泉沛"</f>
        <v>唐泉沛</v>
      </c>
      <c r="D1371" s="18" t="str">
        <f t="shared" si="137"/>
        <v>女</v>
      </c>
      <c r="E1371" s="18" t="str">
        <f>"2022013121"</f>
        <v>2022013121</v>
      </c>
      <c r="F1371" s="18">
        <v>33</v>
      </c>
      <c r="G1371" s="18">
        <v>114</v>
      </c>
      <c r="H1371" s="18"/>
      <c r="I1371" s="18" t="s">
        <v>12</v>
      </c>
    </row>
    <row r="1372" s="1" customFormat="1" customHeight="1" spans="1:9">
      <c r="A1372" s="18" t="str">
        <f t="shared" si="136"/>
        <v>B4F</v>
      </c>
      <c r="B1372" s="19" t="s">
        <v>52</v>
      </c>
      <c r="C1372" s="18" t="str">
        <f>"伍贤敏"</f>
        <v>伍贤敏</v>
      </c>
      <c r="D1372" s="18" t="str">
        <f t="shared" si="137"/>
        <v>女</v>
      </c>
      <c r="E1372" s="18" t="str">
        <f>"2022013131"</f>
        <v>2022013131</v>
      </c>
      <c r="F1372" s="18">
        <v>33</v>
      </c>
      <c r="G1372" s="18">
        <v>114</v>
      </c>
      <c r="H1372" s="18"/>
      <c r="I1372" s="18" t="s">
        <v>12</v>
      </c>
    </row>
    <row r="1373" s="1" customFormat="1" customHeight="1" spans="1:9">
      <c r="A1373" s="18" t="str">
        <f t="shared" si="136"/>
        <v>B4F</v>
      </c>
      <c r="B1373" s="19" t="s">
        <v>52</v>
      </c>
      <c r="C1373" s="18" t="str">
        <f>"唐林枫"</f>
        <v>唐林枫</v>
      </c>
      <c r="D1373" s="18" t="str">
        <f t="shared" si="137"/>
        <v>女</v>
      </c>
      <c r="E1373" s="18" t="str">
        <f>"2022013135"</f>
        <v>2022013135</v>
      </c>
      <c r="F1373" s="18">
        <v>33</v>
      </c>
      <c r="G1373" s="18">
        <v>114</v>
      </c>
      <c r="H1373" s="18"/>
      <c r="I1373" s="18" t="s">
        <v>12</v>
      </c>
    </row>
    <row r="1374" s="1" customFormat="1" customHeight="1" spans="1:9">
      <c r="A1374" s="18" t="str">
        <f t="shared" si="136"/>
        <v>B4F</v>
      </c>
      <c r="B1374" s="19" t="s">
        <v>52</v>
      </c>
      <c r="C1374" s="18" t="str">
        <f>"彭颖"</f>
        <v>彭颖</v>
      </c>
      <c r="D1374" s="18" t="str">
        <f t="shared" si="137"/>
        <v>女</v>
      </c>
      <c r="E1374" s="18" t="str">
        <f>"2022013215"</f>
        <v>2022013215</v>
      </c>
      <c r="F1374" s="18">
        <v>33</v>
      </c>
      <c r="G1374" s="18">
        <v>114</v>
      </c>
      <c r="H1374" s="18"/>
      <c r="I1374" s="18" t="s">
        <v>12</v>
      </c>
    </row>
    <row r="1375" s="1" customFormat="1" customHeight="1" spans="1:9">
      <c r="A1375" s="18" t="str">
        <f t="shared" si="136"/>
        <v>B4F</v>
      </c>
      <c r="B1375" s="19" t="s">
        <v>52</v>
      </c>
      <c r="C1375" s="18" t="str">
        <f>"陈晓玉"</f>
        <v>陈晓玉</v>
      </c>
      <c r="D1375" s="18" t="str">
        <f t="shared" si="137"/>
        <v>女</v>
      </c>
      <c r="E1375" s="18" t="str">
        <f>"2022013316"</f>
        <v>2022013316</v>
      </c>
      <c r="F1375" s="18">
        <v>32</v>
      </c>
      <c r="G1375" s="18">
        <v>118</v>
      </c>
      <c r="H1375" s="18"/>
      <c r="I1375" s="18" t="s">
        <v>12</v>
      </c>
    </row>
    <row r="1376" s="1" customFormat="1" customHeight="1" spans="1:9">
      <c r="A1376" s="18" t="str">
        <f t="shared" si="136"/>
        <v>B4F</v>
      </c>
      <c r="B1376" s="19" t="s">
        <v>52</v>
      </c>
      <c r="C1376" s="18" t="str">
        <f>"肖爱妮"</f>
        <v>肖爱妮</v>
      </c>
      <c r="D1376" s="18" t="str">
        <f t="shared" si="137"/>
        <v>女</v>
      </c>
      <c r="E1376" s="18" t="str">
        <f>"2022012931"</f>
        <v>2022012931</v>
      </c>
      <c r="F1376" s="18">
        <v>31</v>
      </c>
      <c r="G1376" s="18">
        <v>119</v>
      </c>
      <c r="H1376" s="18"/>
      <c r="I1376" s="18" t="s">
        <v>12</v>
      </c>
    </row>
    <row r="1377" s="1" customFormat="1" customHeight="1" spans="1:9">
      <c r="A1377" s="18" t="str">
        <f t="shared" si="136"/>
        <v>B4F</v>
      </c>
      <c r="B1377" s="19" t="s">
        <v>52</v>
      </c>
      <c r="C1377" s="18" t="str">
        <f>"刘苏冰"</f>
        <v>刘苏冰</v>
      </c>
      <c r="D1377" s="18" t="str">
        <f t="shared" si="137"/>
        <v>女</v>
      </c>
      <c r="E1377" s="18" t="str">
        <f>"2022013104"</f>
        <v>2022013104</v>
      </c>
      <c r="F1377" s="18">
        <v>30</v>
      </c>
      <c r="G1377" s="18">
        <v>120</v>
      </c>
      <c r="H1377" s="18"/>
      <c r="I1377" s="18" t="s">
        <v>12</v>
      </c>
    </row>
    <row r="1378" s="1" customFormat="1" customHeight="1" spans="1:9">
      <c r="A1378" s="18" t="str">
        <f t="shared" si="136"/>
        <v>B4F</v>
      </c>
      <c r="B1378" s="19" t="s">
        <v>52</v>
      </c>
      <c r="C1378" s="18" t="str">
        <f>"席志杰"</f>
        <v>席志杰</v>
      </c>
      <c r="D1378" s="18" t="str">
        <f t="shared" si="137"/>
        <v>女</v>
      </c>
      <c r="E1378" s="18" t="str">
        <f>"2022013107"</f>
        <v>2022013107</v>
      </c>
      <c r="F1378" s="18">
        <v>29</v>
      </c>
      <c r="G1378" s="18">
        <v>121</v>
      </c>
      <c r="H1378" s="18"/>
      <c r="I1378" s="18" t="s">
        <v>12</v>
      </c>
    </row>
    <row r="1379" s="1" customFormat="1" customHeight="1" spans="1:9">
      <c r="A1379" s="18" t="str">
        <f t="shared" si="136"/>
        <v>B4F</v>
      </c>
      <c r="B1379" s="19" t="s">
        <v>52</v>
      </c>
      <c r="C1379" s="18" t="str">
        <f>"黄丽容"</f>
        <v>黄丽容</v>
      </c>
      <c r="D1379" s="18" t="str">
        <f t="shared" si="137"/>
        <v>女</v>
      </c>
      <c r="E1379" s="18" t="str">
        <f>"2022013308"</f>
        <v>2022013308</v>
      </c>
      <c r="F1379" s="18">
        <v>29</v>
      </c>
      <c r="G1379" s="18">
        <v>121</v>
      </c>
      <c r="H1379" s="18"/>
      <c r="I1379" s="18" t="s">
        <v>12</v>
      </c>
    </row>
    <row r="1380" s="1" customFormat="1" customHeight="1" spans="1:9">
      <c r="A1380" s="18" t="str">
        <f t="shared" si="136"/>
        <v>B4F</v>
      </c>
      <c r="B1380" s="19" t="s">
        <v>52</v>
      </c>
      <c r="C1380" s="18" t="str">
        <f>"张洁琼"</f>
        <v>张洁琼</v>
      </c>
      <c r="D1380" s="18" t="str">
        <f t="shared" si="137"/>
        <v>女</v>
      </c>
      <c r="E1380" s="18" t="str">
        <f>"2022013318"</f>
        <v>2022013318</v>
      </c>
      <c r="F1380" s="18">
        <v>29</v>
      </c>
      <c r="G1380" s="18">
        <v>121</v>
      </c>
      <c r="H1380" s="18"/>
      <c r="I1380" s="18" t="s">
        <v>12</v>
      </c>
    </row>
    <row r="1381" s="1" customFormat="1" customHeight="1" spans="1:9">
      <c r="A1381" s="18" t="str">
        <f t="shared" si="136"/>
        <v>B4F</v>
      </c>
      <c r="B1381" s="19" t="s">
        <v>52</v>
      </c>
      <c r="C1381" s="18" t="str">
        <f>"王婷"</f>
        <v>王婷</v>
      </c>
      <c r="D1381" s="18" t="str">
        <f t="shared" si="137"/>
        <v>女</v>
      </c>
      <c r="E1381" s="18" t="str">
        <f>"2022013327"</f>
        <v>2022013327</v>
      </c>
      <c r="F1381" s="18">
        <v>29</v>
      </c>
      <c r="G1381" s="18">
        <v>121</v>
      </c>
      <c r="H1381" s="18"/>
      <c r="I1381" s="18" t="s">
        <v>12</v>
      </c>
    </row>
    <row r="1382" s="1" customFormat="1" customHeight="1" spans="1:9">
      <c r="A1382" s="18" t="str">
        <f t="shared" si="136"/>
        <v>B4F</v>
      </c>
      <c r="B1382" s="19" t="s">
        <v>52</v>
      </c>
      <c r="C1382" s="18" t="str">
        <f>"万雅莉"</f>
        <v>万雅莉</v>
      </c>
      <c r="D1382" s="18" t="str">
        <f t="shared" si="137"/>
        <v>女</v>
      </c>
      <c r="E1382" s="18" t="str">
        <f>"2022012923"</f>
        <v>2022012923</v>
      </c>
      <c r="F1382" s="18">
        <v>28</v>
      </c>
      <c r="G1382" s="18">
        <v>125</v>
      </c>
      <c r="H1382" s="18"/>
      <c r="I1382" s="18" t="s">
        <v>12</v>
      </c>
    </row>
    <row r="1383" s="1" customFormat="1" customHeight="1" spans="1:9">
      <c r="A1383" s="18" t="str">
        <f t="shared" si="136"/>
        <v>B4F</v>
      </c>
      <c r="B1383" s="19" t="s">
        <v>52</v>
      </c>
      <c r="C1383" s="18" t="str">
        <f>"王奇"</f>
        <v>王奇</v>
      </c>
      <c r="D1383" s="18" t="str">
        <f t="shared" si="137"/>
        <v>女</v>
      </c>
      <c r="E1383" s="18" t="str">
        <f>"2022013120"</f>
        <v>2022013120</v>
      </c>
      <c r="F1383" s="18">
        <v>28</v>
      </c>
      <c r="G1383" s="18">
        <v>125</v>
      </c>
      <c r="H1383" s="18"/>
      <c r="I1383" s="18" t="s">
        <v>12</v>
      </c>
    </row>
    <row r="1384" s="1" customFormat="1" customHeight="1" spans="1:9">
      <c r="A1384" s="18" t="str">
        <f t="shared" si="136"/>
        <v>B4F</v>
      </c>
      <c r="B1384" s="19" t="s">
        <v>52</v>
      </c>
      <c r="C1384" s="18" t="str">
        <f>"唐英"</f>
        <v>唐英</v>
      </c>
      <c r="D1384" s="18" t="str">
        <f t="shared" si="137"/>
        <v>女</v>
      </c>
      <c r="E1384" s="18" t="str">
        <f>"2022013403"</f>
        <v>2022013403</v>
      </c>
      <c r="F1384" s="18">
        <v>28</v>
      </c>
      <c r="G1384" s="18">
        <v>125</v>
      </c>
      <c r="H1384" s="18"/>
      <c r="I1384" s="18" t="s">
        <v>12</v>
      </c>
    </row>
    <row r="1385" s="1" customFormat="1" customHeight="1" spans="1:9">
      <c r="A1385" s="18" t="str">
        <f t="shared" si="136"/>
        <v>B4F</v>
      </c>
      <c r="B1385" s="19" t="s">
        <v>52</v>
      </c>
      <c r="C1385" s="18" t="str">
        <f>"游芳艳"</f>
        <v>游芳艳</v>
      </c>
      <c r="D1385" s="18" t="str">
        <f t="shared" si="137"/>
        <v>女</v>
      </c>
      <c r="E1385" s="18" t="str">
        <f>"2022013128"</f>
        <v>2022013128</v>
      </c>
      <c r="F1385" s="18">
        <v>26</v>
      </c>
      <c r="G1385" s="18">
        <v>128</v>
      </c>
      <c r="H1385" s="18"/>
      <c r="I1385" s="18" t="s">
        <v>12</v>
      </c>
    </row>
    <row r="1386" s="1" customFormat="1" customHeight="1" spans="1:9">
      <c r="A1386" s="18" t="str">
        <f t="shared" ref="A1386:A1437" si="138">"B4F"</f>
        <v>B4F</v>
      </c>
      <c r="B1386" s="19" t="s">
        <v>52</v>
      </c>
      <c r="C1386" s="18" t="str">
        <f>"刘金花"</f>
        <v>刘金花</v>
      </c>
      <c r="D1386" s="18" t="str">
        <f t="shared" ref="D1386:D1449" si="139">"女"</f>
        <v>女</v>
      </c>
      <c r="E1386" s="18" t="str">
        <f>"2022013129"</f>
        <v>2022013129</v>
      </c>
      <c r="F1386" s="18">
        <v>24</v>
      </c>
      <c r="G1386" s="18">
        <v>129</v>
      </c>
      <c r="H1386" s="18"/>
      <c r="I1386" s="18" t="s">
        <v>12</v>
      </c>
    </row>
    <row r="1387" s="1" customFormat="1" customHeight="1" spans="1:9">
      <c r="A1387" s="18" t="str">
        <f t="shared" si="138"/>
        <v>B4F</v>
      </c>
      <c r="B1387" s="19" t="s">
        <v>52</v>
      </c>
      <c r="C1387" s="18" t="str">
        <f>"陈红艳"</f>
        <v>陈红艳</v>
      </c>
      <c r="D1387" s="18" t="str">
        <f t="shared" si="139"/>
        <v>女</v>
      </c>
      <c r="E1387" s="18" t="str">
        <f>"2022012913"</f>
        <v>2022012913</v>
      </c>
      <c r="F1387" s="18">
        <v>23</v>
      </c>
      <c r="G1387" s="18">
        <v>130</v>
      </c>
      <c r="H1387" s="18"/>
      <c r="I1387" s="18" t="s">
        <v>12</v>
      </c>
    </row>
    <row r="1388" s="1" customFormat="1" customHeight="1" spans="1:9">
      <c r="A1388" s="18" t="str">
        <f t="shared" si="138"/>
        <v>B4F</v>
      </c>
      <c r="B1388" s="19" t="s">
        <v>52</v>
      </c>
      <c r="C1388" s="18" t="str">
        <f>"罗瑶"</f>
        <v>罗瑶</v>
      </c>
      <c r="D1388" s="18" t="str">
        <f t="shared" si="139"/>
        <v>女</v>
      </c>
      <c r="E1388" s="18" t="str">
        <f>"2022013235"</f>
        <v>2022013235</v>
      </c>
      <c r="F1388" s="18">
        <v>18</v>
      </c>
      <c r="G1388" s="18">
        <v>131</v>
      </c>
      <c r="H1388" s="18"/>
      <c r="I1388" s="18" t="s">
        <v>12</v>
      </c>
    </row>
    <row r="1389" s="1" customFormat="1" customHeight="1" spans="1:9">
      <c r="A1389" s="18" t="str">
        <f t="shared" si="138"/>
        <v>B4F</v>
      </c>
      <c r="B1389" s="19" t="s">
        <v>52</v>
      </c>
      <c r="C1389" s="18" t="str">
        <f>" 李晨"</f>
        <v> 李晨</v>
      </c>
      <c r="D1389" s="18" t="str">
        <f t="shared" si="139"/>
        <v>女</v>
      </c>
      <c r="E1389" s="18" t="str">
        <f>"2022012908"</f>
        <v>2022012908</v>
      </c>
      <c r="F1389" s="18">
        <v>0</v>
      </c>
      <c r="G1389" s="18">
        <v>132</v>
      </c>
      <c r="H1389" s="18" t="s">
        <v>13</v>
      </c>
      <c r="I1389" s="18" t="s">
        <v>12</v>
      </c>
    </row>
    <row r="1390" s="1" customFormat="1" customHeight="1" spans="1:9">
      <c r="A1390" s="18" t="str">
        <f t="shared" si="138"/>
        <v>B4F</v>
      </c>
      <c r="B1390" s="19" t="s">
        <v>52</v>
      </c>
      <c r="C1390" s="18" t="str">
        <f>"袁文健"</f>
        <v>袁文健</v>
      </c>
      <c r="D1390" s="18" t="str">
        <f t="shared" si="139"/>
        <v>女</v>
      </c>
      <c r="E1390" s="18" t="str">
        <f>"2022012912"</f>
        <v>2022012912</v>
      </c>
      <c r="F1390" s="18">
        <v>0</v>
      </c>
      <c r="G1390" s="18">
        <v>132</v>
      </c>
      <c r="H1390" s="18" t="s">
        <v>13</v>
      </c>
      <c r="I1390" s="18" t="s">
        <v>12</v>
      </c>
    </row>
    <row r="1391" s="1" customFormat="1" customHeight="1" spans="1:9">
      <c r="A1391" s="18" t="str">
        <f t="shared" si="138"/>
        <v>B4F</v>
      </c>
      <c r="B1391" s="19" t="s">
        <v>52</v>
      </c>
      <c r="C1391" s="18" t="str">
        <f>"邓莹"</f>
        <v>邓莹</v>
      </c>
      <c r="D1391" s="18" t="str">
        <f t="shared" si="139"/>
        <v>女</v>
      </c>
      <c r="E1391" s="18" t="str">
        <f>"2022012916"</f>
        <v>2022012916</v>
      </c>
      <c r="F1391" s="18">
        <v>0</v>
      </c>
      <c r="G1391" s="18">
        <v>132</v>
      </c>
      <c r="H1391" s="18" t="s">
        <v>13</v>
      </c>
      <c r="I1391" s="18" t="s">
        <v>12</v>
      </c>
    </row>
    <row r="1392" s="1" customFormat="1" customHeight="1" spans="1:9">
      <c r="A1392" s="18" t="str">
        <f t="shared" si="138"/>
        <v>B4F</v>
      </c>
      <c r="B1392" s="19" t="s">
        <v>52</v>
      </c>
      <c r="C1392" s="18" t="str">
        <f>"申依萌"</f>
        <v>申依萌</v>
      </c>
      <c r="D1392" s="18" t="str">
        <f t="shared" si="139"/>
        <v>女</v>
      </c>
      <c r="E1392" s="18" t="str">
        <f>"2022012917"</f>
        <v>2022012917</v>
      </c>
      <c r="F1392" s="18">
        <v>0</v>
      </c>
      <c r="G1392" s="18">
        <v>132</v>
      </c>
      <c r="H1392" s="18" t="s">
        <v>13</v>
      </c>
      <c r="I1392" s="18" t="s">
        <v>12</v>
      </c>
    </row>
    <row r="1393" s="1" customFormat="1" customHeight="1" spans="1:9">
      <c r="A1393" s="18" t="str">
        <f t="shared" si="138"/>
        <v>B4F</v>
      </c>
      <c r="B1393" s="19" t="s">
        <v>52</v>
      </c>
      <c r="C1393" s="18" t="str">
        <f>"罗婷"</f>
        <v>罗婷</v>
      </c>
      <c r="D1393" s="18" t="str">
        <f t="shared" si="139"/>
        <v>女</v>
      </c>
      <c r="E1393" s="18" t="str">
        <f>"2022012919"</f>
        <v>2022012919</v>
      </c>
      <c r="F1393" s="18">
        <v>0</v>
      </c>
      <c r="G1393" s="18">
        <v>132</v>
      </c>
      <c r="H1393" s="18" t="s">
        <v>13</v>
      </c>
      <c r="I1393" s="18" t="s">
        <v>12</v>
      </c>
    </row>
    <row r="1394" s="1" customFormat="1" customHeight="1" spans="1:9">
      <c r="A1394" s="18" t="str">
        <f t="shared" si="138"/>
        <v>B4F</v>
      </c>
      <c r="B1394" s="19" t="s">
        <v>52</v>
      </c>
      <c r="C1394" s="18" t="str">
        <f>"谢烨荣"</f>
        <v>谢烨荣</v>
      </c>
      <c r="D1394" s="18" t="str">
        <f t="shared" si="139"/>
        <v>女</v>
      </c>
      <c r="E1394" s="18" t="str">
        <f>"2022012921"</f>
        <v>2022012921</v>
      </c>
      <c r="F1394" s="18">
        <v>0</v>
      </c>
      <c r="G1394" s="18">
        <v>132</v>
      </c>
      <c r="H1394" s="18" t="s">
        <v>13</v>
      </c>
      <c r="I1394" s="18" t="s">
        <v>12</v>
      </c>
    </row>
    <row r="1395" s="1" customFormat="1" customHeight="1" spans="1:9">
      <c r="A1395" s="18" t="str">
        <f t="shared" si="138"/>
        <v>B4F</v>
      </c>
      <c r="B1395" s="19" t="s">
        <v>52</v>
      </c>
      <c r="C1395" s="18" t="str">
        <f>"廖梦姣"</f>
        <v>廖梦姣</v>
      </c>
      <c r="D1395" s="18" t="str">
        <f t="shared" si="139"/>
        <v>女</v>
      </c>
      <c r="E1395" s="18" t="str">
        <f>"2022012926"</f>
        <v>2022012926</v>
      </c>
      <c r="F1395" s="18">
        <v>0</v>
      </c>
      <c r="G1395" s="18">
        <v>132</v>
      </c>
      <c r="H1395" s="18" t="s">
        <v>13</v>
      </c>
      <c r="I1395" s="18" t="s">
        <v>12</v>
      </c>
    </row>
    <row r="1396" s="1" customFormat="1" customHeight="1" spans="1:9">
      <c r="A1396" s="18" t="str">
        <f t="shared" si="138"/>
        <v>B4F</v>
      </c>
      <c r="B1396" s="19" t="s">
        <v>52</v>
      </c>
      <c r="C1396" s="18" t="str">
        <f>"刘双惠"</f>
        <v>刘双惠</v>
      </c>
      <c r="D1396" s="18" t="str">
        <f t="shared" si="139"/>
        <v>女</v>
      </c>
      <c r="E1396" s="18" t="str">
        <f>"2022012927"</f>
        <v>2022012927</v>
      </c>
      <c r="F1396" s="18">
        <v>0</v>
      </c>
      <c r="G1396" s="18">
        <v>132</v>
      </c>
      <c r="H1396" s="18" t="s">
        <v>13</v>
      </c>
      <c r="I1396" s="18" t="s">
        <v>12</v>
      </c>
    </row>
    <row r="1397" s="1" customFormat="1" customHeight="1" spans="1:9">
      <c r="A1397" s="18" t="str">
        <f t="shared" si="138"/>
        <v>B4F</v>
      </c>
      <c r="B1397" s="19" t="s">
        <v>52</v>
      </c>
      <c r="C1397" s="18" t="str">
        <f>"余甜"</f>
        <v>余甜</v>
      </c>
      <c r="D1397" s="18" t="str">
        <f t="shared" si="139"/>
        <v>女</v>
      </c>
      <c r="E1397" s="18" t="str">
        <f>"2022012928"</f>
        <v>2022012928</v>
      </c>
      <c r="F1397" s="18">
        <v>0</v>
      </c>
      <c r="G1397" s="18">
        <v>132</v>
      </c>
      <c r="H1397" s="18" t="s">
        <v>13</v>
      </c>
      <c r="I1397" s="18" t="s">
        <v>12</v>
      </c>
    </row>
    <row r="1398" s="1" customFormat="1" customHeight="1" spans="1:9">
      <c r="A1398" s="18" t="str">
        <f t="shared" si="138"/>
        <v>B4F</v>
      </c>
      <c r="B1398" s="19" t="s">
        <v>52</v>
      </c>
      <c r="C1398" s="18" t="str">
        <f>"刘爱丽"</f>
        <v>刘爱丽</v>
      </c>
      <c r="D1398" s="18" t="str">
        <f t="shared" si="139"/>
        <v>女</v>
      </c>
      <c r="E1398" s="18" t="str">
        <f>"2022012930"</f>
        <v>2022012930</v>
      </c>
      <c r="F1398" s="18">
        <v>0</v>
      </c>
      <c r="G1398" s="18">
        <v>132</v>
      </c>
      <c r="H1398" s="18" t="s">
        <v>13</v>
      </c>
      <c r="I1398" s="18" t="s">
        <v>12</v>
      </c>
    </row>
    <row r="1399" s="1" customFormat="1" customHeight="1" spans="1:9">
      <c r="A1399" s="18" t="str">
        <f t="shared" si="138"/>
        <v>B4F</v>
      </c>
      <c r="B1399" s="19" t="s">
        <v>52</v>
      </c>
      <c r="C1399" s="18" t="str">
        <f>"贺凤姣"</f>
        <v>贺凤姣</v>
      </c>
      <c r="D1399" s="18" t="str">
        <f t="shared" si="139"/>
        <v>女</v>
      </c>
      <c r="E1399" s="18" t="str">
        <f>"2022013004"</f>
        <v>2022013004</v>
      </c>
      <c r="F1399" s="18">
        <v>0</v>
      </c>
      <c r="G1399" s="18">
        <v>132</v>
      </c>
      <c r="H1399" s="18" t="s">
        <v>13</v>
      </c>
      <c r="I1399" s="18" t="s">
        <v>12</v>
      </c>
    </row>
    <row r="1400" s="1" customFormat="1" customHeight="1" spans="1:9">
      <c r="A1400" s="18" t="str">
        <f t="shared" si="138"/>
        <v>B4F</v>
      </c>
      <c r="B1400" s="19" t="s">
        <v>52</v>
      </c>
      <c r="C1400" s="18" t="str">
        <f>"杨琳"</f>
        <v>杨琳</v>
      </c>
      <c r="D1400" s="18" t="str">
        <f t="shared" si="139"/>
        <v>女</v>
      </c>
      <c r="E1400" s="18" t="str">
        <f>"2022013005"</f>
        <v>2022013005</v>
      </c>
      <c r="F1400" s="18">
        <v>0</v>
      </c>
      <c r="G1400" s="18">
        <v>132</v>
      </c>
      <c r="H1400" s="18" t="s">
        <v>13</v>
      </c>
      <c r="I1400" s="18" t="s">
        <v>12</v>
      </c>
    </row>
    <row r="1401" s="1" customFormat="1" customHeight="1" spans="1:9">
      <c r="A1401" s="18" t="str">
        <f t="shared" si="138"/>
        <v>B4F</v>
      </c>
      <c r="B1401" s="19" t="s">
        <v>52</v>
      </c>
      <c r="C1401" s="18" t="str">
        <f>"戴玉东"</f>
        <v>戴玉东</v>
      </c>
      <c r="D1401" s="18" t="str">
        <f t="shared" si="139"/>
        <v>女</v>
      </c>
      <c r="E1401" s="18" t="str">
        <f>"2022013015"</f>
        <v>2022013015</v>
      </c>
      <c r="F1401" s="18">
        <v>0</v>
      </c>
      <c r="G1401" s="18">
        <v>132</v>
      </c>
      <c r="H1401" s="18" t="s">
        <v>13</v>
      </c>
      <c r="I1401" s="18" t="s">
        <v>12</v>
      </c>
    </row>
    <row r="1402" s="1" customFormat="1" customHeight="1" spans="1:9">
      <c r="A1402" s="18" t="str">
        <f t="shared" si="138"/>
        <v>B4F</v>
      </c>
      <c r="B1402" s="19" t="s">
        <v>52</v>
      </c>
      <c r="C1402" s="18" t="str">
        <f>"伍倩"</f>
        <v>伍倩</v>
      </c>
      <c r="D1402" s="18" t="str">
        <f t="shared" si="139"/>
        <v>女</v>
      </c>
      <c r="E1402" s="18" t="str">
        <f>"2022013018"</f>
        <v>2022013018</v>
      </c>
      <c r="F1402" s="18">
        <v>0</v>
      </c>
      <c r="G1402" s="18">
        <v>132</v>
      </c>
      <c r="H1402" s="18" t="s">
        <v>13</v>
      </c>
      <c r="I1402" s="18" t="s">
        <v>12</v>
      </c>
    </row>
    <row r="1403" s="1" customFormat="1" customHeight="1" spans="1:9">
      <c r="A1403" s="18" t="str">
        <f t="shared" si="138"/>
        <v>B4F</v>
      </c>
      <c r="B1403" s="19" t="s">
        <v>52</v>
      </c>
      <c r="C1403" s="18" t="str">
        <f>"龙长银"</f>
        <v>龙长银</v>
      </c>
      <c r="D1403" s="18" t="str">
        <f t="shared" si="139"/>
        <v>女</v>
      </c>
      <c r="E1403" s="18" t="str">
        <f>"2022013026"</f>
        <v>2022013026</v>
      </c>
      <c r="F1403" s="18">
        <v>0</v>
      </c>
      <c r="G1403" s="18">
        <v>132</v>
      </c>
      <c r="H1403" s="18" t="s">
        <v>13</v>
      </c>
      <c r="I1403" s="18" t="s">
        <v>12</v>
      </c>
    </row>
    <row r="1404" s="1" customFormat="1" customHeight="1" spans="1:9">
      <c r="A1404" s="18" t="str">
        <f t="shared" si="138"/>
        <v>B4F</v>
      </c>
      <c r="B1404" s="19" t="s">
        <v>52</v>
      </c>
      <c r="C1404" s="18" t="str">
        <f>"夏旭"</f>
        <v>夏旭</v>
      </c>
      <c r="D1404" s="18" t="str">
        <f t="shared" si="139"/>
        <v>女</v>
      </c>
      <c r="E1404" s="18" t="str">
        <f>"2022013029"</f>
        <v>2022013029</v>
      </c>
      <c r="F1404" s="18">
        <v>0</v>
      </c>
      <c r="G1404" s="18">
        <v>132</v>
      </c>
      <c r="H1404" s="18" t="s">
        <v>13</v>
      </c>
      <c r="I1404" s="18" t="s">
        <v>12</v>
      </c>
    </row>
    <row r="1405" s="1" customFormat="1" customHeight="1" spans="1:9">
      <c r="A1405" s="18" t="str">
        <f t="shared" si="138"/>
        <v>B4F</v>
      </c>
      <c r="B1405" s="19" t="s">
        <v>52</v>
      </c>
      <c r="C1405" s="18" t="str">
        <f>"段萍萍"</f>
        <v>段萍萍</v>
      </c>
      <c r="D1405" s="18" t="str">
        <f t="shared" si="139"/>
        <v>女</v>
      </c>
      <c r="E1405" s="18" t="str">
        <f>"2022013030"</f>
        <v>2022013030</v>
      </c>
      <c r="F1405" s="18">
        <v>0</v>
      </c>
      <c r="G1405" s="18">
        <v>132</v>
      </c>
      <c r="H1405" s="18" t="s">
        <v>13</v>
      </c>
      <c r="I1405" s="18" t="s">
        <v>12</v>
      </c>
    </row>
    <row r="1406" s="1" customFormat="1" customHeight="1" spans="1:9">
      <c r="A1406" s="18" t="str">
        <f t="shared" si="138"/>
        <v>B4F</v>
      </c>
      <c r="B1406" s="19" t="s">
        <v>52</v>
      </c>
      <c r="C1406" s="18" t="str">
        <f>"刘文思"</f>
        <v>刘文思</v>
      </c>
      <c r="D1406" s="18" t="str">
        <f t="shared" si="139"/>
        <v>女</v>
      </c>
      <c r="E1406" s="18" t="str">
        <f>"2022013031"</f>
        <v>2022013031</v>
      </c>
      <c r="F1406" s="18">
        <v>0</v>
      </c>
      <c r="G1406" s="18">
        <v>132</v>
      </c>
      <c r="H1406" s="18" t="s">
        <v>13</v>
      </c>
      <c r="I1406" s="18" t="s">
        <v>12</v>
      </c>
    </row>
    <row r="1407" s="1" customFormat="1" customHeight="1" spans="1:9">
      <c r="A1407" s="18" t="str">
        <f t="shared" si="138"/>
        <v>B4F</v>
      </c>
      <c r="B1407" s="19" t="s">
        <v>52</v>
      </c>
      <c r="C1407" s="18" t="str">
        <f>"唐运培"</f>
        <v>唐运培</v>
      </c>
      <c r="D1407" s="18" t="str">
        <f t="shared" si="139"/>
        <v>女</v>
      </c>
      <c r="E1407" s="18" t="str">
        <f>"2022013105"</f>
        <v>2022013105</v>
      </c>
      <c r="F1407" s="18">
        <v>0</v>
      </c>
      <c r="G1407" s="18">
        <v>132</v>
      </c>
      <c r="H1407" s="18" t="s">
        <v>13</v>
      </c>
      <c r="I1407" s="18" t="s">
        <v>12</v>
      </c>
    </row>
    <row r="1408" s="1" customFormat="1" customHeight="1" spans="1:9">
      <c r="A1408" s="18" t="str">
        <f t="shared" si="138"/>
        <v>B4F</v>
      </c>
      <c r="B1408" s="19" t="s">
        <v>52</v>
      </c>
      <c r="C1408" s="18" t="str">
        <f>"黎思"</f>
        <v>黎思</v>
      </c>
      <c r="D1408" s="18" t="str">
        <f t="shared" si="139"/>
        <v>女</v>
      </c>
      <c r="E1408" s="18" t="str">
        <f>"2022013112"</f>
        <v>2022013112</v>
      </c>
      <c r="F1408" s="18">
        <v>0</v>
      </c>
      <c r="G1408" s="18">
        <v>132</v>
      </c>
      <c r="H1408" s="18" t="s">
        <v>13</v>
      </c>
      <c r="I1408" s="18" t="s">
        <v>12</v>
      </c>
    </row>
    <row r="1409" s="1" customFormat="1" customHeight="1" spans="1:9">
      <c r="A1409" s="18" t="str">
        <f t="shared" si="138"/>
        <v>B4F</v>
      </c>
      <c r="B1409" s="19" t="s">
        <v>52</v>
      </c>
      <c r="C1409" s="18" t="str">
        <f>"邓新凤"</f>
        <v>邓新凤</v>
      </c>
      <c r="D1409" s="18" t="str">
        <f t="shared" si="139"/>
        <v>女</v>
      </c>
      <c r="E1409" s="18" t="str">
        <f>"2022013115"</f>
        <v>2022013115</v>
      </c>
      <c r="F1409" s="18">
        <v>0</v>
      </c>
      <c r="G1409" s="18">
        <v>132</v>
      </c>
      <c r="H1409" s="18" t="s">
        <v>13</v>
      </c>
      <c r="I1409" s="18" t="s">
        <v>12</v>
      </c>
    </row>
    <row r="1410" s="1" customFormat="1" customHeight="1" spans="1:9">
      <c r="A1410" s="18" t="str">
        <f t="shared" si="138"/>
        <v>B4F</v>
      </c>
      <c r="B1410" s="19" t="s">
        <v>52</v>
      </c>
      <c r="C1410" s="18" t="str">
        <f>"蒋艳梅"</f>
        <v>蒋艳梅</v>
      </c>
      <c r="D1410" s="18" t="str">
        <f t="shared" si="139"/>
        <v>女</v>
      </c>
      <c r="E1410" s="18" t="str">
        <f>"2022013125"</f>
        <v>2022013125</v>
      </c>
      <c r="F1410" s="18">
        <v>0</v>
      </c>
      <c r="G1410" s="18">
        <v>132</v>
      </c>
      <c r="H1410" s="18" t="s">
        <v>13</v>
      </c>
      <c r="I1410" s="18" t="s">
        <v>12</v>
      </c>
    </row>
    <row r="1411" s="1" customFormat="1" customHeight="1" spans="1:9">
      <c r="A1411" s="18" t="str">
        <f t="shared" si="138"/>
        <v>B4F</v>
      </c>
      <c r="B1411" s="19" t="s">
        <v>52</v>
      </c>
      <c r="C1411" s="18" t="str">
        <f>"邓园英"</f>
        <v>邓园英</v>
      </c>
      <c r="D1411" s="18" t="str">
        <f t="shared" si="139"/>
        <v>女</v>
      </c>
      <c r="E1411" s="18" t="str">
        <f>"2022013126"</f>
        <v>2022013126</v>
      </c>
      <c r="F1411" s="18">
        <v>0</v>
      </c>
      <c r="G1411" s="18">
        <v>132</v>
      </c>
      <c r="H1411" s="18" t="s">
        <v>13</v>
      </c>
      <c r="I1411" s="18" t="s">
        <v>12</v>
      </c>
    </row>
    <row r="1412" s="1" customFormat="1" customHeight="1" spans="1:9">
      <c r="A1412" s="18" t="str">
        <f t="shared" si="138"/>
        <v>B4F</v>
      </c>
      <c r="B1412" s="19" t="s">
        <v>52</v>
      </c>
      <c r="C1412" s="18" t="str">
        <f>"杨朝慧"</f>
        <v>杨朝慧</v>
      </c>
      <c r="D1412" s="18" t="str">
        <f t="shared" si="139"/>
        <v>女</v>
      </c>
      <c r="E1412" s="18" t="str">
        <f>"2022013127"</f>
        <v>2022013127</v>
      </c>
      <c r="F1412" s="18">
        <v>0</v>
      </c>
      <c r="G1412" s="18">
        <v>132</v>
      </c>
      <c r="H1412" s="18" t="s">
        <v>13</v>
      </c>
      <c r="I1412" s="18" t="s">
        <v>12</v>
      </c>
    </row>
    <row r="1413" s="1" customFormat="1" customHeight="1" spans="1:9">
      <c r="A1413" s="18" t="str">
        <f t="shared" si="138"/>
        <v>B4F</v>
      </c>
      <c r="B1413" s="19" t="s">
        <v>52</v>
      </c>
      <c r="C1413" s="18" t="str">
        <f>"杨敏"</f>
        <v>杨敏</v>
      </c>
      <c r="D1413" s="18" t="str">
        <f t="shared" si="139"/>
        <v>女</v>
      </c>
      <c r="E1413" s="18" t="str">
        <f>"2022013203"</f>
        <v>2022013203</v>
      </c>
      <c r="F1413" s="18">
        <v>0</v>
      </c>
      <c r="G1413" s="18">
        <v>132</v>
      </c>
      <c r="H1413" s="18" t="s">
        <v>13</v>
      </c>
      <c r="I1413" s="18" t="s">
        <v>12</v>
      </c>
    </row>
    <row r="1414" s="1" customFormat="1" customHeight="1" spans="1:9">
      <c r="A1414" s="18" t="str">
        <f t="shared" si="138"/>
        <v>B4F</v>
      </c>
      <c r="B1414" s="19" t="s">
        <v>52</v>
      </c>
      <c r="C1414" s="18" t="str">
        <f>"何艳梅"</f>
        <v>何艳梅</v>
      </c>
      <c r="D1414" s="18" t="str">
        <f t="shared" si="139"/>
        <v>女</v>
      </c>
      <c r="E1414" s="18" t="str">
        <f>"2022013204"</f>
        <v>2022013204</v>
      </c>
      <c r="F1414" s="18">
        <v>0</v>
      </c>
      <c r="G1414" s="18">
        <v>132</v>
      </c>
      <c r="H1414" s="18" t="s">
        <v>13</v>
      </c>
      <c r="I1414" s="18" t="s">
        <v>12</v>
      </c>
    </row>
    <row r="1415" s="1" customFormat="1" customHeight="1" spans="1:9">
      <c r="A1415" s="18" t="str">
        <f t="shared" si="138"/>
        <v>B4F</v>
      </c>
      <c r="B1415" s="19" t="s">
        <v>52</v>
      </c>
      <c r="C1415" s="18" t="str">
        <f>"戴胜蓝"</f>
        <v>戴胜蓝</v>
      </c>
      <c r="D1415" s="18" t="str">
        <f t="shared" si="139"/>
        <v>女</v>
      </c>
      <c r="E1415" s="18" t="str">
        <f>"2022013213"</f>
        <v>2022013213</v>
      </c>
      <c r="F1415" s="18">
        <v>0</v>
      </c>
      <c r="G1415" s="18">
        <v>132</v>
      </c>
      <c r="H1415" s="18" t="s">
        <v>13</v>
      </c>
      <c r="I1415" s="18" t="s">
        <v>12</v>
      </c>
    </row>
    <row r="1416" s="1" customFormat="1" customHeight="1" spans="1:9">
      <c r="A1416" s="18" t="str">
        <f t="shared" si="138"/>
        <v>B4F</v>
      </c>
      <c r="B1416" s="19" t="s">
        <v>52</v>
      </c>
      <c r="C1416" s="18" t="str">
        <f>"马洋娟"</f>
        <v>马洋娟</v>
      </c>
      <c r="D1416" s="18" t="str">
        <f t="shared" si="139"/>
        <v>女</v>
      </c>
      <c r="E1416" s="18" t="str">
        <f>"2022013216"</f>
        <v>2022013216</v>
      </c>
      <c r="F1416" s="18">
        <v>0</v>
      </c>
      <c r="G1416" s="18">
        <v>132</v>
      </c>
      <c r="H1416" s="18" t="s">
        <v>13</v>
      </c>
      <c r="I1416" s="18" t="s">
        <v>12</v>
      </c>
    </row>
    <row r="1417" s="1" customFormat="1" customHeight="1" spans="1:9">
      <c r="A1417" s="18" t="str">
        <f t="shared" si="138"/>
        <v>B4F</v>
      </c>
      <c r="B1417" s="19" t="s">
        <v>52</v>
      </c>
      <c r="C1417" s="18" t="str">
        <f>"曾慧娟"</f>
        <v>曾慧娟</v>
      </c>
      <c r="D1417" s="18" t="str">
        <f t="shared" si="139"/>
        <v>女</v>
      </c>
      <c r="E1417" s="18" t="str">
        <f>"2022013217"</f>
        <v>2022013217</v>
      </c>
      <c r="F1417" s="18">
        <v>0</v>
      </c>
      <c r="G1417" s="18">
        <v>132</v>
      </c>
      <c r="H1417" s="18" t="s">
        <v>13</v>
      </c>
      <c r="I1417" s="18" t="s">
        <v>12</v>
      </c>
    </row>
    <row r="1418" s="1" customFormat="1" customHeight="1" spans="1:9">
      <c r="A1418" s="18" t="str">
        <f t="shared" si="138"/>
        <v>B4F</v>
      </c>
      <c r="B1418" s="19" t="s">
        <v>52</v>
      </c>
      <c r="C1418" s="18" t="str">
        <f>"罗霞"</f>
        <v>罗霞</v>
      </c>
      <c r="D1418" s="18" t="str">
        <f t="shared" si="139"/>
        <v>女</v>
      </c>
      <c r="E1418" s="18" t="str">
        <f>"2022013222"</f>
        <v>2022013222</v>
      </c>
      <c r="F1418" s="18">
        <v>0</v>
      </c>
      <c r="G1418" s="18">
        <v>132</v>
      </c>
      <c r="H1418" s="18" t="s">
        <v>13</v>
      </c>
      <c r="I1418" s="18" t="s">
        <v>12</v>
      </c>
    </row>
    <row r="1419" s="1" customFormat="1" customHeight="1" spans="1:9">
      <c r="A1419" s="18" t="str">
        <f t="shared" si="138"/>
        <v>B4F</v>
      </c>
      <c r="B1419" s="19" t="s">
        <v>52</v>
      </c>
      <c r="C1419" s="18" t="str">
        <f>"祝红"</f>
        <v>祝红</v>
      </c>
      <c r="D1419" s="18" t="str">
        <f t="shared" si="139"/>
        <v>女</v>
      </c>
      <c r="E1419" s="18" t="str">
        <f>"2022013224"</f>
        <v>2022013224</v>
      </c>
      <c r="F1419" s="18">
        <v>0</v>
      </c>
      <c r="G1419" s="18">
        <v>132</v>
      </c>
      <c r="H1419" s="18" t="s">
        <v>13</v>
      </c>
      <c r="I1419" s="18" t="s">
        <v>12</v>
      </c>
    </row>
    <row r="1420" s="1" customFormat="1" customHeight="1" spans="1:9">
      <c r="A1420" s="18" t="str">
        <f t="shared" si="138"/>
        <v>B4F</v>
      </c>
      <c r="B1420" s="19" t="s">
        <v>52</v>
      </c>
      <c r="C1420" s="18" t="str">
        <f>"罗梦珠"</f>
        <v>罗梦珠</v>
      </c>
      <c r="D1420" s="18" t="str">
        <f t="shared" si="139"/>
        <v>女</v>
      </c>
      <c r="E1420" s="18" t="str">
        <f>"2022013225"</f>
        <v>2022013225</v>
      </c>
      <c r="F1420" s="18">
        <v>0</v>
      </c>
      <c r="G1420" s="18">
        <v>132</v>
      </c>
      <c r="H1420" s="18" t="s">
        <v>13</v>
      </c>
      <c r="I1420" s="18" t="s">
        <v>12</v>
      </c>
    </row>
    <row r="1421" s="1" customFormat="1" customHeight="1" spans="1:9">
      <c r="A1421" s="18" t="str">
        <f t="shared" si="138"/>
        <v>B4F</v>
      </c>
      <c r="B1421" s="19" t="s">
        <v>52</v>
      </c>
      <c r="C1421" s="18" t="str">
        <f>"罗孟倩"</f>
        <v>罗孟倩</v>
      </c>
      <c r="D1421" s="18" t="str">
        <f t="shared" si="139"/>
        <v>女</v>
      </c>
      <c r="E1421" s="18" t="str">
        <f>"2022013229"</f>
        <v>2022013229</v>
      </c>
      <c r="F1421" s="18">
        <v>0</v>
      </c>
      <c r="G1421" s="18">
        <v>132</v>
      </c>
      <c r="H1421" s="18" t="s">
        <v>13</v>
      </c>
      <c r="I1421" s="18" t="s">
        <v>12</v>
      </c>
    </row>
    <row r="1422" s="1" customFormat="1" customHeight="1" spans="1:9">
      <c r="A1422" s="18" t="str">
        <f t="shared" si="138"/>
        <v>B4F</v>
      </c>
      <c r="B1422" s="19" t="s">
        <v>52</v>
      </c>
      <c r="C1422" s="18" t="str">
        <f>"任英滨"</f>
        <v>任英滨</v>
      </c>
      <c r="D1422" s="18" t="str">
        <f t="shared" si="139"/>
        <v>女</v>
      </c>
      <c r="E1422" s="18" t="str">
        <f>"2022013231"</f>
        <v>2022013231</v>
      </c>
      <c r="F1422" s="18">
        <v>0</v>
      </c>
      <c r="G1422" s="18">
        <v>132</v>
      </c>
      <c r="H1422" s="18" t="s">
        <v>13</v>
      </c>
      <c r="I1422" s="18" t="s">
        <v>12</v>
      </c>
    </row>
    <row r="1423" s="1" customFormat="1" customHeight="1" spans="1:9">
      <c r="A1423" s="18" t="str">
        <f t="shared" si="138"/>
        <v>B4F</v>
      </c>
      <c r="B1423" s="19" t="s">
        <v>52</v>
      </c>
      <c r="C1423" s="18" t="str">
        <f>"龙方玉"</f>
        <v>龙方玉</v>
      </c>
      <c r="D1423" s="18" t="str">
        <f t="shared" si="139"/>
        <v>女</v>
      </c>
      <c r="E1423" s="18" t="str">
        <f>"2022013232"</f>
        <v>2022013232</v>
      </c>
      <c r="F1423" s="18">
        <v>0</v>
      </c>
      <c r="G1423" s="18">
        <v>132</v>
      </c>
      <c r="H1423" s="18" t="s">
        <v>13</v>
      </c>
      <c r="I1423" s="18" t="s">
        <v>12</v>
      </c>
    </row>
    <row r="1424" s="1" customFormat="1" customHeight="1" spans="1:9">
      <c r="A1424" s="18" t="str">
        <f t="shared" si="138"/>
        <v>B4F</v>
      </c>
      <c r="B1424" s="19" t="s">
        <v>52</v>
      </c>
      <c r="C1424" s="18" t="str">
        <f>"刘文斐"</f>
        <v>刘文斐</v>
      </c>
      <c r="D1424" s="18" t="str">
        <f t="shared" si="139"/>
        <v>女</v>
      </c>
      <c r="E1424" s="18" t="str">
        <f>"2022013233"</f>
        <v>2022013233</v>
      </c>
      <c r="F1424" s="18">
        <v>0</v>
      </c>
      <c r="G1424" s="18">
        <v>132</v>
      </c>
      <c r="H1424" s="18" t="s">
        <v>13</v>
      </c>
      <c r="I1424" s="18" t="s">
        <v>12</v>
      </c>
    </row>
    <row r="1425" s="1" customFormat="1" customHeight="1" spans="1:9">
      <c r="A1425" s="18" t="str">
        <f t="shared" si="138"/>
        <v>B4F</v>
      </c>
      <c r="B1425" s="19" t="s">
        <v>52</v>
      </c>
      <c r="C1425" s="18" t="str">
        <f>"雷媛"</f>
        <v>雷媛</v>
      </c>
      <c r="D1425" s="18" t="str">
        <f t="shared" si="139"/>
        <v>女</v>
      </c>
      <c r="E1425" s="18" t="str">
        <f>"2022013234"</f>
        <v>2022013234</v>
      </c>
      <c r="F1425" s="18">
        <v>0</v>
      </c>
      <c r="G1425" s="18">
        <v>132</v>
      </c>
      <c r="H1425" s="18" t="s">
        <v>13</v>
      </c>
      <c r="I1425" s="18" t="s">
        <v>12</v>
      </c>
    </row>
    <row r="1426" s="1" customFormat="1" customHeight="1" spans="1:9">
      <c r="A1426" s="18" t="str">
        <f t="shared" si="138"/>
        <v>B4F</v>
      </c>
      <c r="B1426" s="19" t="s">
        <v>52</v>
      </c>
      <c r="C1426" s="18" t="str">
        <f>"左春凤"</f>
        <v>左春凤</v>
      </c>
      <c r="D1426" s="18" t="str">
        <f t="shared" si="139"/>
        <v>女</v>
      </c>
      <c r="E1426" s="18" t="str">
        <f>"2022013301"</f>
        <v>2022013301</v>
      </c>
      <c r="F1426" s="18">
        <v>0</v>
      </c>
      <c r="G1426" s="18">
        <v>132</v>
      </c>
      <c r="H1426" s="18" t="s">
        <v>13</v>
      </c>
      <c r="I1426" s="18" t="s">
        <v>12</v>
      </c>
    </row>
    <row r="1427" s="1" customFormat="1" customHeight="1" spans="1:9">
      <c r="A1427" s="18" t="str">
        <f t="shared" si="138"/>
        <v>B4F</v>
      </c>
      <c r="B1427" s="19" t="s">
        <v>52</v>
      </c>
      <c r="C1427" s="18" t="str">
        <f>"刘晓玉"</f>
        <v>刘晓玉</v>
      </c>
      <c r="D1427" s="18" t="str">
        <f t="shared" si="139"/>
        <v>女</v>
      </c>
      <c r="E1427" s="18" t="str">
        <f>"2022013306"</f>
        <v>2022013306</v>
      </c>
      <c r="F1427" s="18">
        <v>0</v>
      </c>
      <c r="G1427" s="18">
        <v>132</v>
      </c>
      <c r="H1427" s="18" t="s">
        <v>13</v>
      </c>
      <c r="I1427" s="18" t="s">
        <v>12</v>
      </c>
    </row>
    <row r="1428" s="1" customFormat="1" customHeight="1" spans="1:9">
      <c r="A1428" s="18" t="str">
        <f t="shared" si="138"/>
        <v>B4F</v>
      </c>
      <c r="B1428" s="19" t="s">
        <v>52</v>
      </c>
      <c r="C1428" s="18" t="str">
        <f>"彭树旸"</f>
        <v>彭树旸</v>
      </c>
      <c r="D1428" s="18" t="str">
        <f t="shared" si="139"/>
        <v>女</v>
      </c>
      <c r="E1428" s="18" t="str">
        <f>"2022013311"</f>
        <v>2022013311</v>
      </c>
      <c r="F1428" s="18">
        <v>0</v>
      </c>
      <c r="G1428" s="18">
        <v>132</v>
      </c>
      <c r="H1428" s="18" t="s">
        <v>13</v>
      </c>
      <c r="I1428" s="18" t="s">
        <v>12</v>
      </c>
    </row>
    <row r="1429" s="1" customFormat="1" customHeight="1" spans="1:9">
      <c r="A1429" s="18" t="str">
        <f t="shared" si="138"/>
        <v>B4F</v>
      </c>
      <c r="B1429" s="19" t="s">
        <v>52</v>
      </c>
      <c r="C1429" s="18" t="str">
        <f>"谢亚"</f>
        <v>谢亚</v>
      </c>
      <c r="D1429" s="18" t="str">
        <f t="shared" si="139"/>
        <v>女</v>
      </c>
      <c r="E1429" s="18" t="str">
        <f>"2022013313"</f>
        <v>2022013313</v>
      </c>
      <c r="F1429" s="18">
        <v>0</v>
      </c>
      <c r="G1429" s="18">
        <v>132</v>
      </c>
      <c r="H1429" s="18" t="s">
        <v>13</v>
      </c>
      <c r="I1429" s="18" t="s">
        <v>12</v>
      </c>
    </row>
    <row r="1430" s="1" customFormat="1" customHeight="1" spans="1:9">
      <c r="A1430" s="18" t="str">
        <f t="shared" si="138"/>
        <v>B4F</v>
      </c>
      <c r="B1430" s="19" t="s">
        <v>52</v>
      </c>
      <c r="C1430" s="18" t="str">
        <f>"肖谦"</f>
        <v>肖谦</v>
      </c>
      <c r="D1430" s="18" t="str">
        <f t="shared" si="139"/>
        <v>女</v>
      </c>
      <c r="E1430" s="18" t="str">
        <f>"2022013315"</f>
        <v>2022013315</v>
      </c>
      <c r="F1430" s="18">
        <v>0</v>
      </c>
      <c r="G1430" s="18">
        <v>132</v>
      </c>
      <c r="H1430" s="18" t="s">
        <v>13</v>
      </c>
      <c r="I1430" s="18" t="s">
        <v>12</v>
      </c>
    </row>
    <row r="1431" s="1" customFormat="1" customHeight="1" spans="1:9">
      <c r="A1431" s="18" t="str">
        <f t="shared" si="138"/>
        <v>B4F</v>
      </c>
      <c r="B1431" s="19" t="s">
        <v>52</v>
      </c>
      <c r="C1431" s="18" t="str">
        <f>"朱英姿"</f>
        <v>朱英姿</v>
      </c>
      <c r="D1431" s="18" t="str">
        <f t="shared" si="139"/>
        <v>女</v>
      </c>
      <c r="E1431" s="18" t="str">
        <f>"2022013321"</f>
        <v>2022013321</v>
      </c>
      <c r="F1431" s="18">
        <v>0</v>
      </c>
      <c r="G1431" s="18">
        <v>132</v>
      </c>
      <c r="H1431" s="18" t="s">
        <v>13</v>
      </c>
      <c r="I1431" s="18" t="s">
        <v>12</v>
      </c>
    </row>
    <row r="1432" s="1" customFormat="1" customHeight="1" spans="1:9">
      <c r="A1432" s="18" t="str">
        <f t="shared" si="138"/>
        <v>B4F</v>
      </c>
      <c r="B1432" s="19" t="s">
        <v>52</v>
      </c>
      <c r="C1432" s="18" t="str">
        <f>"吕华坚"</f>
        <v>吕华坚</v>
      </c>
      <c r="D1432" s="18" t="str">
        <f t="shared" si="139"/>
        <v>女</v>
      </c>
      <c r="E1432" s="18" t="str">
        <f>"2022013326"</f>
        <v>2022013326</v>
      </c>
      <c r="F1432" s="18">
        <v>0</v>
      </c>
      <c r="G1432" s="18">
        <v>132</v>
      </c>
      <c r="H1432" s="18" t="s">
        <v>13</v>
      </c>
      <c r="I1432" s="18" t="s">
        <v>12</v>
      </c>
    </row>
    <row r="1433" s="1" customFormat="1" customHeight="1" spans="1:9">
      <c r="A1433" s="18" t="str">
        <f t="shared" si="138"/>
        <v>B4F</v>
      </c>
      <c r="B1433" s="19" t="s">
        <v>52</v>
      </c>
      <c r="C1433" s="18" t="str">
        <f>"黄樱枝"</f>
        <v>黄樱枝</v>
      </c>
      <c r="D1433" s="18" t="str">
        <f t="shared" si="139"/>
        <v>女</v>
      </c>
      <c r="E1433" s="18" t="str">
        <f>"2022013328"</f>
        <v>2022013328</v>
      </c>
      <c r="F1433" s="18">
        <v>0</v>
      </c>
      <c r="G1433" s="18">
        <v>132</v>
      </c>
      <c r="H1433" s="18" t="s">
        <v>13</v>
      </c>
      <c r="I1433" s="18" t="s">
        <v>12</v>
      </c>
    </row>
    <row r="1434" s="1" customFormat="1" customHeight="1" spans="1:9">
      <c r="A1434" s="18" t="str">
        <f t="shared" si="138"/>
        <v>B4F</v>
      </c>
      <c r="B1434" s="19" t="s">
        <v>52</v>
      </c>
      <c r="C1434" s="18" t="str">
        <f>"鞠艳英"</f>
        <v>鞠艳英</v>
      </c>
      <c r="D1434" s="18" t="str">
        <f t="shared" si="139"/>
        <v>女</v>
      </c>
      <c r="E1434" s="18" t="str">
        <f>"2022013330"</f>
        <v>2022013330</v>
      </c>
      <c r="F1434" s="18">
        <v>0</v>
      </c>
      <c r="G1434" s="18">
        <v>132</v>
      </c>
      <c r="H1434" s="18" t="s">
        <v>13</v>
      </c>
      <c r="I1434" s="18" t="s">
        <v>12</v>
      </c>
    </row>
    <row r="1435" s="1" customFormat="1" customHeight="1" spans="1:9">
      <c r="A1435" s="18" t="str">
        <f t="shared" si="138"/>
        <v>B4F</v>
      </c>
      <c r="B1435" s="19" t="s">
        <v>52</v>
      </c>
      <c r="C1435" s="18" t="str">
        <f>"唐佳"</f>
        <v>唐佳</v>
      </c>
      <c r="D1435" s="18" t="str">
        <f t="shared" si="139"/>
        <v>女</v>
      </c>
      <c r="E1435" s="18" t="str">
        <f>"2022013335"</f>
        <v>2022013335</v>
      </c>
      <c r="F1435" s="18">
        <v>0</v>
      </c>
      <c r="G1435" s="18">
        <v>132</v>
      </c>
      <c r="H1435" s="18" t="s">
        <v>13</v>
      </c>
      <c r="I1435" s="18" t="s">
        <v>12</v>
      </c>
    </row>
    <row r="1436" s="1" customFormat="1" customHeight="1" spans="1:9">
      <c r="A1436" s="18" t="str">
        <f t="shared" si="138"/>
        <v>B4F</v>
      </c>
      <c r="B1436" s="19" t="s">
        <v>52</v>
      </c>
      <c r="C1436" s="18" t="str">
        <f>"陈娟娟"</f>
        <v>陈娟娟</v>
      </c>
      <c r="D1436" s="18" t="str">
        <f t="shared" si="139"/>
        <v>女</v>
      </c>
      <c r="E1436" s="18" t="str">
        <f>"2022013404"</f>
        <v>2022013404</v>
      </c>
      <c r="F1436" s="18">
        <v>0</v>
      </c>
      <c r="G1436" s="18">
        <v>132</v>
      </c>
      <c r="H1436" s="18" t="s">
        <v>13</v>
      </c>
      <c r="I1436" s="18" t="s">
        <v>12</v>
      </c>
    </row>
    <row r="1437" s="1" customFormat="1" customHeight="1" spans="1:9">
      <c r="A1437" s="18" t="str">
        <f t="shared" si="138"/>
        <v>B4F</v>
      </c>
      <c r="B1437" s="19" t="s">
        <v>52</v>
      </c>
      <c r="C1437" s="18" t="str">
        <f>"陈姣"</f>
        <v>陈姣</v>
      </c>
      <c r="D1437" s="18" t="str">
        <f t="shared" si="139"/>
        <v>女</v>
      </c>
      <c r="E1437" s="18" t="str">
        <f>"2022013409"</f>
        <v>2022013409</v>
      </c>
      <c r="F1437" s="18">
        <v>0</v>
      </c>
      <c r="G1437" s="18">
        <v>132</v>
      </c>
      <c r="H1437" s="18" t="s">
        <v>13</v>
      </c>
      <c r="I1437" s="18" t="s">
        <v>12</v>
      </c>
    </row>
    <row r="1438" s="1" customFormat="1" customHeight="1" spans="1:9">
      <c r="A1438" s="18" t="str">
        <f t="shared" ref="A1438:A1501" si="140">"B4G"</f>
        <v>B4G</v>
      </c>
      <c r="B1438" s="19" t="s">
        <v>53</v>
      </c>
      <c r="C1438" s="18" t="str">
        <f>"王婷"</f>
        <v>王婷</v>
      </c>
      <c r="D1438" s="18" t="str">
        <f t="shared" si="139"/>
        <v>女</v>
      </c>
      <c r="E1438" s="18" t="str">
        <f>"2022013522"</f>
        <v>2022013522</v>
      </c>
      <c r="F1438" s="18">
        <v>91</v>
      </c>
      <c r="G1438" s="18">
        <v>1</v>
      </c>
      <c r="H1438" s="18"/>
      <c r="I1438" s="28" t="s">
        <v>11</v>
      </c>
    </row>
    <row r="1439" s="1" customFormat="1" customHeight="1" spans="1:9">
      <c r="A1439" s="18" t="str">
        <f t="shared" si="140"/>
        <v>B4G</v>
      </c>
      <c r="B1439" s="19" t="s">
        <v>53</v>
      </c>
      <c r="C1439" s="18" t="str">
        <f>"刘凯莉"</f>
        <v>刘凯莉</v>
      </c>
      <c r="D1439" s="18" t="str">
        <f t="shared" si="139"/>
        <v>女</v>
      </c>
      <c r="E1439" s="18" t="str">
        <f>"2022013729"</f>
        <v>2022013729</v>
      </c>
      <c r="F1439" s="18">
        <v>84</v>
      </c>
      <c r="G1439" s="18">
        <v>2</v>
      </c>
      <c r="H1439" s="18"/>
      <c r="I1439" s="28" t="s">
        <v>11</v>
      </c>
    </row>
    <row r="1440" s="1" customFormat="1" customHeight="1" spans="1:9">
      <c r="A1440" s="18" t="str">
        <f t="shared" si="140"/>
        <v>B4G</v>
      </c>
      <c r="B1440" s="19" t="s">
        <v>53</v>
      </c>
      <c r="C1440" s="18" t="str">
        <f>"付舒萍"</f>
        <v>付舒萍</v>
      </c>
      <c r="D1440" s="18" t="str">
        <f t="shared" si="139"/>
        <v>女</v>
      </c>
      <c r="E1440" s="18" t="str">
        <f>"2022013631"</f>
        <v>2022013631</v>
      </c>
      <c r="F1440" s="18">
        <v>83</v>
      </c>
      <c r="G1440" s="18">
        <v>3</v>
      </c>
      <c r="H1440" s="18"/>
      <c r="I1440" s="18" t="s">
        <v>12</v>
      </c>
    </row>
    <row r="1441" s="1" customFormat="1" customHeight="1" spans="1:9">
      <c r="A1441" s="18" t="str">
        <f t="shared" si="140"/>
        <v>B4G</v>
      </c>
      <c r="B1441" s="19" t="s">
        <v>53</v>
      </c>
      <c r="C1441" s="18" t="str">
        <f>"兰婉华"</f>
        <v>兰婉华</v>
      </c>
      <c r="D1441" s="18" t="str">
        <f t="shared" si="139"/>
        <v>女</v>
      </c>
      <c r="E1441" s="18" t="str">
        <f>"2022013622"</f>
        <v>2022013622</v>
      </c>
      <c r="F1441" s="18">
        <v>81</v>
      </c>
      <c r="G1441" s="18">
        <v>4</v>
      </c>
      <c r="H1441" s="18"/>
      <c r="I1441" s="18" t="s">
        <v>12</v>
      </c>
    </row>
    <row r="1442" s="1" customFormat="1" customHeight="1" spans="1:9">
      <c r="A1442" s="18" t="str">
        <f t="shared" si="140"/>
        <v>B4G</v>
      </c>
      <c r="B1442" s="19" t="s">
        <v>53</v>
      </c>
      <c r="C1442" s="18" t="str">
        <f>"朱怡"</f>
        <v>朱怡</v>
      </c>
      <c r="D1442" s="18" t="str">
        <f t="shared" si="139"/>
        <v>女</v>
      </c>
      <c r="E1442" s="18" t="str">
        <f>"2022013415"</f>
        <v>2022013415</v>
      </c>
      <c r="F1442" s="18">
        <v>80</v>
      </c>
      <c r="G1442" s="18">
        <v>5</v>
      </c>
      <c r="H1442" s="18"/>
      <c r="I1442" s="18" t="s">
        <v>12</v>
      </c>
    </row>
    <row r="1443" s="1" customFormat="1" customHeight="1" spans="1:9">
      <c r="A1443" s="18" t="str">
        <f t="shared" si="140"/>
        <v>B4G</v>
      </c>
      <c r="B1443" s="19" t="s">
        <v>53</v>
      </c>
      <c r="C1443" s="18" t="str">
        <f>"王春群"</f>
        <v>王春群</v>
      </c>
      <c r="D1443" s="18" t="str">
        <f t="shared" si="139"/>
        <v>女</v>
      </c>
      <c r="E1443" s="18" t="str">
        <f>"2022013503"</f>
        <v>2022013503</v>
      </c>
      <c r="F1443" s="18">
        <v>80</v>
      </c>
      <c r="G1443" s="18">
        <v>5</v>
      </c>
      <c r="H1443" s="18"/>
      <c r="I1443" s="18" t="s">
        <v>12</v>
      </c>
    </row>
    <row r="1444" s="1" customFormat="1" customHeight="1" spans="1:9">
      <c r="A1444" s="18" t="str">
        <f t="shared" si="140"/>
        <v>B4G</v>
      </c>
      <c r="B1444" s="19" t="s">
        <v>53</v>
      </c>
      <c r="C1444" s="18" t="str">
        <f>"邓湘"</f>
        <v>邓湘</v>
      </c>
      <c r="D1444" s="18" t="str">
        <f t="shared" si="139"/>
        <v>女</v>
      </c>
      <c r="E1444" s="18" t="str">
        <f>"2022013707"</f>
        <v>2022013707</v>
      </c>
      <c r="F1444" s="18">
        <v>77</v>
      </c>
      <c r="G1444" s="18">
        <v>7</v>
      </c>
      <c r="H1444" s="18"/>
      <c r="I1444" s="18" t="s">
        <v>12</v>
      </c>
    </row>
    <row r="1445" s="1" customFormat="1" customHeight="1" spans="1:9">
      <c r="A1445" s="18" t="str">
        <f t="shared" si="140"/>
        <v>B4G</v>
      </c>
      <c r="B1445" s="19" t="s">
        <v>53</v>
      </c>
      <c r="C1445" s="18" t="str">
        <f>"杨艳婷"</f>
        <v>杨艳婷</v>
      </c>
      <c r="D1445" s="18" t="str">
        <f t="shared" si="139"/>
        <v>女</v>
      </c>
      <c r="E1445" s="18" t="str">
        <f>"2022013418"</f>
        <v>2022013418</v>
      </c>
      <c r="F1445" s="18">
        <v>75</v>
      </c>
      <c r="G1445" s="18">
        <v>8</v>
      </c>
      <c r="H1445" s="18"/>
      <c r="I1445" s="18" t="s">
        <v>12</v>
      </c>
    </row>
    <row r="1446" s="1" customFormat="1" customHeight="1" spans="1:9">
      <c r="A1446" s="18" t="str">
        <f t="shared" si="140"/>
        <v>B4G</v>
      </c>
      <c r="B1446" s="19" t="s">
        <v>53</v>
      </c>
      <c r="C1446" s="18" t="str">
        <f>"曾丽"</f>
        <v>曾丽</v>
      </c>
      <c r="D1446" s="18" t="str">
        <f t="shared" si="139"/>
        <v>女</v>
      </c>
      <c r="E1446" s="18" t="str">
        <f>"2022013515"</f>
        <v>2022013515</v>
      </c>
      <c r="F1446" s="18">
        <v>75</v>
      </c>
      <c r="G1446" s="18">
        <v>8</v>
      </c>
      <c r="H1446" s="18"/>
      <c r="I1446" s="18" t="s">
        <v>12</v>
      </c>
    </row>
    <row r="1447" s="1" customFormat="1" customHeight="1" spans="1:9">
      <c r="A1447" s="18" t="str">
        <f t="shared" si="140"/>
        <v>B4G</v>
      </c>
      <c r="B1447" s="19" t="s">
        <v>53</v>
      </c>
      <c r="C1447" s="18" t="str">
        <f>"周辉"</f>
        <v>周辉</v>
      </c>
      <c r="D1447" s="18" t="str">
        <f t="shared" si="139"/>
        <v>女</v>
      </c>
      <c r="E1447" s="18" t="str">
        <f>"2022013517"</f>
        <v>2022013517</v>
      </c>
      <c r="F1447" s="18">
        <v>75</v>
      </c>
      <c r="G1447" s="18">
        <v>8</v>
      </c>
      <c r="H1447" s="18"/>
      <c r="I1447" s="18" t="s">
        <v>12</v>
      </c>
    </row>
    <row r="1448" s="1" customFormat="1" customHeight="1" spans="1:9">
      <c r="A1448" s="18" t="str">
        <f t="shared" si="140"/>
        <v>B4G</v>
      </c>
      <c r="B1448" s="19" t="s">
        <v>53</v>
      </c>
      <c r="C1448" s="18" t="str">
        <f>"唐格格"</f>
        <v>唐格格</v>
      </c>
      <c r="D1448" s="18" t="str">
        <f t="shared" si="139"/>
        <v>女</v>
      </c>
      <c r="E1448" s="18" t="str">
        <f>"2022013530"</f>
        <v>2022013530</v>
      </c>
      <c r="F1448" s="18">
        <v>75</v>
      </c>
      <c r="G1448" s="18">
        <v>8</v>
      </c>
      <c r="H1448" s="18"/>
      <c r="I1448" s="18" t="s">
        <v>12</v>
      </c>
    </row>
    <row r="1449" s="1" customFormat="1" customHeight="1" spans="1:9">
      <c r="A1449" s="18" t="str">
        <f t="shared" si="140"/>
        <v>B4G</v>
      </c>
      <c r="B1449" s="19" t="s">
        <v>53</v>
      </c>
      <c r="C1449" s="18" t="str">
        <f>"肖娇燕"</f>
        <v>肖娇燕</v>
      </c>
      <c r="D1449" s="18" t="str">
        <f t="shared" si="139"/>
        <v>女</v>
      </c>
      <c r="E1449" s="18" t="str">
        <f>"2022013422"</f>
        <v>2022013422</v>
      </c>
      <c r="F1449" s="18">
        <v>74</v>
      </c>
      <c r="G1449" s="18">
        <v>12</v>
      </c>
      <c r="H1449" s="18"/>
      <c r="I1449" s="18" t="s">
        <v>12</v>
      </c>
    </row>
    <row r="1450" s="1" customFormat="1" customHeight="1" spans="1:9">
      <c r="A1450" s="18" t="str">
        <f t="shared" si="140"/>
        <v>B4G</v>
      </c>
      <c r="B1450" s="19" t="s">
        <v>53</v>
      </c>
      <c r="C1450" s="18" t="str">
        <f>"刘艳华"</f>
        <v>刘艳华</v>
      </c>
      <c r="D1450" s="18" t="str">
        <f t="shared" ref="D1450:D1513" si="141">"女"</f>
        <v>女</v>
      </c>
      <c r="E1450" s="18" t="str">
        <f>"2022013628"</f>
        <v>2022013628</v>
      </c>
      <c r="F1450" s="18">
        <v>74</v>
      </c>
      <c r="G1450" s="18">
        <v>12</v>
      </c>
      <c r="H1450" s="18"/>
      <c r="I1450" s="18" t="s">
        <v>12</v>
      </c>
    </row>
    <row r="1451" s="1" customFormat="1" customHeight="1" spans="1:9">
      <c r="A1451" s="18" t="str">
        <f t="shared" si="140"/>
        <v>B4G</v>
      </c>
      <c r="B1451" s="19" t="s">
        <v>53</v>
      </c>
      <c r="C1451" s="18" t="str">
        <f>"张银莹"</f>
        <v>张银莹</v>
      </c>
      <c r="D1451" s="18" t="str">
        <f t="shared" si="141"/>
        <v>女</v>
      </c>
      <c r="E1451" s="18" t="str">
        <f>"2022013728"</f>
        <v>2022013728</v>
      </c>
      <c r="F1451" s="18">
        <v>74</v>
      </c>
      <c r="G1451" s="18">
        <v>12</v>
      </c>
      <c r="H1451" s="18"/>
      <c r="I1451" s="18" t="s">
        <v>12</v>
      </c>
    </row>
    <row r="1452" s="1" customFormat="1" customHeight="1" spans="1:9">
      <c r="A1452" s="18" t="str">
        <f t="shared" si="140"/>
        <v>B4G</v>
      </c>
      <c r="B1452" s="19" t="s">
        <v>53</v>
      </c>
      <c r="C1452" s="18" t="str">
        <f>"夏小婷"</f>
        <v>夏小婷</v>
      </c>
      <c r="D1452" s="18" t="str">
        <f t="shared" si="141"/>
        <v>女</v>
      </c>
      <c r="E1452" s="18" t="str">
        <f>"2022013532"</f>
        <v>2022013532</v>
      </c>
      <c r="F1452" s="18">
        <v>73</v>
      </c>
      <c r="G1452" s="18">
        <v>15</v>
      </c>
      <c r="H1452" s="18"/>
      <c r="I1452" s="18" t="s">
        <v>12</v>
      </c>
    </row>
    <row r="1453" s="1" customFormat="1" customHeight="1" spans="1:9">
      <c r="A1453" s="18" t="str">
        <f t="shared" si="140"/>
        <v>B4G</v>
      </c>
      <c r="B1453" s="19" t="s">
        <v>53</v>
      </c>
      <c r="C1453" s="18" t="str">
        <f>"贺薪羽"</f>
        <v>贺薪羽</v>
      </c>
      <c r="D1453" s="18" t="str">
        <f t="shared" si="141"/>
        <v>女</v>
      </c>
      <c r="E1453" s="18" t="str">
        <f>"2022013506"</f>
        <v>2022013506</v>
      </c>
      <c r="F1453" s="18">
        <v>72</v>
      </c>
      <c r="G1453" s="18">
        <v>16</v>
      </c>
      <c r="H1453" s="18"/>
      <c r="I1453" s="18" t="s">
        <v>12</v>
      </c>
    </row>
    <row r="1454" s="1" customFormat="1" customHeight="1" spans="1:9">
      <c r="A1454" s="18" t="str">
        <f t="shared" si="140"/>
        <v>B4G</v>
      </c>
      <c r="B1454" s="19" t="s">
        <v>53</v>
      </c>
      <c r="C1454" s="18" t="str">
        <f>"阳欣莹"</f>
        <v>阳欣莹</v>
      </c>
      <c r="D1454" s="18" t="str">
        <f t="shared" si="141"/>
        <v>女</v>
      </c>
      <c r="E1454" s="18" t="str">
        <f>"2022013606"</f>
        <v>2022013606</v>
      </c>
      <c r="F1454" s="18">
        <v>72</v>
      </c>
      <c r="G1454" s="18">
        <v>16</v>
      </c>
      <c r="H1454" s="18"/>
      <c r="I1454" s="18" t="s">
        <v>12</v>
      </c>
    </row>
    <row r="1455" s="1" customFormat="1" customHeight="1" spans="1:9">
      <c r="A1455" s="18" t="str">
        <f t="shared" si="140"/>
        <v>B4G</v>
      </c>
      <c r="B1455" s="19" t="s">
        <v>53</v>
      </c>
      <c r="C1455" s="18" t="str">
        <f>"杨娟"</f>
        <v>杨娟</v>
      </c>
      <c r="D1455" s="18" t="str">
        <f t="shared" si="141"/>
        <v>女</v>
      </c>
      <c r="E1455" s="18" t="str">
        <f>"2022013509"</f>
        <v>2022013509</v>
      </c>
      <c r="F1455" s="18">
        <v>71</v>
      </c>
      <c r="G1455" s="18">
        <v>18</v>
      </c>
      <c r="H1455" s="18"/>
      <c r="I1455" s="18" t="s">
        <v>12</v>
      </c>
    </row>
    <row r="1456" s="1" customFormat="1" customHeight="1" spans="1:9">
      <c r="A1456" s="18" t="str">
        <f t="shared" si="140"/>
        <v>B4G</v>
      </c>
      <c r="B1456" s="19" t="s">
        <v>53</v>
      </c>
      <c r="C1456" s="18" t="str">
        <f>"毛欢"</f>
        <v>毛欢</v>
      </c>
      <c r="D1456" s="18" t="str">
        <f t="shared" si="141"/>
        <v>女</v>
      </c>
      <c r="E1456" s="18" t="str">
        <f>"2022013701"</f>
        <v>2022013701</v>
      </c>
      <c r="F1456" s="18">
        <v>71</v>
      </c>
      <c r="G1456" s="18">
        <v>18</v>
      </c>
      <c r="H1456" s="18"/>
      <c r="I1456" s="18" t="s">
        <v>12</v>
      </c>
    </row>
    <row r="1457" s="1" customFormat="1" customHeight="1" spans="1:9">
      <c r="A1457" s="18" t="str">
        <f t="shared" si="140"/>
        <v>B4G</v>
      </c>
      <c r="B1457" s="19" t="s">
        <v>53</v>
      </c>
      <c r="C1457" s="18" t="str">
        <f>"付娉"</f>
        <v>付娉</v>
      </c>
      <c r="D1457" s="18" t="str">
        <f t="shared" si="141"/>
        <v>女</v>
      </c>
      <c r="E1457" s="18" t="str">
        <f>"2022013529"</f>
        <v>2022013529</v>
      </c>
      <c r="F1457" s="18">
        <v>69</v>
      </c>
      <c r="G1457" s="18">
        <v>20</v>
      </c>
      <c r="H1457" s="18"/>
      <c r="I1457" s="18" t="s">
        <v>12</v>
      </c>
    </row>
    <row r="1458" s="1" customFormat="1" customHeight="1" spans="1:9">
      <c r="A1458" s="18" t="str">
        <f t="shared" si="140"/>
        <v>B4G</v>
      </c>
      <c r="B1458" s="19" t="s">
        <v>53</v>
      </c>
      <c r="C1458" s="18" t="str">
        <f>"李超芬"</f>
        <v>李超芬</v>
      </c>
      <c r="D1458" s="18" t="str">
        <f t="shared" si="141"/>
        <v>女</v>
      </c>
      <c r="E1458" s="18" t="str">
        <f>"2022013706"</f>
        <v>2022013706</v>
      </c>
      <c r="F1458" s="18">
        <v>69</v>
      </c>
      <c r="G1458" s="18">
        <v>20</v>
      </c>
      <c r="H1458" s="18"/>
      <c r="I1458" s="18" t="s">
        <v>12</v>
      </c>
    </row>
    <row r="1459" s="1" customFormat="1" customHeight="1" spans="1:9">
      <c r="A1459" s="18" t="str">
        <f t="shared" si="140"/>
        <v>B4G</v>
      </c>
      <c r="B1459" s="19" t="s">
        <v>53</v>
      </c>
      <c r="C1459" s="18" t="str">
        <f>"倪子怡"</f>
        <v>倪子怡</v>
      </c>
      <c r="D1459" s="18" t="str">
        <f t="shared" si="141"/>
        <v>女</v>
      </c>
      <c r="E1459" s="18" t="str">
        <f>"2022013724"</f>
        <v>2022013724</v>
      </c>
      <c r="F1459" s="18">
        <v>69</v>
      </c>
      <c r="G1459" s="18">
        <v>20</v>
      </c>
      <c r="H1459" s="18"/>
      <c r="I1459" s="18" t="s">
        <v>12</v>
      </c>
    </row>
    <row r="1460" s="1" customFormat="1" customHeight="1" spans="1:9">
      <c r="A1460" s="18" t="str">
        <f t="shared" si="140"/>
        <v>B4G</v>
      </c>
      <c r="B1460" s="19" t="s">
        <v>53</v>
      </c>
      <c r="C1460" s="18" t="str">
        <f>"罗腾"</f>
        <v>罗腾</v>
      </c>
      <c r="D1460" s="18" t="str">
        <f t="shared" si="141"/>
        <v>女</v>
      </c>
      <c r="E1460" s="18" t="str">
        <f>"2022013420"</f>
        <v>2022013420</v>
      </c>
      <c r="F1460" s="18">
        <v>65</v>
      </c>
      <c r="G1460" s="18">
        <v>23</v>
      </c>
      <c r="H1460" s="18"/>
      <c r="I1460" s="18" t="s">
        <v>12</v>
      </c>
    </row>
    <row r="1461" s="1" customFormat="1" customHeight="1" spans="1:9">
      <c r="A1461" s="18" t="str">
        <f t="shared" si="140"/>
        <v>B4G</v>
      </c>
      <c r="B1461" s="19" t="s">
        <v>53</v>
      </c>
      <c r="C1461" s="18" t="str">
        <f>"唐萍"</f>
        <v>唐萍</v>
      </c>
      <c r="D1461" s="18" t="str">
        <f t="shared" si="141"/>
        <v>女</v>
      </c>
      <c r="E1461" s="18" t="str">
        <f>"2022013524"</f>
        <v>2022013524</v>
      </c>
      <c r="F1461" s="18">
        <v>65</v>
      </c>
      <c r="G1461" s="18">
        <v>23</v>
      </c>
      <c r="H1461" s="18"/>
      <c r="I1461" s="18" t="s">
        <v>12</v>
      </c>
    </row>
    <row r="1462" s="1" customFormat="1" customHeight="1" spans="1:9">
      <c r="A1462" s="18" t="str">
        <f t="shared" si="140"/>
        <v>B4G</v>
      </c>
      <c r="B1462" s="19" t="s">
        <v>53</v>
      </c>
      <c r="C1462" s="18" t="str">
        <f>"刘圆圆"</f>
        <v>刘圆圆</v>
      </c>
      <c r="D1462" s="18" t="str">
        <f t="shared" si="141"/>
        <v>女</v>
      </c>
      <c r="E1462" s="18" t="str">
        <f>"2022013713"</f>
        <v>2022013713</v>
      </c>
      <c r="F1462" s="18">
        <v>65</v>
      </c>
      <c r="G1462" s="18">
        <v>23</v>
      </c>
      <c r="H1462" s="18"/>
      <c r="I1462" s="18" t="s">
        <v>12</v>
      </c>
    </row>
    <row r="1463" s="1" customFormat="1" customHeight="1" spans="1:9">
      <c r="A1463" s="18" t="str">
        <f t="shared" si="140"/>
        <v>B4G</v>
      </c>
      <c r="B1463" s="19" t="s">
        <v>53</v>
      </c>
      <c r="C1463" s="18" t="str">
        <f>"邓春霞"</f>
        <v>邓春霞</v>
      </c>
      <c r="D1463" s="18" t="str">
        <f t="shared" si="141"/>
        <v>女</v>
      </c>
      <c r="E1463" s="18" t="str">
        <f>"2022013520"</f>
        <v>2022013520</v>
      </c>
      <c r="F1463" s="18">
        <v>64</v>
      </c>
      <c r="G1463" s="18">
        <v>26</v>
      </c>
      <c r="H1463" s="18"/>
      <c r="I1463" s="18" t="s">
        <v>12</v>
      </c>
    </row>
    <row r="1464" s="1" customFormat="1" customHeight="1" spans="1:9">
      <c r="A1464" s="18" t="str">
        <f t="shared" si="140"/>
        <v>B4G</v>
      </c>
      <c r="B1464" s="19" t="s">
        <v>53</v>
      </c>
      <c r="C1464" s="18" t="str">
        <f>"林青"</f>
        <v>林青</v>
      </c>
      <c r="D1464" s="18" t="str">
        <f t="shared" si="141"/>
        <v>女</v>
      </c>
      <c r="E1464" s="18" t="str">
        <f>"2022013603"</f>
        <v>2022013603</v>
      </c>
      <c r="F1464" s="18">
        <v>63</v>
      </c>
      <c r="G1464" s="18">
        <v>27</v>
      </c>
      <c r="H1464" s="18"/>
      <c r="I1464" s="18" t="s">
        <v>12</v>
      </c>
    </row>
    <row r="1465" s="1" customFormat="1" customHeight="1" spans="1:9">
      <c r="A1465" s="18" t="str">
        <f t="shared" si="140"/>
        <v>B4G</v>
      </c>
      <c r="B1465" s="19" t="s">
        <v>53</v>
      </c>
      <c r="C1465" s="18" t="str">
        <f>"肖璇"</f>
        <v>肖璇</v>
      </c>
      <c r="D1465" s="18" t="str">
        <f t="shared" si="141"/>
        <v>女</v>
      </c>
      <c r="E1465" s="18" t="str">
        <f>"2022013620"</f>
        <v>2022013620</v>
      </c>
      <c r="F1465" s="18">
        <v>63</v>
      </c>
      <c r="G1465" s="18">
        <v>27</v>
      </c>
      <c r="H1465" s="18"/>
      <c r="I1465" s="18" t="s">
        <v>12</v>
      </c>
    </row>
    <row r="1466" s="1" customFormat="1" customHeight="1" spans="1:9">
      <c r="A1466" s="18" t="str">
        <f t="shared" si="140"/>
        <v>B4G</v>
      </c>
      <c r="B1466" s="19" t="s">
        <v>53</v>
      </c>
      <c r="C1466" s="18" t="str">
        <f>"张柳叶"</f>
        <v>张柳叶</v>
      </c>
      <c r="D1466" s="18" t="str">
        <f t="shared" si="141"/>
        <v>女</v>
      </c>
      <c r="E1466" s="18" t="str">
        <f>"2022013412"</f>
        <v>2022013412</v>
      </c>
      <c r="F1466" s="18">
        <v>62</v>
      </c>
      <c r="G1466" s="18">
        <v>29</v>
      </c>
      <c r="H1466" s="18"/>
      <c r="I1466" s="18" t="s">
        <v>12</v>
      </c>
    </row>
    <row r="1467" s="1" customFormat="1" customHeight="1" spans="1:9">
      <c r="A1467" s="18" t="str">
        <f t="shared" si="140"/>
        <v>B4G</v>
      </c>
      <c r="B1467" s="19" t="s">
        <v>53</v>
      </c>
      <c r="C1467" s="18" t="str">
        <f>"周诗琪"</f>
        <v>周诗琪</v>
      </c>
      <c r="D1467" s="18" t="str">
        <f t="shared" si="141"/>
        <v>女</v>
      </c>
      <c r="E1467" s="18" t="str">
        <f>"2022013630"</f>
        <v>2022013630</v>
      </c>
      <c r="F1467" s="18">
        <v>62</v>
      </c>
      <c r="G1467" s="18">
        <v>29</v>
      </c>
      <c r="H1467" s="18"/>
      <c r="I1467" s="18" t="s">
        <v>12</v>
      </c>
    </row>
    <row r="1468" s="1" customFormat="1" customHeight="1" spans="1:9">
      <c r="A1468" s="18" t="str">
        <f t="shared" si="140"/>
        <v>B4G</v>
      </c>
      <c r="B1468" s="19" t="s">
        <v>53</v>
      </c>
      <c r="C1468" s="18" t="str">
        <f>"胡圆圆"</f>
        <v>胡圆圆</v>
      </c>
      <c r="D1468" s="18" t="str">
        <f t="shared" si="141"/>
        <v>女</v>
      </c>
      <c r="E1468" s="18" t="str">
        <f>"2022013714"</f>
        <v>2022013714</v>
      </c>
      <c r="F1468" s="18">
        <v>62</v>
      </c>
      <c r="G1468" s="18">
        <v>29</v>
      </c>
      <c r="H1468" s="18"/>
      <c r="I1468" s="18" t="s">
        <v>12</v>
      </c>
    </row>
    <row r="1469" s="1" customFormat="1" customHeight="1" spans="1:9">
      <c r="A1469" s="18" t="str">
        <f t="shared" si="140"/>
        <v>B4G</v>
      </c>
      <c r="B1469" s="19" t="s">
        <v>53</v>
      </c>
      <c r="C1469" s="18" t="str">
        <f>"廖涵"</f>
        <v>廖涵</v>
      </c>
      <c r="D1469" s="18" t="str">
        <f t="shared" si="141"/>
        <v>女</v>
      </c>
      <c r="E1469" s="18" t="str">
        <f>"2022013516"</f>
        <v>2022013516</v>
      </c>
      <c r="F1469" s="18">
        <v>61</v>
      </c>
      <c r="G1469" s="18">
        <v>32</v>
      </c>
      <c r="H1469" s="18"/>
      <c r="I1469" s="18" t="s">
        <v>12</v>
      </c>
    </row>
    <row r="1470" s="1" customFormat="1" customHeight="1" spans="1:9">
      <c r="A1470" s="18" t="str">
        <f t="shared" si="140"/>
        <v>B4G</v>
      </c>
      <c r="B1470" s="19" t="s">
        <v>53</v>
      </c>
      <c r="C1470" s="18" t="str">
        <f>"李婷"</f>
        <v>李婷</v>
      </c>
      <c r="D1470" s="18" t="str">
        <f t="shared" si="141"/>
        <v>女</v>
      </c>
      <c r="E1470" s="18" t="str">
        <f>"2022013425"</f>
        <v>2022013425</v>
      </c>
      <c r="F1470" s="18">
        <v>59</v>
      </c>
      <c r="G1470" s="18">
        <v>33</v>
      </c>
      <c r="H1470" s="18"/>
      <c r="I1470" s="18" t="s">
        <v>12</v>
      </c>
    </row>
    <row r="1471" s="1" customFormat="1" customHeight="1" spans="1:9">
      <c r="A1471" s="18" t="str">
        <f t="shared" si="140"/>
        <v>B4G</v>
      </c>
      <c r="B1471" s="19" t="s">
        <v>53</v>
      </c>
      <c r="C1471" s="18" t="str">
        <f>"罗佩"</f>
        <v>罗佩</v>
      </c>
      <c r="D1471" s="18" t="str">
        <f t="shared" si="141"/>
        <v>女</v>
      </c>
      <c r="E1471" s="18" t="str">
        <f>"2022013604"</f>
        <v>2022013604</v>
      </c>
      <c r="F1471" s="18">
        <v>59</v>
      </c>
      <c r="G1471" s="18">
        <v>33</v>
      </c>
      <c r="H1471" s="18"/>
      <c r="I1471" s="18" t="s">
        <v>12</v>
      </c>
    </row>
    <row r="1472" s="1" customFormat="1" customHeight="1" spans="1:9">
      <c r="A1472" s="18" t="str">
        <f t="shared" si="140"/>
        <v>B4G</v>
      </c>
      <c r="B1472" s="19" t="s">
        <v>53</v>
      </c>
      <c r="C1472" s="18" t="str">
        <f>"唐丹丹"</f>
        <v>唐丹丹</v>
      </c>
      <c r="D1472" s="18" t="str">
        <f t="shared" si="141"/>
        <v>女</v>
      </c>
      <c r="E1472" s="18" t="str">
        <f>"2022013621"</f>
        <v>2022013621</v>
      </c>
      <c r="F1472" s="18">
        <v>59</v>
      </c>
      <c r="G1472" s="18">
        <v>33</v>
      </c>
      <c r="H1472" s="18"/>
      <c r="I1472" s="18" t="s">
        <v>12</v>
      </c>
    </row>
    <row r="1473" s="1" customFormat="1" customHeight="1" spans="1:9">
      <c r="A1473" s="18" t="str">
        <f t="shared" si="140"/>
        <v>B4G</v>
      </c>
      <c r="B1473" s="19" t="s">
        <v>53</v>
      </c>
      <c r="C1473" s="18" t="str">
        <f>"杨冰"</f>
        <v>杨冰</v>
      </c>
      <c r="D1473" s="18" t="str">
        <f t="shared" si="141"/>
        <v>女</v>
      </c>
      <c r="E1473" s="18" t="str">
        <f>"2022013618"</f>
        <v>2022013618</v>
      </c>
      <c r="F1473" s="18">
        <v>57</v>
      </c>
      <c r="G1473" s="18">
        <v>36</v>
      </c>
      <c r="H1473" s="18"/>
      <c r="I1473" s="18" t="s">
        <v>12</v>
      </c>
    </row>
    <row r="1474" s="1" customFormat="1" customHeight="1" spans="1:9">
      <c r="A1474" s="18" t="str">
        <f t="shared" si="140"/>
        <v>B4G</v>
      </c>
      <c r="B1474" s="19" t="s">
        <v>53</v>
      </c>
      <c r="C1474" s="18" t="str">
        <f>"曹湘敏"</f>
        <v>曹湘敏</v>
      </c>
      <c r="D1474" s="18" t="str">
        <f t="shared" si="141"/>
        <v>女</v>
      </c>
      <c r="E1474" s="18" t="str">
        <f>"2022013619"</f>
        <v>2022013619</v>
      </c>
      <c r="F1474" s="18">
        <v>57</v>
      </c>
      <c r="G1474" s="18">
        <v>36</v>
      </c>
      <c r="H1474" s="18"/>
      <c r="I1474" s="18" t="s">
        <v>12</v>
      </c>
    </row>
    <row r="1475" s="1" customFormat="1" customHeight="1" spans="1:9">
      <c r="A1475" s="18" t="str">
        <f t="shared" si="140"/>
        <v>B4G</v>
      </c>
      <c r="B1475" s="19" t="s">
        <v>53</v>
      </c>
      <c r="C1475" s="18" t="str">
        <f>"杨雪金"</f>
        <v>杨雪金</v>
      </c>
      <c r="D1475" s="18" t="str">
        <f t="shared" si="141"/>
        <v>女</v>
      </c>
      <c r="E1475" s="18" t="str">
        <f>"2022013505"</f>
        <v>2022013505</v>
      </c>
      <c r="F1475" s="18">
        <v>56</v>
      </c>
      <c r="G1475" s="18">
        <v>38</v>
      </c>
      <c r="H1475" s="18"/>
      <c r="I1475" s="18" t="s">
        <v>12</v>
      </c>
    </row>
    <row r="1476" s="1" customFormat="1" customHeight="1" spans="1:9">
      <c r="A1476" s="18" t="str">
        <f t="shared" si="140"/>
        <v>B4G</v>
      </c>
      <c r="B1476" s="19" t="s">
        <v>53</v>
      </c>
      <c r="C1476" s="18" t="str">
        <f>"秦蕾"</f>
        <v>秦蕾</v>
      </c>
      <c r="D1476" s="18" t="str">
        <f t="shared" si="141"/>
        <v>女</v>
      </c>
      <c r="E1476" s="18" t="str">
        <f>"2022013513"</f>
        <v>2022013513</v>
      </c>
      <c r="F1476" s="18">
        <v>55</v>
      </c>
      <c r="G1476" s="18">
        <v>39</v>
      </c>
      <c r="H1476" s="18"/>
      <c r="I1476" s="18" t="s">
        <v>12</v>
      </c>
    </row>
    <row r="1477" s="1" customFormat="1" customHeight="1" spans="1:9">
      <c r="A1477" s="18" t="str">
        <f t="shared" si="140"/>
        <v>B4G</v>
      </c>
      <c r="B1477" s="19" t="s">
        <v>53</v>
      </c>
      <c r="C1477" s="18" t="str">
        <f>"肖婷"</f>
        <v>肖婷</v>
      </c>
      <c r="D1477" s="18" t="str">
        <f t="shared" si="141"/>
        <v>女</v>
      </c>
      <c r="E1477" s="18" t="str">
        <f>"2022013605"</f>
        <v>2022013605</v>
      </c>
      <c r="F1477" s="18">
        <v>55</v>
      </c>
      <c r="G1477" s="18">
        <v>39</v>
      </c>
      <c r="H1477" s="18"/>
      <c r="I1477" s="18" t="s">
        <v>12</v>
      </c>
    </row>
    <row r="1478" s="1" customFormat="1" customHeight="1" spans="1:9">
      <c r="A1478" s="18" t="str">
        <f t="shared" si="140"/>
        <v>B4G</v>
      </c>
      <c r="B1478" s="19" t="s">
        <v>53</v>
      </c>
      <c r="C1478" s="18" t="str">
        <f>"易新纪"</f>
        <v>易新纪</v>
      </c>
      <c r="D1478" s="18" t="str">
        <f t="shared" si="141"/>
        <v>女</v>
      </c>
      <c r="E1478" s="18" t="str">
        <f>"2022013703"</f>
        <v>2022013703</v>
      </c>
      <c r="F1478" s="18">
        <v>55</v>
      </c>
      <c r="G1478" s="18">
        <v>39</v>
      </c>
      <c r="H1478" s="18"/>
      <c r="I1478" s="18" t="s">
        <v>12</v>
      </c>
    </row>
    <row r="1479" s="1" customFormat="1" customHeight="1" spans="1:9">
      <c r="A1479" s="18" t="str">
        <f t="shared" si="140"/>
        <v>B4G</v>
      </c>
      <c r="B1479" s="19" t="s">
        <v>53</v>
      </c>
      <c r="C1479" s="18" t="str">
        <f>"姚深丽"</f>
        <v>姚深丽</v>
      </c>
      <c r="D1479" s="18" t="str">
        <f t="shared" si="141"/>
        <v>女</v>
      </c>
      <c r="E1479" s="18" t="str">
        <f>"2022013433"</f>
        <v>2022013433</v>
      </c>
      <c r="F1479" s="18">
        <v>53</v>
      </c>
      <c r="G1479" s="18">
        <v>42</v>
      </c>
      <c r="H1479" s="18"/>
      <c r="I1479" s="18" t="s">
        <v>12</v>
      </c>
    </row>
    <row r="1480" s="1" customFormat="1" customHeight="1" spans="1:9">
      <c r="A1480" s="18" t="str">
        <f t="shared" si="140"/>
        <v>B4G</v>
      </c>
      <c r="B1480" s="19" t="s">
        <v>53</v>
      </c>
      <c r="C1480" s="18" t="str">
        <f>"陈亚君"</f>
        <v>陈亚君</v>
      </c>
      <c r="D1480" s="18" t="str">
        <f t="shared" si="141"/>
        <v>女</v>
      </c>
      <c r="E1480" s="18" t="str">
        <f>"2022013531"</f>
        <v>2022013531</v>
      </c>
      <c r="F1480" s="18">
        <v>53</v>
      </c>
      <c r="G1480" s="18">
        <v>42</v>
      </c>
      <c r="H1480" s="18"/>
      <c r="I1480" s="18" t="s">
        <v>12</v>
      </c>
    </row>
    <row r="1481" s="1" customFormat="1" customHeight="1" spans="1:9">
      <c r="A1481" s="18" t="str">
        <f t="shared" si="140"/>
        <v>B4G</v>
      </c>
      <c r="B1481" s="19" t="s">
        <v>53</v>
      </c>
      <c r="C1481" s="18" t="str">
        <f>"肖倩"</f>
        <v>肖倩</v>
      </c>
      <c r="D1481" s="18" t="str">
        <f t="shared" si="141"/>
        <v>女</v>
      </c>
      <c r="E1481" s="18" t="str">
        <f>"2022013612"</f>
        <v>2022013612</v>
      </c>
      <c r="F1481" s="18">
        <v>53</v>
      </c>
      <c r="G1481" s="18">
        <v>42</v>
      </c>
      <c r="H1481" s="18"/>
      <c r="I1481" s="18" t="s">
        <v>12</v>
      </c>
    </row>
    <row r="1482" s="1" customFormat="1" customHeight="1" spans="1:9">
      <c r="A1482" s="18" t="str">
        <f t="shared" si="140"/>
        <v>B4G</v>
      </c>
      <c r="B1482" s="19" t="s">
        <v>53</v>
      </c>
      <c r="C1482" s="18" t="str">
        <f>"唐娜玲"</f>
        <v>唐娜玲</v>
      </c>
      <c r="D1482" s="18" t="str">
        <f t="shared" si="141"/>
        <v>女</v>
      </c>
      <c r="E1482" s="18" t="str">
        <f>"2022013424"</f>
        <v>2022013424</v>
      </c>
      <c r="F1482" s="18">
        <v>52</v>
      </c>
      <c r="G1482" s="18">
        <v>45</v>
      </c>
      <c r="H1482" s="18"/>
      <c r="I1482" s="18" t="s">
        <v>12</v>
      </c>
    </row>
    <row r="1483" s="1" customFormat="1" customHeight="1" spans="1:9">
      <c r="A1483" s="18" t="str">
        <f t="shared" si="140"/>
        <v>B4G</v>
      </c>
      <c r="B1483" s="19" t="s">
        <v>53</v>
      </c>
      <c r="C1483" s="18" t="str">
        <f>"刘晶"</f>
        <v>刘晶</v>
      </c>
      <c r="D1483" s="18" t="str">
        <f t="shared" si="141"/>
        <v>女</v>
      </c>
      <c r="E1483" s="18" t="str">
        <f>"2022013626"</f>
        <v>2022013626</v>
      </c>
      <c r="F1483" s="18">
        <v>52</v>
      </c>
      <c r="G1483" s="18">
        <v>45</v>
      </c>
      <c r="H1483" s="18"/>
      <c r="I1483" s="18" t="s">
        <v>12</v>
      </c>
    </row>
    <row r="1484" s="1" customFormat="1" customHeight="1" spans="1:9">
      <c r="A1484" s="18" t="str">
        <f t="shared" si="140"/>
        <v>B4G</v>
      </c>
      <c r="B1484" s="19" t="s">
        <v>53</v>
      </c>
      <c r="C1484" s="18" t="str">
        <f>"王淑媛"</f>
        <v>王淑媛</v>
      </c>
      <c r="D1484" s="18" t="str">
        <f t="shared" si="141"/>
        <v>女</v>
      </c>
      <c r="E1484" s="18" t="str">
        <f>"2022013629"</f>
        <v>2022013629</v>
      </c>
      <c r="F1484" s="18">
        <v>52</v>
      </c>
      <c r="G1484" s="18">
        <v>45</v>
      </c>
      <c r="H1484" s="18"/>
      <c r="I1484" s="18" t="s">
        <v>12</v>
      </c>
    </row>
    <row r="1485" s="1" customFormat="1" customHeight="1" spans="1:9">
      <c r="A1485" s="18" t="str">
        <f t="shared" si="140"/>
        <v>B4G</v>
      </c>
      <c r="B1485" s="19" t="s">
        <v>53</v>
      </c>
      <c r="C1485" s="18" t="str">
        <f>"漆嘉欣"</f>
        <v>漆嘉欣</v>
      </c>
      <c r="D1485" s="18" t="str">
        <f t="shared" si="141"/>
        <v>女</v>
      </c>
      <c r="E1485" s="18" t="str">
        <f>"2022013615"</f>
        <v>2022013615</v>
      </c>
      <c r="F1485" s="18">
        <v>51.5</v>
      </c>
      <c r="G1485" s="18">
        <v>48</v>
      </c>
      <c r="H1485" s="18"/>
      <c r="I1485" s="18" t="s">
        <v>12</v>
      </c>
    </row>
    <row r="1486" s="1" customFormat="1" customHeight="1" spans="1:9">
      <c r="A1486" s="18" t="str">
        <f t="shared" si="140"/>
        <v>B4G</v>
      </c>
      <c r="B1486" s="19" t="s">
        <v>53</v>
      </c>
      <c r="C1486" s="18" t="str">
        <f>"龚妍"</f>
        <v>龚妍</v>
      </c>
      <c r="D1486" s="18" t="str">
        <f t="shared" si="141"/>
        <v>女</v>
      </c>
      <c r="E1486" s="18" t="str">
        <f>"2022013502"</f>
        <v>2022013502</v>
      </c>
      <c r="F1486" s="18">
        <v>51</v>
      </c>
      <c r="G1486" s="18">
        <v>49</v>
      </c>
      <c r="H1486" s="18"/>
      <c r="I1486" s="18" t="s">
        <v>12</v>
      </c>
    </row>
    <row r="1487" s="1" customFormat="1" customHeight="1" spans="1:9">
      <c r="A1487" s="18" t="str">
        <f t="shared" si="140"/>
        <v>B4G</v>
      </c>
      <c r="B1487" s="19" t="s">
        <v>53</v>
      </c>
      <c r="C1487" s="18" t="str">
        <f>"刘泊伶"</f>
        <v>刘泊伶</v>
      </c>
      <c r="D1487" s="18" t="str">
        <f t="shared" si="141"/>
        <v>女</v>
      </c>
      <c r="E1487" s="18" t="str">
        <f>"2022013616"</f>
        <v>2022013616</v>
      </c>
      <c r="F1487" s="18">
        <v>51</v>
      </c>
      <c r="G1487" s="18">
        <v>49</v>
      </c>
      <c r="H1487" s="18"/>
      <c r="I1487" s="18" t="s">
        <v>12</v>
      </c>
    </row>
    <row r="1488" s="1" customFormat="1" customHeight="1" spans="1:9">
      <c r="A1488" s="18" t="str">
        <f t="shared" si="140"/>
        <v>B4G</v>
      </c>
      <c r="B1488" s="19" t="s">
        <v>53</v>
      </c>
      <c r="C1488" s="18" t="str">
        <f>"唐慧"</f>
        <v>唐慧</v>
      </c>
      <c r="D1488" s="18" t="str">
        <f t="shared" si="141"/>
        <v>女</v>
      </c>
      <c r="E1488" s="18" t="str">
        <f>"2022013627"</f>
        <v>2022013627</v>
      </c>
      <c r="F1488" s="18">
        <v>51</v>
      </c>
      <c r="G1488" s="18">
        <v>49</v>
      </c>
      <c r="H1488" s="18"/>
      <c r="I1488" s="18" t="s">
        <v>12</v>
      </c>
    </row>
    <row r="1489" s="1" customFormat="1" customHeight="1" spans="1:9">
      <c r="A1489" s="18" t="str">
        <f t="shared" si="140"/>
        <v>B4G</v>
      </c>
      <c r="B1489" s="19" t="s">
        <v>53</v>
      </c>
      <c r="C1489" s="18" t="str">
        <f>"肖婷丹"</f>
        <v>肖婷丹</v>
      </c>
      <c r="D1489" s="18" t="str">
        <f t="shared" si="141"/>
        <v>女</v>
      </c>
      <c r="E1489" s="18" t="str">
        <f>"2022013727"</f>
        <v>2022013727</v>
      </c>
      <c r="F1489" s="18">
        <v>50</v>
      </c>
      <c r="G1489" s="18">
        <v>52</v>
      </c>
      <c r="H1489" s="18"/>
      <c r="I1489" s="18" t="s">
        <v>12</v>
      </c>
    </row>
    <row r="1490" s="1" customFormat="1" customHeight="1" spans="1:9">
      <c r="A1490" s="18" t="str">
        <f t="shared" si="140"/>
        <v>B4G</v>
      </c>
      <c r="B1490" s="19" t="s">
        <v>53</v>
      </c>
      <c r="C1490" s="18" t="str">
        <f>"华志敏"</f>
        <v>华志敏</v>
      </c>
      <c r="D1490" s="18" t="str">
        <f t="shared" si="141"/>
        <v>女</v>
      </c>
      <c r="E1490" s="18" t="str">
        <f>"2022013704"</f>
        <v>2022013704</v>
      </c>
      <c r="F1490" s="18">
        <v>49</v>
      </c>
      <c r="G1490" s="18">
        <v>53</v>
      </c>
      <c r="H1490" s="18"/>
      <c r="I1490" s="18" t="s">
        <v>12</v>
      </c>
    </row>
    <row r="1491" s="1" customFormat="1" customHeight="1" spans="1:9">
      <c r="A1491" s="18" t="str">
        <f t="shared" si="140"/>
        <v>B4G</v>
      </c>
      <c r="B1491" s="19" t="s">
        <v>53</v>
      </c>
      <c r="C1491" s="18" t="str">
        <f>"唐婷"</f>
        <v>唐婷</v>
      </c>
      <c r="D1491" s="18" t="str">
        <f t="shared" si="141"/>
        <v>女</v>
      </c>
      <c r="E1491" s="18" t="str">
        <f>"2022013432"</f>
        <v>2022013432</v>
      </c>
      <c r="F1491" s="18">
        <v>47</v>
      </c>
      <c r="G1491" s="18">
        <v>54</v>
      </c>
      <c r="H1491" s="18"/>
      <c r="I1491" s="18" t="s">
        <v>12</v>
      </c>
    </row>
    <row r="1492" s="1" customFormat="1" customHeight="1" spans="1:9">
      <c r="A1492" s="18" t="str">
        <f t="shared" si="140"/>
        <v>B4G</v>
      </c>
      <c r="B1492" s="19" t="s">
        <v>53</v>
      </c>
      <c r="C1492" s="18" t="str">
        <f>"李红丽"</f>
        <v>李红丽</v>
      </c>
      <c r="D1492" s="18" t="str">
        <f t="shared" si="141"/>
        <v>女</v>
      </c>
      <c r="E1492" s="18" t="str">
        <f>"2022013607"</f>
        <v>2022013607</v>
      </c>
      <c r="F1492" s="18">
        <v>47</v>
      </c>
      <c r="G1492" s="18">
        <v>54</v>
      </c>
      <c r="H1492" s="18"/>
      <c r="I1492" s="18" t="s">
        <v>12</v>
      </c>
    </row>
    <row r="1493" s="1" customFormat="1" customHeight="1" spans="1:9">
      <c r="A1493" s="18" t="str">
        <f t="shared" si="140"/>
        <v>B4G</v>
      </c>
      <c r="B1493" s="19" t="s">
        <v>53</v>
      </c>
      <c r="C1493" s="18" t="str">
        <f>"李佳倩"</f>
        <v>李佳倩</v>
      </c>
      <c r="D1493" s="18" t="str">
        <f t="shared" si="141"/>
        <v>女</v>
      </c>
      <c r="E1493" s="18" t="str">
        <f>"2022013722"</f>
        <v>2022013722</v>
      </c>
      <c r="F1493" s="18">
        <v>47</v>
      </c>
      <c r="G1493" s="18">
        <v>54</v>
      </c>
      <c r="H1493" s="18"/>
      <c r="I1493" s="18" t="s">
        <v>12</v>
      </c>
    </row>
    <row r="1494" s="1" customFormat="1" customHeight="1" spans="1:9">
      <c r="A1494" s="18" t="str">
        <f t="shared" si="140"/>
        <v>B4G</v>
      </c>
      <c r="B1494" s="19" t="s">
        <v>53</v>
      </c>
      <c r="C1494" s="18" t="str">
        <f>"尹晶"</f>
        <v>尹晶</v>
      </c>
      <c r="D1494" s="18" t="str">
        <f t="shared" si="141"/>
        <v>女</v>
      </c>
      <c r="E1494" s="18" t="str">
        <f>"2022013711"</f>
        <v>2022013711</v>
      </c>
      <c r="F1494" s="18">
        <v>46</v>
      </c>
      <c r="G1494" s="18">
        <v>57</v>
      </c>
      <c r="H1494" s="18"/>
      <c r="I1494" s="18" t="s">
        <v>12</v>
      </c>
    </row>
    <row r="1495" s="1" customFormat="1" customHeight="1" spans="1:9">
      <c r="A1495" s="18" t="str">
        <f t="shared" si="140"/>
        <v>B4G</v>
      </c>
      <c r="B1495" s="19" t="s">
        <v>53</v>
      </c>
      <c r="C1495" s="18" t="str">
        <f>"夏玲"</f>
        <v>夏玲</v>
      </c>
      <c r="D1495" s="18" t="str">
        <f t="shared" si="141"/>
        <v>女</v>
      </c>
      <c r="E1495" s="18" t="str">
        <f>"2022013725"</f>
        <v>2022013725</v>
      </c>
      <c r="F1495" s="18">
        <v>46</v>
      </c>
      <c r="G1495" s="18">
        <v>57</v>
      </c>
      <c r="H1495" s="18"/>
      <c r="I1495" s="18" t="s">
        <v>12</v>
      </c>
    </row>
    <row r="1496" s="1" customFormat="1" customHeight="1" spans="1:9">
      <c r="A1496" s="18" t="str">
        <f t="shared" si="140"/>
        <v>B4G</v>
      </c>
      <c r="B1496" s="19" t="s">
        <v>53</v>
      </c>
      <c r="C1496" s="18" t="str">
        <f>"张淑"</f>
        <v>张淑</v>
      </c>
      <c r="D1496" s="18" t="str">
        <f t="shared" si="141"/>
        <v>女</v>
      </c>
      <c r="E1496" s="18" t="str">
        <f>"2022013623"</f>
        <v>2022013623</v>
      </c>
      <c r="F1496" s="18">
        <v>45</v>
      </c>
      <c r="G1496" s="18">
        <v>59</v>
      </c>
      <c r="H1496" s="18"/>
      <c r="I1496" s="18" t="s">
        <v>12</v>
      </c>
    </row>
    <row r="1497" s="1" customFormat="1" customHeight="1" spans="1:9">
      <c r="A1497" s="18" t="str">
        <f t="shared" si="140"/>
        <v>B4G</v>
      </c>
      <c r="B1497" s="19" t="s">
        <v>53</v>
      </c>
      <c r="C1497" s="18" t="str">
        <f>"席欢云"</f>
        <v>席欢云</v>
      </c>
      <c r="D1497" s="18" t="str">
        <f t="shared" si="141"/>
        <v>女</v>
      </c>
      <c r="E1497" s="18" t="str">
        <f>"2022013717"</f>
        <v>2022013717</v>
      </c>
      <c r="F1497" s="18">
        <v>45</v>
      </c>
      <c r="G1497" s="18">
        <v>59</v>
      </c>
      <c r="H1497" s="18"/>
      <c r="I1497" s="18" t="s">
        <v>12</v>
      </c>
    </row>
    <row r="1498" s="1" customFormat="1" customHeight="1" spans="1:9">
      <c r="A1498" s="18" t="str">
        <f t="shared" si="140"/>
        <v>B4G</v>
      </c>
      <c r="B1498" s="19" t="s">
        <v>53</v>
      </c>
      <c r="C1498" s="18" t="str">
        <f>"袁乐康"</f>
        <v>袁乐康</v>
      </c>
      <c r="D1498" s="18" t="str">
        <f t="shared" si="141"/>
        <v>女</v>
      </c>
      <c r="E1498" s="18" t="str">
        <f>"2022013428"</f>
        <v>2022013428</v>
      </c>
      <c r="F1498" s="18">
        <v>44</v>
      </c>
      <c r="G1498" s="18">
        <v>61</v>
      </c>
      <c r="H1498" s="18"/>
      <c r="I1498" s="18" t="s">
        <v>12</v>
      </c>
    </row>
    <row r="1499" s="1" customFormat="1" customHeight="1" spans="1:9">
      <c r="A1499" s="18" t="str">
        <f t="shared" si="140"/>
        <v>B4G</v>
      </c>
      <c r="B1499" s="19" t="s">
        <v>53</v>
      </c>
      <c r="C1499" s="18" t="str">
        <f>"周冰艳"</f>
        <v>周冰艳</v>
      </c>
      <c r="D1499" s="18" t="str">
        <f t="shared" si="141"/>
        <v>女</v>
      </c>
      <c r="E1499" s="18" t="str">
        <f>"2022013521"</f>
        <v>2022013521</v>
      </c>
      <c r="F1499" s="18">
        <v>44</v>
      </c>
      <c r="G1499" s="18">
        <v>61</v>
      </c>
      <c r="H1499" s="18"/>
      <c r="I1499" s="18" t="s">
        <v>12</v>
      </c>
    </row>
    <row r="1500" s="1" customFormat="1" customHeight="1" spans="1:9">
      <c r="A1500" s="18" t="str">
        <f t="shared" si="140"/>
        <v>B4G</v>
      </c>
      <c r="B1500" s="19" t="s">
        <v>53</v>
      </c>
      <c r="C1500" s="18" t="str">
        <f>"刘晟"</f>
        <v>刘晟</v>
      </c>
      <c r="D1500" s="18" t="str">
        <f t="shared" si="141"/>
        <v>女</v>
      </c>
      <c r="E1500" s="18" t="str">
        <f>"2022013501"</f>
        <v>2022013501</v>
      </c>
      <c r="F1500" s="18">
        <v>43</v>
      </c>
      <c r="G1500" s="18">
        <v>63</v>
      </c>
      <c r="H1500" s="18"/>
      <c r="I1500" s="18" t="s">
        <v>12</v>
      </c>
    </row>
    <row r="1501" s="1" customFormat="1" customHeight="1" spans="1:9">
      <c r="A1501" s="18" t="str">
        <f t="shared" si="140"/>
        <v>B4G</v>
      </c>
      <c r="B1501" s="19" t="s">
        <v>53</v>
      </c>
      <c r="C1501" s="18" t="str">
        <f>"尹攀林"</f>
        <v>尹攀林</v>
      </c>
      <c r="D1501" s="18" t="str">
        <f t="shared" si="141"/>
        <v>女</v>
      </c>
      <c r="E1501" s="18" t="str">
        <f>"2022013712"</f>
        <v>2022013712</v>
      </c>
      <c r="F1501" s="18">
        <v>43</v>
      </c>
      <c r="G1501" s="18">
        <v>63</v>
      </c>
      <c r="H1501" s="18"/>
      <c r="I1501" s="18" t="s">
        <v>12</v>
      </c>
    </row>
    <row r="1502" s="1" customFormat="1" customHeight="1" spans="1:9">
      <c r="A1502" s="18" t="str">
        <f t="shared" ref="A1502:A1558" si="142">"B4G"</f>
        <v>B4G</v>
      </c>
      <c r="B1502" s="19" t="s">
        <v>53</v>
      </c>
      <c r="C1502" s="18" t="str">
        <f>"杨依玲"</f>
        <v>杨依玲</v>
      </c>
      <c r="D1502" s="18" t="str">
        <f t="shared" si="141"/>
        <v>女</v>
      </c>
      <c r="E1502" s="18" t="str">
        <f>"2022013730"</f>
        <v>2022013730</v>
      </c>
      <c r="F1502" s="18">
        <v>43</v>
      </c>
      <c r="G1502" s="18">
        <v>63</v>
      </c>
      <c r="H1502" s="18"/>
      <c r="I1502" s="18" t="s">
        <v>12</v>
      </c>
    </row>
    <row r="1503" s="1" customFormat="1" customHeight="1" spans="1:9">
      <c r="A1503" s="18" t="str">
        <f t="shared" si="142"/>
        <v>B4G</v>
      </c>
      <c r="B1503" s="19" t="s">
        <v>53</v>
      </c>
      <c r="C1503" s="18" t="str">
        <f>"蒋韩"</f>
        <v>蒋韩</v>
      </c>
      <c r="D1503" s="18" t="str">
        <f t="shared" si="141"/>
        <v>女</v>
      </c>
      <c r="E1503" s="18" t="str">
        <f>"2022013416"</f>
        <v>2022013416</v>
      </c>
      <c r="F1503" s="18">
        <v>42</v>
      </c>
      <c r="G1503" s="18">
        <v>66</v>
      </c>
      <c r="H1503" s="18"/>
      <c r="I1503" s="18" t="s">
        <v>12</v>
      </c>
    </row>
    <row r="1504" s="1" customFormat="1" customHeight="1" spans="1:9">
      <c r="A1504" s="18" t="str">
        <f t="shared" si="142"/>
        <v>B4G</v>
      </c>
      <c r="B1504" s="19" t="s">
        <v>53</v>
      </c>
      <c r="C1504" s="18" t="str">
        <f>"邓星雨"</f>
        <v>邓星雨</v>
      </c>
      <c r="D1504" s="18" t="str">
        <f t="shared" si="141"/>
        <v>女</v>
      </c>
      <c r="E1504" s="18" t="str">
        <f>"2022013731"</f>
        <v>2022013731</v>
      </c>
      <c r="F1504" s="18">
        <v>42</v>
      </c>
      <c r="G1504" s="18">
        <v>66</v>
      </c>
      <c r="H1504" s="18"/>
      <c r="I1504" s="18" t="s">
        <v>12</v>
      </c>
    </row>
    <row r="1505" s="1" customFormat="1" customHeight="1" spans="1:9">
      <c r="A1505" s="18" t="str">
        <f t="shared" si="142"/>
        <v>B4G</v>
      </c>
      <c r="B1505" s="19" t="s">
        <v>53</v>
      </c>
      <c r="C1505" s="18" t="str">
        <f>"杨棵"</f>
        <v>杨棵</v>
      </c>
      <c r="D1505" s="18" t="str">
        <f t="shared" si="141"/>
        <v>女</v>
      </c>
      <c r="E1505" s="18" t="str">
        <f>"2022013716"</f>
        <v>2022013716</v>
      </c>
      <c r="F1505" s="18">
        <v>41</v>
      </c>
      <c r="G1505" s="18">
        <v>68</v>
      </c>
      <c r="H1505" s="18"/>
      <c r="I1505" s="18" t="s">
        <v>12</v>
      </c>
    </row>
    <row r="1506" s="1" customFormat="1" customHeight="1" spans="1:9">
      <c r="A1506" s="18" t="str">
        <f t="shared" si="142"/>
        <v>B4G</v>
      </c>
      <c r="B1506" s="19" t="s">
        <v>53</v>
      </c>
      <c r="C1506" s="18" t="str">
        <f>"尹嘉敏"</f>
        <v>尹嘉敏</v>
      </c>
      <c r="D1506" s="18" t="str">
        <f t="shared" si="141"/>
        <v>女</v>
      </c>
      <c r="E1506" s="18" t="str">
        <f>"2022013632"</f>
        <v>2022013632</v>
      </c>
      <c r="F1506" s="18">
        <v>40</v>
      </c>
      <c r="G1506" s="18">
        <v>69</v>
      </c>
      <c r="H1506" s="18"/>
      <c r="I1506" s="18" t="s">
        <v>12</v>
      </c>
    </row>
    <row r="1507" s="1" customFormat="1" customHeight="1" spans="1:9">
      <c r="A1507" s="18" t="str">
        <f t="shared" si="142"/>
        <v>B4G</v>
      </c>
      <c r="B1507" s="19" t="s">
        <v>53</v>
      </c>
      <c r="C1507" s="18" t="str">
        <f>"陈慧芝"</f>
        <v>陈慧芝</v>
      </c>
      <c r="D1507" s="18" t="str">
        <f t="shared" si="141"/>
        <v>女</v>
      </c>
      <c r="E1507" s="18" t="str">
        <f>"2022013434"</f>
        <v>2022013434</v>
      </c>
      <c r="F1507" s="18">
        <v>39</v>
      </c>
      <c r="G1507" s="18">
        <v>70</v>
      </c>
      <c r="H1507" s="18"/>
      <c r="I1507" s="18" t="s">
        <v>12</v>
      </c>
    </row>
    <row r="1508" s="1" customFormat="1" customHeight="1" spans="1:9">
      <c r="A1508" s="18" t="str">
        <f t="shared" si="142"/>
        <v>B4G</v>
      </c>
      <c r="B1508" s="19" t="s">
        <v>53</v>
      </c>
      <c r="C1508" s="18" t="str">
        <f>"刘洋"</f>
        <v>刘洋</v>
      </c>
      <c r="D1508" s="18" t="str">
        <f t="shared" si="141"/>
        <v>女</v>
      </c>
      <c r="E1508" s="18" t="str">
        <f>"2022013417"</f>
        <v>2022013417</v>
      </c>
      <c r="F1508" s="18">
        <v>37</v>
      </c>
      <c r="G1508" s="18">
        <v>71</v>
      </c>
      <c r="H1508" s="18"/>
      <c r="I1508" s="18" t="s">
        <v>12</v>
      </c>
    </row>
    <row r="1509" s="1" customFormat="1" customHeight="1" spans="1:9">
      <c r="A1509" s="18" t="str">
        <f t="shared" si="142"/>
        <v>B4G</v>
      </c>
      <c r="B1509" s="19" t="s">
        <v>53</v>
      </c>
      <c r="C1509" s="18" t="str">
        <f>"谭叶金"</f>
        <v>谭叶金</v>
      </c>
      <c r="D1509" s="18" t="str">
        <f t="shared" si="141"/>
        <v>女</v>
      </c>
      <c r="E1509" s="18" t="str">
        <f>"2022013601"</f>
        <v>2022013601</v>
      </c>
      <c r="F1509" s="18">
        <v>37</v>
      </c>
      <c r="G1509" s="18">
        <v>71</v>
      </c>
      <c r="H1509" s="18"/>
      <c r="I1509" s="18" t="s">
        <v>12</v>
      </c>
    </row>
    <row r="1510" s="1" customFormat="1" customHeight="1" spans="1:9">
      <c r="A1510" s="18" t="str">
        <f t="shared" si="142"/>
        <v>B4G</v>
      </c>
      <c r="B1510" s="19" t="s">
        <v>53</v>
      </c>
      <c r="C1510" s="18" t="str">
        <f>"陈惠玲"</f>
        <v>陈惠玲</v>
      </c>
      <c r="D1510" s="18" t="str">
        <f t="shared" si="141"/>
        <v>女</v>
      </c>
      <c r="E1510" s="18" t="str">
        <f>"2022013614"</f>
        <v>2022013614</v>
      </c>
      <c r="F1510" s="18">
        <v>37</v>
      </c>
      <c r="G1510" s="18">
        <v>71</v>
      </c>
      <c r="H1510" s="18"/>
      <c r="I1510" s="18" t="s">
        <v>12</v>
      </c>
    </row>
    <row r="1511" s="1" customFormat="1" customHeight="1" spans="1:9">
      <c r="A1511" s="18" t="str">
        <f t="shared" si="142"/>
        <v>B4G</v>
      </c>
      <c r="B1511" s="19" t="s">
        <v>53</v>
      </c>
      <c r="C1511" s="18" t="str">
        <f>"戴小玉"</f>
        <v>戴小玉</v>
      </c>
      <c r="D1511" s="18" t="str">
        <f t="shared" si="141"/>
        <v>女</v>
      </c>
      <c r="E1511" s="18" t="str">
        <f>"2022013720"</f>
        <v>2022013720</v>
      </c>
      <c r="F1511" s="18">
        <v>33</v>
      </c>
      <c r="G1511" s="18">
        <v>74</v>
      </c>
      <c r="H1511" s="18"/>
      <c r="I1511" s="18" t="s">
        <v>12</v>
      </c>
    </row>
    <row r="1512" s="1" customFormat="1" customHeight="1" spans="1:9">
      <c r="A1512" s="18" t="str">
        <f t="shared" si="142"/>
        <v>B4G</v>
      </c>
      <c r="B1512" s="19" t="s">
        <v>53</v>
      </c>
      <c r="C1512" s="18" t="str">
        <f>"王红嫒"</f>
        <v>王红嫒</v>
      </c>
      <c r="D1512" s="18" t="str">
        <f t="shared" si="141"/>
        <v>女</v>
      </c>
      <c r="E1512" s="18" t="str">
        <f>"2022013523"</f>
        <v>2022013523</v>
      </c>
      <c r="F1512" s="18">
        <v>31</v>
      </c>
      <c r="G1512" s="18">
        <v>75</v>
      </c>
      <c r="H1512" s="18"/>
      <c r="I1512" s="18" t="s">
        <v>12</v>
      </c>
    </row>
    <row r="1513" s="1" customFormat="1" customHeight="1" spans="1:9">
      <c r="A1513" s="18" t="str">
        <f t="shared" si="142"/>
        <v>B4G</v>
      </c>
      <c r="B1513" s="19" t="s">
        <v>53</v>
      </c>
      <c r="C1513" s="18" t="str">
        <f>"邹琳"</f>
        <v>邹琳</v>
      </c>
      <c r="D1513" s="18" t="str">
        <f t="shared" si="141"/>
        <v>女</v>
      </c>
      <c r="E1513" s="18" t="str">
        <f>"2022013429"</f>
        <v>2022013429</v>
      </c>
      <c r="F1513" s="18">
        <v>30</v>
      </c>
      <c r="G1513" s="18">
        <v>76</v>
      </c>
      <c r="H1513" s="18"/>
      <c r="I1513" s="18" t="s">
        <v>12</v>
      </c>
    </row>
    <row r="1514" s="1" customFormat="1" customHeight="1" spans="1:9">
      <c r="A1514" s="18" t="str">
        <f t="shared" si="142"/>
        <v>B4G</v>
      </c>
      <c r="B1514" s="19" t="s">
        <v>53</v>
      </c>
      <c r="C1514" s="18" t="str">
        <f>"廖熔"</f>
        <v>廖熔</v>
      </c>
      <c r="D1514" s="18" t="str">
        <f t="shared" ref="D1514:D1558" si="143">"女"</f>
        <v>女</v>
      </c>
      <c r="E1514" s="18" t="str">
        <f>"2022013519"</f>
        <v>2022013519</v>
      </c>
      <c r="F1514" s="18">
        <v>29</v>
      </c>
      <c r="G1514" s="18">
        <v>77</v>
      </c>
      <c r="H1514" s="18"/>
      <c r="I1514" s="18" t="s">
        <v>12</v>
      </c>
    </row>
    <row r="1515" s="1" customFormat="1" customHeight="1" spans="1:9">
      <c r="A1515" s="18" t="str">
        <f t="shared" si="142"/>
        <v>B4G</v>
      </c>
      <c r="B1515" s="19" t="s">
        <v>53</v>
      </c>
      <c r="C1515" s="18" t="str">
        <f>"兰婉菲"</f>
        <v>兰婉菲</v>
      </c>
      <c r="D1515" s="18" t="str">
        <f t="shared" si="143"/>
        <v>女</v>
      </c>
      <c r="E1515" s="18" t="str">
        <f>"2022013507"</f>
        <v>2022013507</v>
      </c>
      <c r="F1515" s="18">
        <v>28</v>
      </c>
      <c r="G1515" s="18">
        <v>78</v>
      </c>
      <c r="H1515" s="18"/>
      <c r="I1515" s="18" t="s">
        <v>12</v>
      </c>
    </row>
    <row r="1516" s="1" customFormat="1" customHeight="1" spans="1:9">
      <c r="A1516" s="18" t="str">
        <f t="shared" si="142"/>
        <v>B4G</v>
      </c>
      <c r="B1516" s="19" t="s">
        <v>53</v>
      </c>
      <c r="C1516" s="18" t="str">
        <f>"肖航"</f>
        <v>肖航</v>
      </c>
      <c r="D1516" s="18" t="str">
        <f t="shared" si="143"/>
        <v>女</v>
      </c>
      <c r="E1516" s="18" t="str">
        <f>"2022013510"</f>
        <v>2022013510</v>
      </c>
      <c r="F1516" s="18">
        <v>27</v>
      </c>
      <c r="G1516" s="18">
        <v>79</v>
      </c>
      <c r="H1516" s="18"/>
      <c r="I1516" s="18" t="s">
        <v>12</v>
      </c>
    </row>
    <row r="1517" s="1" customFormat="1" customHeight="1" spans="1:9">
      <c r="A1517" s="18" t="str">
        <f t="shared" si="142"/>
        <v>B4G</v>
      </c>
      <c r="B1517" s="19" t="s">
        <v>53</v>
      </c>
      <c r="C1517" s="18" t="str">
        <f>"蒋佳欣"</f>
        <v>蒋佳欣</v>
      </c>
      <c r="D1517" s="18" t="str">
        <f t="shared" si="143"/>
        <v>女</v>
      </c>
      <c r="E1517" s="18" t="str">
        <f>"2022013431"</f>
        <v>2022013431</v>
      </c>
      <c r="F1517" s="18">
        <v>26</v>
      </c>
      <c r="G1517" s="18">
        <v>80</v>
      </c>
      <c r="H1517" s="18"/>
      <c r="I1517" s="18" t="s">
        <v>12</v>
      </c>
    </row>
    <row r="1518" s="1" customFormat="1" customHeight="1" spans="1:9">
      <c r="A1518" s="18" t="str">
        <f t="shared" si="142"/>
        <v>B4G</v>
      </c>
      <c r="B1518" s="19" t="s">
        <v>53</v>
      </c>
      <c r="C1518" s="18" t="str">
        <f>"王艳"</f>
        <v>王艳</v>
      </c>
      <c r="D1518" s="18" t="str">
        <f t="shared" si="143"/>
        <v>女</v>
      </c>
      <c r="E1518" s="18" t="str">
        <f>"2022013608"</f>
        <v>2022013608</v>
      </c>
      <c r="F1518" s="18">
        <v>26</v>
      </c>
      <c r="G1518" s="18">
        <v>80</v>
      </c>
      <c r="H1518" s="18"/>
      <c r="I1518" s="18" t="s">
        <v>12</v>
      </c>
    </row>
    <row r="1519" s="1" customFormat="1" customHeight="1" spans="1:9">
      <c r="A1519" s="18" t="str">
        <f t="shared" si="142"/>
        <v>B4G</v>
      </c>
      <c r="B1519" s="19" t="s">
        <v>53</v>
      </c>
      <c r="C1519" s="18" t="str">
        <f>"陆珊英"</f>
        <v>陆珊英</v>
      </c>
      <c r="D1519" s="18" t="str">
        <f t="shared" si="143"/>
        <v>女</v>
      </c>
      <c r="E1519" s="18" t="str">
        <f>"2022013511"</f>
        <v>2022013511</v>
      </c>
      <c r="F1519" s="18">
        <v>25</v>
      </c>
      <c r="G1519" s="18">
        <v>82</v>
      </c>
      <c r="H1519" s="18"/>
      <c r="I1519" s="18" t="s">
        <v>12</v>
      </c>
    </row>
    <row r="1520" s="1" customFormat="1" customHeight="1" spans="1:9">
      <c r="A1520" s="18" t="str">
        <f t="shared" si="142"/>
        <v>B4G</v>
      </c>
      <c r="B1520" s="19" t="s">
        <v>53</v>
      </c>
      <c r="C1520" s="18" t="str">
        <f>"肖利平"</f>
        <v>肖利平</v>
      </c>
      <c r="D1520" s="18" t="str">
        <f t="shared" si="143"/>
        <v>女</v>
      </c>
      <c r="E1520" s="18" t="str">
        <f>"2022013721"</f>
        <v>2022013721</v>
      </c>
      <c r="F1520" s="18">
        <v>21</v>
      </c>
      <c r="G1520" s="18">
        <v>83</v>
      </c>
      <c r="H1520" s="18"/>
      <c r="I1520" s="18" t="s">
        <v>12</v>
      </c>
    </row>
    <row r="1521" s="1" customFormat="1" customHeight="1" spans="1:9">
      <c r="A1521" s="18" t="str">
        <f t="shared" si="142"/>
        <v>B4G</v>
      </c>
      <c r="B1521" s="19" t="s">
        <v>53</v>
      </c>
      <c r="C1521" s="18" t="str">
        <f>"李蓉"</f>
        <v>李蓉</v>
      </c>
      <c r="D1521" s="18" t="str">
        <f t="shared" si="143"/>
        <v>女</v>
      </c>
      <c r="E1521" s="18" t="str">
        <f>"2022013430"</f>
        <v>2022013430</v>
      </c>
      <c r="F1521" s="18">
        <v>18</v>
      </c>
      <c r="G1521" s="18">
        <v>84</v>
      </c>
      <c r="H1521" s="18"/>
      <c r="I1521" s="18" t="s">
        <v>12</v>
      </c>
    </row>
    <row r="1522" s="1" customFormat="1" customHeight="1" spans="1:9">
      <c r="A1522" s="18" t="str">
        <f t="shared" si="142"/>
        <v>B4G</v>
      </c>
      <c r="B1522" s="19" t="s">
        <v>53</v>
      </c>
      <c r="C1522" s="18" t="str">
        <f>"黄苏倩"</f>
        <v>黄苏倩</v>
      </c>
      <c r="D1522" s="18" t="str">
        <f t="shared" si="143"/>
        <v>女</v>
      </c>
      <c r="E1522" s="18" t="str">
        <f>"2022013413"</f>
        <v>2022013413</v>
      </c>
      <c r="F1522" s="18">
        <v>0</v>
      </c>
      <c r="G1522" s="18">
        <v>85</v>
      </c>
      <c r="H1522" s="18" t="s">
        <v>13</v>
      </c>
      <c r="I1522" s="18" t="s">
        <v>12</v>
      </c>
    </row>
    <row r="1523" s="1" customFormat="1" customHeight="1" spans="1:9">
      <c r="A1523" s="18" t="str">
        <f t="shared" si="142"/>
        <v>B4G</v>
      </c>
      <c r="B1523" s="19" t="s">
        <v>53</v>
      </c>
      <c r="C1523" s="18" t="str">
        <f>"龙丹妮"</f>
        <v>龙丹妮</v>
      </c>
      <c r="D1523" s="18" t="str">
        <f t="shared" si="143"/>
        <v>女</v>
      </c>
      <c r="E1523" s="18" t="str">
        <f>"2022013414"</f>
        <v>2022013414</v>
      </c>
      <c r="F1523" s="18">
        <v>0</v>
      </c>
      <c r="G1523" s="18">
        <v>85</v>
      </c>
      <c r="H1523" s="18" t="s">
        <v>13</v>
      </c>
      <c r="I1523" s="18" t="s">
        <v>12</v>
      </c>
    </row>
    <row r="1524" s="1" customFormat="1" customHeight="1" spans="1:9">
      <c r="A1524" s="18" t="str">
        <f t="shared" si="142"/>
        <v>B4G</v>
      </c>
      <c r="B1524" s="19" t="s">
        <v>53</v>
      </c>
      <c r="C1524" s="18" t="str">
        <f>"夏梦君"</f>
        <v>夏梦君</v>
      </c>
      <c r="D1524" s="18" t="str">
        <f t="shared" si="143"/>
        <v>女</v>
      </c>
      <c r="E1524" s="18" t="str">
        <f>"2022013419"</f>
        <v>2022013419</v>
      </c>
      <c r="F1524" s="18">
        <v>0</v>
      </c>
      <c r="G1524" s="18">
        <v>85</v>
      </c>
      <c r="H1524" s="18" t="s">
        <v>13</v>
      </c>
      <c r="I1524" s="18" t="s">
        <v>12</v>
      </c>
    </row>
    <row r="1525" s="1" customFormat="1" customHeight="1" spans="1:9">
      <c r="A1525" s="18" t="str">
        <f t="shared" si="142"/>
        <v>B4G</v>
      </c>
      <c r="B1525" s="19" t="s">
        <v>53</v>
      </c>
      <c r="C1525" s="18" t="str">
        <f>"于海欣"</f>
        <v>于海欣</v>
      </c>
      <c r="D1525" s="18" t="str">
        <f t="shared" si="143"/>
        <v>女</v>
      </c>
      <c r="E1525" s="18" t="str">
        <f>"2022013421"</f>
        <v>2022013421</v>
      </c>
      <c r="F1525" s="18">
        <v>0</v>
      </c>
      <c r="G1525" s="18">
        <v>85</v>
      </c>
      <c r="H1525" s="18" t="s">
        <v>13</v>
      </c>
      <c r="I1525" s="18" t="s">
        <v>12</v>
      </c>
    </row>
    <row r="1526" s="1" customFormat="1" customHeight="1" spans="1:9">
      <c r="A1526" s="18" t="str">
        <f t="shared" si="142"/>
        <v>B4G</v>
      </c>
      <c r="B1526" s="19" t="s">
        <v>53</v>
      </c>
      <c r="C1526" s="18" t="str">
        <f>"刘小玉"</f>
        <v>刘小玉</v>
      </c>
      <c r="D1526" s="18" t="str">
        <f t="shared" si="143"/>
        <v>女</v>
      </c>
      <c r="E1526" s="18" t="str">
        <f>"2022013423"</f>
        <v>2022013423</v>
      </c>
      <c r="F1526" s="18">
        <v>0</v>
      </c>
      <c r="G1526" s="18">
        <v>85</v>
      </c>
      <c r="H1526" s="18" t="s">
        <v>13</v>
      </c>
      <c r="I1526" s="18" t="s">
        <v>12</v>
      </c>
    </row>
    <row r="1527" s="1" customFormat="1" customHeight="1" spans="1:9">
      <c r="A1527" s="18" t="str">
        <f t="shared" si="142"/>
        <v>B4G</v>
      </c>
      <c r="B1527" s="19" t="s">
        <v>53</v>
      </c>
      <c r="C1527" s="18" t="str">
        <f>"张一琳"</f>
        <v>张一琳</v>
      </c>
      <c r="D1527" s="18" t="str">
        <f t="shared" si="143"/>
        <v>女</v>
      </c>
      <c r="E1527" s="18" t="str">
        <f>"2022013426"</f>
        <v>2022013426</v>
      </c>
      <c r="F1527" s="18">
        <v>0</v>
      </c>
      <c r="G1527" s="18">
        <v>85</v>
      </c>
      <c r="H1527" s="18" t="s">
        <v>13</v>
      </c>
      <c r="I1527" s="18" t="s">
        <v>12</v>
      </c>
    </row>
    <row r="1528" s="1" customFormat="1" customHeight="1" spans="1:9">
      <c r="A1528" s="18" t="str">
        <f t="shared" si="142"/>
        <v>B4G</v>
      </c>
      <c r="B1528" s="19" t="s">
        <v>53</v>
      </c>
      <c r="C1528" s="18" t="str">
        <f>"邓灵鑫"</f>
        <v>邓灵鑫</v>
      </c>
      <c r="D1528" s="18" t="str">
        <f t="shared" si="143"/>
        <v>女</v>
      </c>
      <c r="E1528" s="18" t="str">
        <f>"2022013427"</f>
        <v>2022013427</v>
      </c>
      <c r="F1528" s="18">
        <v>0</v>
      </c>
      <c r="G1528" s="18">
        <v>85</v>
      </c>
      <c r="H1528" s="18" t="s">
        <v>13</v>
      </c>
      <c r="I1528" s="18" t="s">
        <v>12</v>
      </c>
    </row>
    <row r="1529" s="1" customFormat="1" customHeight="1" spans="1:9">
      <c r="A1529" s="18" t="str">
        <f t="shared" si="142"/>
        <v>B4G</v>
      </c>
      <c r="B1529" s="19" t="s">
        <v>53</v>
      </c>
      <c r="C1529" s="18" t="str">
        <f>"文玲玲"</f>
        <v>文玲玲</v>
      </c>
      <c r="D1529" s="18" t="str">
        <f t="shared" si="143"/>
        <v>女</v>
      </c>
      <c r="E1529" s="18" t="str">
        <f>"2022013435"</f>
        <v>2022013435</v>
      </c>
      <c r="F1529" s="18">
        <v>0</v>
      </c>
      <c r="G1529" s="18">
        <v>85</v>
      </c>
      <c r="H1529" s="18" t="s">
        <v>13</v>
      </c>
      <c r="I1529" s="18" t="s">
        <v>12</v>
      </c>
    </row>
    <row r="1530" s="1" customFormat="1" customHeight="1" spans="1:9">
      <c r="A1530" s="18" t="str">
        <f t="shared" si="142"/>
        <v>B4G</v>
      </c>
      <c r="B1530" s="19" t="s">
        <v>53</v>
      </c>
      <c r="C1530" s="18" t="str">
        <f>"祝春花"</f>
        <v>祝春花</v>
      </c>
      <c r="D1530" s="18" t="str">
        <f t="shared" si="143"/>
        <v>女</v>
      </c>
      <c r="E1530" s="18" t="str">
        <f>"2022013504"</f>
        <v>2022013504</v>
      </c>
      <c r="F1530" s="18">
        <v>0</v>
      </c>
      <c r="G1530" s="18">
        <v>85</v>
      </c>
      <c r="H1530" s="18" t="s">
        <v>13</v>
      </c>
      <c r="I1530" s="18" t="s">
        <v>12</v>
      </c>
    </row>
    <row r="1531" s="1" customFormat="1" customHeight="1" spans="1:9">
      <c r="A1531" s="18" t="str">
        <f t="shared" si="142"/>
        <v>B4G</v>
      </c>
      <c r="B1531" s="19" t="s">
        <v>53</v>
      </c>
      <c r="C1531" s="18" t="str">
        <f>"黄湘"</f>
        <v>黄湘</v>
      </c>
      <c r="D1531" s="18" t="str">
        <f t="shared" si="143"/>
        <v>女</v>
      </c>
      <c r="E1531" s="18" t="str">
        <f>"2022013508"</f>
        <v>2022013508</v>
      </c>
      <c r="F1531" s="18">
        <v>0</v>
      </c>
      <c r="G1531" s="18">
        <v>85</v>
      </c>
      <c r="H1531" s="18" t="s">
        <v>13</v>
      </c>
      <c r="I1531" s="18" t="s">
        <v>12</v>
      </c>
    </row>
    <row r="1532" s="1" customFormat="1" customHeight="1" spans="1:9">
      <c r="A1532" s="18" t="str">
        <f t="shared" si="142"/>
        <v>B4G</v>
      </c>
      <c r="B1532" s="19" t="s">
        <v>53</v>
      </c>
      <c r="C1532" s="18" t="str">
        <f>"李瑶"</f>
        <v>李瑶</v>
      </c>
      <c r="D1532" s="18" t="str">
        <f t="shared" si="143"/>
        <v>女</v>
      </c>
      <c r="E1532" s="18" t="str">
        <f>"2022013512"</f>
        <v>2022013512</v>
      </c>
      <c r="F1532" s="18">
        <v>0</v>
      </c>
      <c r="G1532" s="18">
        <v>85</v>
      </c>
      <c r="H1532" s="18" t="s">
        <v>13</v>
      </c>
      <c r="I1532" s="18" t="s">
        <v>12</v>
      </c>
    </row>
    <row r="1533" s="1" customFormat="1" customHeight="1" spans="1:9">
      <c r="A1533" s="18" t="str">
        <f t="shared" si="142"/>
        <v>B4G</v>
      </c>
      <c r="B1533" s="19" t="s">
        <v>53</v>
      </c>
      <c r="C1533" s="18" t="str">
        <f>"彭玲"</f>
        <v>彭玲</v>
      </c>
      <c r="D1533" s="18" t="str">
        <f t="shared" si="143"/>
        <v>女</v>
      </c>
      <c r="E1533" s="18" t="str">
        <f>"2022013514"</f>
        <v>2022013514</v>
      </c>
      <c r="F1533" s="18">
        <v>0</v>
      </c>
      <c r="G1533" s="18">
        <v>85</v>
      </c>
      <c r="H1533" s="18" t="s">
        <v>13</v>
      </c>
      <c r="I1533" s="18" t="s">
        <v>12</v>
      </c>
    </row>
    <row r="1534" s="1" customFormat="1" customHeight="1" spans="1:9">
      <c r="A1534" s="18" t="str">
        <f t="shared" si="142"/>
        <v>B4G</v>
      </c>
      <c r="B1534" s="19" t="s">
        <v>53</v>
      </c>
      <c r="C1534" s="18" t="str">
        <f>"陈丽娟"</f>
        <v>陈丽娟</v>
      </c>
      <c r="D1534" s="18" t="str">
        <f t="shared" si="143"/>
        <v>女</v>
      </c>
      <c r="E1534" s="18" t="str">
        <f>"2022013518"</f>
        <v>2022013518</v>
      </c>
      <c r="F1534" s="18">
        <v>0</v>
      </c>
      <c r="G1534" s="18">
        <v>85</v>
      </c>
      <c r="H1534" s="18" t="s">
        <v>13</v>
      </c>
      <c r="I1534" s="18" t="s">
        <v>12</v>
      </c>
    </row>
    <row r="1535" s="1" customFormat="1" customHeight="1" spans="1:9">
      <c r="A1535" s="18" t="str">
        <f t="shared" si="142"/>
        <v>B4G</v>
      </c>
      <c r="B1535" s="19" t="s">
        <v>53</v>
      </c>
      <c r="C1535" s="18" t="str">
        <f>"王小花"</f>
        <v>王小花</v>
      </c>
      <c r="D1535" s="18" t="str">
        <f t="shared" si="143"/>
        <v>女</v>
      </c>
      <c r="E1535" s="18" t="str">
        <f>"2022013525"</f>
        <v>2022013525</v>
      </c>
      <c r="F1535" s="18">
        <v>0</v>
      </c>
      <c r="G1535" s="18">
        <v>85</v>
      </c>
      <c r="H1535" s="18" t="s">
        <v>13</v>
      </c>
      <c r="I1535" s="18" t="s">
        <v>12</v>
      </c>
    </row>
    <row r="1536" s="1" customFormat="1" customHeight="1" spans="1:9">
      <c r="A1536" s="18" t="str">
        <f t="shared" si="142"/>
        <v>B4G</v>
      </c>
      <c r="B1536" s="19" t="s">
        <v>53</v>
      </c>
      <c r="C1536" s="18" t="str">
        <f>"周莉"</f>
        <v>周莉</v>
      </c>
      <c r="D1536" s="18" t="str">
        <f t="shared" si="143"/>
        <v>女</v>
      </c>
      <c r="E1536" s="18" t="str">
        <f>"2022013526"</f>
        <v>2022013526</v>
      </c>
      <c r="F1536" s="18">
        <v>0</v>
      </c>
      <c r="G1536" s="18">
        <v>85</v>
      </c>
      <c r="H1536" s="18" t="s">
        <v>13</v>
      </c>
      <c r="I1536" s="18" t="s">
        <v>12</v>
      </c>
    </row>
    <row r="1537" s="1" customFormat="1" customHeight="1" spans="1:9">
      <c r="A1537" s="18" t="str">
        <f t="shared" si="142"/>
        <v>B4G</v>
      </c>
      <c r="B1537" s="19" t="s">
        <v>53</v>
      </c>
      <c r="C1537" s="18" t="str">
        <f>"唐绿"</f>
        <v>唐绿</v>
      </c>
      <c r="D1537" s="18" t="str">
        <f t="shared" si="143"/>
        <v>女</v>
      </c>
      <c r="E1537" s="18" t="str">
        <f>"2022013527"</f>
        <v>2022013527</v>
      </c>
      <c r="F1537" s="18">
        <v>0</v>
      </c>
      <c r="G1537" s="18">
        <v>85</v>
      </c>
      <c r="H1537" s="18" t="s">
        <v>13</v>
      </c>
      <c r="I1537" s="18" t="s">
        <v>12</v>
      </c>
    </row>
    <row r="1538" s="1" customFormat="1" customHeight="1" spans="1:9">
      <c r="A1538" s="18" t="str">
        <f t="shared" si="142"/>
        <v>B4G</v>
      </c>
      <c r="B1538" s="19" t="s">
        <v>53</v>
      </c>
      <c r="C1538" s="18" t="str">
        <f>"刘泽兰"</f>
        <v>刘泽兰</v>
      </c>
      <c r="D1538" s="18" t="str">
        <f t="shared" si="143"/>
        <v>女</v>
      </c>
      <c r="E1538" s="18" t="str">
        <f>"2022013528"</f>
        <v>2022013528</v>
      </c>
      <c r="F1538" s="18">
        <v>0</v>
      </c>
      <c r="G1538" s="18">
        <v>85</v>
      </c>
      <c r="H1538" s="18" t="s">
        <v>13</v>
      </c>
      <c r="I1538" s="18" t="s">
        <v>12</v>
      </c>
    </row>
    <row r="1539" s="1" customFormat="1" customHeight="1" spans="1:9">
      <c r="A1539" s="18" t="str">
        <f t="shared" si="142"/>
        <v>B4G</v>
      </c>
      <c r="B1539" s="19" t="s">
        <v>53</v>
      </c>
      <c r="C1539" s="18" t="str">
        <f>"王晨晨"</f>
        <v>王晨晨</v>
      </c>
      <c r="D1539" s="18" t="str">
        <f t="shared" si="143"/>
        <v>女</v>
      </c>
      <c r="E1539" s="18" t="str">
        <f>"2022013602"</f>
        <v>2022013602</v>
      </c>
      <c r="F1539" s="18">
        <v>0</v>
      </c>
      <c r="G1539" s="18">
        <v>85</v>
      </c>
      <c r="H1539" s="18" t="s">
        <v>13</v>
      </c>
      <c r="I1539" s="18" t="s">
        <v>12</v>
      </c>
    </row>
    <row r="1540" s="1" customFormat="1" customHeight="1" spans="1:9">
      <c r="A1540" s="18" t="str">
        <f t="shared" si="142"/>
        <v>B4G</v>
      </c>
      <c r="B1540" s="19" t="s">
        <v>53</v>
      </c>
      <c r="C1540" s="18" t="str">
        <f>"谭汝殷"</f>
        <v>谭汝殷</v>
      </c>
      <c r="D1540" s="18" t="str">
        <f t="shared" si="143"/>
        <v>女</v>
      </c>
      <c r="E1540" s="18" t="str">
        <f>"2022013609"</f>
        <v>2022013609</v>
      </c>
      <c r="F1540" s="18">
        <v>0</v>
      </c>
      <c r="G1540" s="18">
        <v>85</v>
      </c>
      <c r="H1540" s="18" t="s">
        <v>13</v>
      </c>
      <c r="I1540" s="18" t="s">
        <v>12</v>
      </c>
    </row>
    <row r="1541" s="1" customFormat="1" customHeight="1" spans="1:9">
      <c r="A1541" s="18" t="str">
        <f t="shared" si="142"/>
        <v>B4G</v>
      </c>
      <c r="B1541" s="19" t="s">
        <v>53</v>
      </c>
      <c r="C1541" s="18" t="str">
        <f>"王洁"</f>
        <v>王洁</v>
      </c>
      <c r="D1541" s="18" t="str">
        <f t="shared" si="143"/>
        <v>女</v>
      </c>
      <c r="E1541" s="18" t="str">
        <f>"2022013610"</f>
        <v>2022013610</v>
      </c>
      <c r="F1541" s="18">
        <v>0</v>
      </c>
      <c r="G1541" s="18">
        <v>85</v>
      </c>
      <c r="H1541" s="18" t="s">
        <v>13</v>
      </c>
      <c r="I1541" s="18" t="s">
        <v>12</v>
      </c>
    </row>
    <row r="1542" s="1" customFormat="1" customHeight="1" spans="1:9">
      <c r="A1542" s="18" t="str">
        <f t="shared" si="142"/>
        <v>B4G</v>
      </c>
      <c r="B1542" s="19" t="s">
        <v>53</v>
      </c>
      <c r="C1542" s="18" t="str">
        <f>"刘敏"</f>
        <v>刘敏</v>
      </c>
      <c r="D1542" s="18" t="str">
        <f t="shared" si="143"/>
        <v>女</v>
      </c>
      <c r="E1542" s="18" t="str">
        <f>"2022013611"</f>
        <v>2022013611</v>
      </c>
      <c r="F1542" s="18">
        <v>0</v>
      </c>
      <c r="G1542" s="18">
        <v>85</v>
      </c>
      <c r="H1542" s="18" t="s">
        <v>13</v>
      </c>
      <c r="I1542" s="18" t="s">
        <v>12</v>
      </c>
    </row>
    <row r="1543" s="1" customFormat="1" customHeight="1" spans="1:9">
      <c r="A1543" s="18" t="str">
        <f t="shared" si="142"/>
        <v>B4G</v>
      </c>
      <c r="B1543" s="19" t="s">
        <v>53</v>
      </c>
      <c r="C1543" s="18" t="str">
        <f>"康禹男"</f>
        <v>康禹男</v>
      </c>
      <c r="D1543" s="18" t="str">
        <f t="shared" si="143"/>
        <v>女</v>
      </c>
      <c r="E1543" s="18" t="str">
        <f>"2022013613"</f>
        <v>2022013613</v>
      </c>
      <c r="F1543" s="18">
        <v>0</v>
      </c>
      <c r="G1543" s="18">
        <v>85</v>
      </c>
      <c r="H1543" s="18" t="s">
        <v>13</v>
      </c>
      <c r="I1543" s="18" t="s">
        <v>12</v>
      </c>
    </row>
    <row r="1544" s="1" customFormat="1" customHeight="1" spans="1:9">
      <c r="A1544" s="18" t="str">
        <f t="shared" si="142"/>
        <v>B4G</v>
      </c>
      <c r="B1544" s="19" t="s">
        <v>53</v>
      </c>
      <c r="C1544" s="18" t="str">
        <f>"陈欣"</f>
        <v>陈欣</v>
      </c>
      <c r="D1544" s="18" t="str">
        <f t="shared" si="143"/>
        <v>女</v>
      </c>
      <c r="E1544" s="18" t="str">
        <f>"2022013617"</f>
        <v>2022013617</v>
      </c>
      <c r="F1544" s="18">
        <v>0</v>
      </c>
      <c r="G1544" s="18">
        <v>85</v>
      </c>
      <c r="H1544" s="18" t="s">
        <v>13</v>
      </c>
      <c r="I1544" s="18" t="s">
        <v>12</v>
      </c>
    </row>
    <row r="1545" s="1" customFormat="1" customHeight="1" spans="1:9">
      <c r="A1545" s="18" t="str">
        <f t="shared" si="142"/>
        <v>B4G</v>
      </c>
      <c r="B1545" s="19" t="s">
        <v>53</v>
      </c>
      <c r="C1545" s="18" t="str">
        <f>"李亚飞"</f>
        <v>李亚飞</v>
      </c>
      <c r="D1545" s="18" t="str">
        <f t="shared" si="143"/>
        <v>女</v>
      </c>
      <c r="E1545" s="18" t="str">
        <f>"2022013624"</f>
        <v>2022013624</v>
      </c>
      <c r="F1545" s="18">
        <v>0</v>
      </c>
      <c r="G1545" s="18">
        <v>85</v>
      </c>
      <c r="H1545" s="18" t="s">
        <v>13</v>
      </c>
      <c r="I1545" s="18" t="s">
        <v>12</v>
      </c>
    </row>
    <row r="1546" s="1" customFormat="1" customHeight="1" spans="1:9">
      <c r="A1546" s="18" t="str">
        <f t="shared" si="142"/>
        <v>B4G</v>
      </c>
      <c r="B1546" s="19" t="s">
        <v>53</v>
      </c>
      <c r="C1546" s="18" t="str">
        <f>"汪三云"</f>
        <v>汪三云</v>
      </c>
      <c r="D1546" s="18" t="str">
        <f t="shared" si="143"/>
        <v>女</v>
      </c>
      <c r="E1546" s="18" t="str">
        <f>"2022013625"</f>
        <v>2022013625</v>
      </c>
      <c r="F1546" s="18">
        <v>0</v>
      </c>
      <c r="G1546" s="18">
        <v>85</v>
      </c>
      <c r="H1546" s="18" t="s">
        <v>13</v>
      </c>
      <c r="I1546" s="18" t="s">
        <v>12</v>
      </c>
    </row>
    <row r="1547" s="1" customFormat="1" customHeight="1" spans="1:9">
      <c r="A1547" s="18" t="str">
        <f t="shared" si="142"/>
        <v>B4G</v>
      </c>
      <c r="B1547" s="19" t="s">
        <v>53</v>
      </c>
      <c r="C1547" s="18" t="str">
        <f>"唐苗"</f>
        <v>唐苗</v>
      </c>
      <c r="D1547" s="18" t="str">
        <f t="shared" si="143"/>
        <v>女</v>
      </c>
      <c r="E1547" s="18" t="str">
        <f>"2022013702"</f>
        <v>2022013702</v>
      </c>
      <c r="F1547" s="18">
        <v>0</v>
      </c>
      <c r="G1547" s="18">
        <v>85</v>
      </c>
      <c r="H1547" s="18" t="s">
        <v>13</v>
      </c>
      <c r="I1547" s="18" t="s">
        <v>12</v>
      </c>
    </row>
    <row r="1548" s="1" customFormat="1" customHeight="1" spans="1:9">
      <c r="A1548" s="18" t="str">
        <f t="shared" si="142"/>
        <v>B4G</v>
      </c>
      <c r="B1548" s="19" t="s">
        <v>53</v>
      </c>
      <c r="C1548" s="18" t="str">
        <f>"刘卓娉"</f>
        <v>刘卓娉</v>
      </c>
      <c r="D1548" s="18" t="str">
        <f t="shared" si="143"/>
        <v>女</v>
      </c>
      <c r="E1548" s="18" t="str">
        <f>"2022013705"</f>
        <v>2022013705</v>
      </c>
      <c r="F1548" s="18">
        <v>0</v>
      </c>
      <c r="G1548" s="18">
        <v>85</v>
      </c>
      <c r="H1548" s="18" t="s">
        <v>13</v>
      </c>
      <c r="I1548" s="18" t="s">
        <v>12</v>
      </c>
    </row>
    <row r="1549" s="1" customFormat="1" customHeight="1" spans="1:9">
      <c r="A1549" s="18" t="str">
        <f t="shared" si="142"/>
        <v>B4G</v>
      </c>
      <c r="B1549" s="19" t="s">
        <v>53</v>
      </c>
      <c r="C1549" s="18" t="str">
        <f>"严馨"</f>
        <v>严馨</v>
      </c>
      <c r="D1549" s="18" t="str">
        <f t="shared" si="143"/>
        <v>女</v>
      </c>
      <c r="E1549" s="18" t="str">
        <f>"2022013708"</f>
        <v>2022013708</v>
      </c>
      <c r="F1549" s="18">
        <v>0</v>
      </c>
      <c r="G1549" s="18">
        <v>85</v>
      </c>
      <c r="H1549" s="18" t="s">
        <v>13</v>
      </c>
      <c r="I1549" s="18" t="s">
        <v>12</v>
      </c>
    </row>
    <row r="1550" s="1" customFormat="1" customHeight="1" spans="1:9">
      <c r="A1550" s="18" t="str">
        <f t="shared" si="142"/>
        <v>B4G</v>
      </c>
      <c r="B1550" s="19" t="s">
        <v>53</v>
      </c>
      <c r="C1550" s="18" t="str">
        <f>"刘烨"</f>
        <v>刘烨</v>
      </c>
      <c r="D1550" s="18" t="str">
        <f t="shared" si="143"/>
        <v>女</v>
      </c>
      <c r="E1550" s="18" t="str">
        <f>"2022013709"</f>
        <v>2022013709</v>
      </c>
      <c r="F1550" s="18">
        <v>0</v>
      </c>
      <c r="G1550" s="18">
        <v>85</v>
      </c>
      <c r="H1550" s="18" t="s">
        <v>13</v>
      </c>
      <c r="I1550" s="18" t="s">
        <v>12</v>
      </c>
    </row>
    <row r="1551" s="1" customFormat="1" customHeight="1" spans="1:9">
      <c r="A1551" s="18" t="str">
        <f t="shared" si="142"/>
        <v>B4G</v>
      </c>
      <c r="B1551" s="19" t="s">
        <v>53</v>
      </c>
      <c r="C1551" s="18" t="str">
        <f>"曹惠林"</f>
        <v>曹惠林</v>
      </c>
      <c r="D1551" s="18" t="str">
        <f t="shared" si="143"/>
        <v>女</v>
      </c>
      <c r="E1551" s="18" t="str">
        <f>"2022013710"</f>
        <v>2022013710</v>
      </c>
      <c r="F1551" s="18">
        <v>0</v>
      </c>
      <c r="G1551" s="18">
        <v>85</v>
      </c>
      <c r="H1551" s="18" t="s">
        <v>13</v>
      </c>
      <c r="I1551" s="18" t="s">
        <v>12</v>
      </c>
    </row>
    <row r="1552" s="1" customFormat="1" customHeight="1" spans="1:9">
      <c r="A1552" s="18" t="str">
        <f t="shared" si="142"/>
        <v>B4G</v>
      </c>
      <c r="B1552" s="19" t="s">
        <v>53</v>
      </c>
      <c r="C1552" s="18" t="str">
        <f>"罗娟"</f>
        <v>罗娟</v>
      </c>
      <c r="D1552" s="18" t="str">
        <f t="shared" si="143"/>
        <v>女</v>
      </c>
      <c r="E1552" s="18" t="str">
        <f>"2022013715"</f>
        <v>2022013715</v>
      </c>
      <c r="F1552" s="18">
        <v>0</v>
      </c>
      <c r="G1552" s="18">
        <v>85</v>
      </c>
      <c r="H1552" s="18" t="s">
        <v>13</v>
      </c>
      <c r="I1552" s="18" t="s">
        <v>12</v>
      </c>
    </row>
    <row r="1553" s="1" customFormat="1" customHeight="1" spans="1:9">
      <c r="A1553" s="18" t="str">
        <f t="shared" si="142"/>
        <v>B4G</v>
      </c>
      <c r="B1553" s="19" t="s">
        <v>53</v>
      </c>
      <c r="C1553" s="18" t="str">
        <f>"易敏华"</f>
        <v>易敏华</v>
      </c>
      <c r="D1553" s="18" t="str">
        <f t="shared" si="143"/>
        <v>女</v>
      </c>
      <c r="E1553" s="18" t="str">
        <f>"2022013718"</f>
        <v>2022013718</v>
      </c>
      <c r="F1553" s="18">
        <v>0</v>
      </c>
      <c r="G1553" s="18">
        <v>85</v>
      </c>
      <c r="H1553" s="18" t="s">
        <v>13</v>
      </c>
      <c r="I1553" s="18" t="s">
        <v>12</v>
      </c>
    </row>
    <row r="1554" s="1" customFormat="1" customHeight="1" spans="1:9">
      <c r="A1554" s="18" t="str">
        <f t="shared" si="142"/>
        <v>B4G</v>
      </c>
      <c r="B1554" s="19" t="s">
        <v>53</v>
      </c>
      <c r="C1554" s="18" t="str">
        <f>"周晶"</f>
        <v>周晶</v>
      </c>
      <c r="D1554" s="18" t="str">
        <f t="shared" si="143"/>
        <v>女</v>
      </c>
      <c r="E1554" s="18" t="str">
        <f>"2022013719"</f>
        <v>2022013719</v>
      </c>
      <c r="F1554" s="18">
        <v>0</v>
      </c>
      <c r="G1554" s="18">
        <v>85</v>
      </c>
      <c r="H1554" s="18" t="s">
        <v>13</v>
      </c>
      <c r="I1554" s="18" t="s">
        <v>12</v>
      </c>
    </row>
    <row r="1555" s="1" customFormat="1" customHeight="1" spans="1:9">
      <c r="A1555" s="18" t="str">
        <f t="shared" si="142"/>
        <v>B4G</v>
      </c>
      <c r="B1555" s="19" t="s">
        <v>53</v>
      </c>
      <c r="C1555" s="18" t="str">
        <f>"肖玉决"</f>
        <v>肖玉决</v>
      </c>
      <c r="D1555" s="18" t="str">
        <f t="shared" si="143"/>
        <v>女</v>
      </c>
      <c r="E1555" s="18" t="str">
        <f>"2022013723"</f>
        <v>2022013723</v>
      </c>
      <c r="F1555" s="18">
        <v>0</v>
      </c>
      <c r="G1555" s="18">
        <v>85</v>
      </c>
      <c r="H1555" s="18" t="s">
        <v>13</v>
      </c>
      <c r="I1555" s="18" t="s">
        <v>12</v>
      </c>
    </row>
    <row r="1556" s="1" customFormat="1" customHeight="1" spans="1:9">
      <c r="A1556" s="18" t="str">
        <f t="shared" si="142"/>
        <v>B4G</v>
      </c>
      <c r="B1556" s="19" t="s">
        <v>53</v>
      </c>
      <c r="C1556" s="18" t="str">
        <f>"林艺平"</f>
        <v>林艺平</v>
      </c>
      <c r="D1556" s="18" t="str">
        <f t="shared" si="143"/>
        <v>女</v>
      </c>
      <c r="E1556" s="18" t="str">
        <f>"2022013726"</f>
        <v>2022013726</v>
      </c>
      <c r="F1556" s="18">
        <v>0</v>
      </c>
      <c r="G1556" s="18">
        <v>85</v>
      </c>
      <c r="H1556" s="18" t="s">
        <v>13</v>
      </c>
      <c r="I1556" s="18" t="s">
        <v>12</v>
      </c>
    </row>
    <row r="1557" s="1" customFormat="1" customHeight="1" spans="1:9">
      <c r="A1557" s="18" t="str">
        <f t="shared" si="142"/>
        <v>B4G</v>
      </c>
      <c r="B1557" s="19" t="s">
        <v>53</v>
      </c>
      <c r="C1557" s="18" t="str">
        <f>"刘英"</f>
        <v>刘英</v>
      </c>
      <c r="D1557" s="18" t="str">
        <f t="shared" si="143"/>
        <v>女</v>
      </c>
      <c r="E1557" s="18" t="str">
        <f>"2022013732"</f>
        <v>2022013732</v>
      </c>
      <c r="F1557" s="18">
        <v>0</v>
      </c>
      <c r="G1557" s="18">
        <v>85</v>
      </c>
      <c r="H1557" s="18" t="s">
        <v>13</v>
      </c>
      <c r="I1557" s="18" t="s">
        <v>12</v>
      </c>
    </row>
    <row r="1558" s="1" customFormat="1" customHeight="1" spans="1:9">
      <c r="A1558" s="18" t="str">
        <f t="shared" si="142"/>
        <v>B4G</v>
      </c>
      <c r="B1558" s="19" t="s">
        <v>53</v>
      </c>
      <c r="C1558" s="18" t="str">
        <f>"肖莹"</f>
        <v>肖莹</v>
      </c>
      <c r="D1558" s="18" t="str">
        <f t="shared" si="143"/>
        <v>女</v>
      </c>
      <c r="E1558" s="18" t="str">
        <f>"2022013733"</f>
        <v>2022013733</v>
      </c>
      <c r="F1558" s="18">
        <v>0</v>
      </c>
      <c r="G1558" s="18">
        <v>85</v>
      </c>
      <c r="H1558" s="18" t="s">
        <v>13</v>
      </c>
      <c r="I1558" s="18" t="s">
        <v>12</v>
      </c>
    </row>
    <row r="1559" s="1" customFormat="1" customHeight="1" spans="1:9">
      <c r="A1559" s="18" t="str">
        <f t="shared" ref="A1559:A1595" si="144">"B5F"</f>
        <v>B5F</v>
      </c>
      <c r="B1559" s="19" t="s">
        <v>54</v>
      </c>
      <c r="C1559" s="18" t="str">
        <f>"肖琨"</f>
        <v>肖琨</v>
      </c>
      <c r="D1559" s="18" t="str">
        <f t="shared" ref="D1559:D1605" si="145">"男"</f>
        <v>男</v>
      </c>
      <c r="E1559" s="18" t="str">
        <f>"2022013818"</f>
        <v>2022013818</v>
      </c>
      <c r="F1559" s="18">
        <v>77.5</v>
      </c>
      <c r="G1559" s="18">
        <v>1</v>
      </c>
      <c r="H1559" s="18"/>
      <c r="I1559" s="28" t="s">
        <v>11</v>
      </c>
    </row>
    <row r="1560" s="1" customFormat="1" customHeight="1" spans="1:9">
      <c r="A1560" s="18" t="str">
        <f t="shared" si="144"/>
        <v>B5F</v>
      </c>
      <c r="B1560" s="19" t="s">
        <v>54</v>
      </c>
      <c r="C1560" s="18" t="str">
        <f>"罗品"</f>
        <v>罗品</v>
      </c>
      <c r="D1560" s="18" t="str">
        <f t="shared" si="145"/>
        <v>男</v>
      </c>
      <c r="E1560" s="18" t="str">
        <f>"2022013804"</f>
        <v>2022013804</v>
      </c>
      <c r="F1560" s="18">
        <v>75.8</v>
      </c>
      <c r="G1560" s="18">
        <v>2</v>
      </c>
      <c r="H1560" s="18"/>
      <c r="I1560" s="28" t="s">
        <v>11</v>
      </c>
    </row>
    <row r="1561" s="1" customFormat="1" customHeight="1" spans="1:9">
      <c r="A1561" s="18" t="str">
        <f t="shared" si="144"/>
        <v>B5F</v>
      </c>
      <c r="B1561" s="19" t="s">
        <v>54</v>
      </c>
      <c r="C1561" s="18" t="str">
        <f>"李欲共"</f>
        <v>李欲共</v>
      </c>
      <c r="D1561" s="18" t="str">
        <f t="shared" si="145"/>
        <v>男</v>
      </c>
      <c r="E1561" s="18" t="str">
        <f>"2022013829"</f>
        <v>2022013829</v>
      </c>
      <c r="F1561" s="18">
        <v>75.5</v>
      </c>
      <c r="G1561" s="18">
        <v>3</v>
      </c>
      <c r="H1561" s="18"/>
      <c r="I1561" s="18" t="s">
        <v>12</v>
      </c>
    </row>
    <row r="1562" s="1" customFormat="1" customHeight="1" spans="1:9">
      <c r="A1562" s="18" t="str">
        <f t="shared" si="144"/>
        <v>B5F</v>
      </c>
      <c r="B1562" s="19" t="s">
        <v>54</v>
      </c>
      <c r="C1562" s="18" t="str">
        <f>"乐科良"</f>
        <v>乐科良</v>
      </c>
      <c r="D1562" s="18" t="str">
        <f t="shared" si="145"/>
        <v>男</v>
      </c>
      <c r="E1562" s="18" t="str">
        <f>"2022013814"</f>
        <v>2022013814</v>
      </c>
      <c r="F1562" s="18">
        <v>75</v>
      </c>
      <c r="G1562" s="18">
        <v>4</v>
      </c>
      <c r="H1562" s="18"/>
      <c r="I1562" s="18" t="s">
        <v>12</v>
      </c>
    </row>
    <row r="1563" s="1" customFormat="1" customHeight="1" spans="1:9">
      <c r="A1563" s="18" t="str">
        <f t="shared" si="144"/>
        <v>B5F</v>
      </c>
      <c r="B1563" s="19" t="s">
        <v>54</v>
      </c>
      <c r="C1563" s="18" t="str">
        <f>"陈志龙"</f>
        <v>陈志龙</v>
      </c>
      <c r="D1563" s="18" t="str">
        <f t="shared" si="145"/>
        <v>男</v>
      </c>
      <c r="E1563" s="18" t="str">
        <f>"2022013813"</f>
        <v>2022013813</v>
      </c>
      <c r="F1563" s="18">
        <v>74.3</v>
      </c>
      <c r="G1563" s="18">
        <v>5</v>
      </c>
      <c r="H1563" s="18"/>
      <c r="I1563" s="18" t="s">
        <v>12</v>
      </c>
    </row>
    <row r="1564" s="1" customFormat="1" customHeight="1" spans="1:9">
      <c r="A1564" s="18" t="str">
        <f t="shared" si="144"/>
        <v>B5F</v>
      </c>
      <c r="B1564" s="19" t="s">
        <v>54</v>
      </c>
      <c r="C1564" s="18" t="str">
        <f>"肖振湘"</f>
        <v>肖振湘</v>
      </c>
      <c r="D1564" s="18" t="str">
        <f t="shared" si="145"/>
        <v>男</v>
      </c>
      <c r="E1564" s="18" t="str">
        <f>"2022013802"</f>
        <v>2022013802</v>
      </c>
      <c r="F1564" s="18">
        <v>73.8</v>
      </c>
      <c r="G1564" s="18">
        <v>6</v>
      </c>
      <c r="H1564" s="18"/>
      <c r="I1564" s="18" t="s">
        <v>12</v>
      </c>
    </row>
    <row r="1565" s="1" customFormat="1" customHeight="1" spans="1:9">
      <c r="A1565" s="18" t="str">
        <f t="shared" si="144"/>
        <v>B5F</v>
      </c>
      <c r="B1565" s="19" t="s">
        <v>54</v>
      </c>
      <c r="C1565" s="18" t="str">
        <f>" 史伟民"</f>
        <v> 史伟民</v>
      </c>
      <c r="D1565" s="18" t="str">
        <f t="shared" si="145"/>
        <v>男</v>
      </c>
      <c r="E1565" s="18" t="str">
        <f>"2022013820"</f>
        <v>2022013820</v>
      </c>
      <c r="F1565" s="18">
        <v>72.8</v>
      </c>
      <c r="G1565" s="18">
        <v>7</v>
      </c>
      <c r="H1565" s="18"/>
      <c r="I1565" s="18" t="s">
        <v>12</v>
      </c>
    </row>
    <row r="1566" s="1" customFormat="1" customHeight="1" spans="1:9">
      <c r="A1566" s="18" t="str">
        <f t="shared" si="144"/>
        <v>B5F</v>
      </c>
      <c r="B1566" s="19" t="s">
        <v>54</v>
      </c>
      <c r="C1566" s="18" t="str">
        <f>"李政利"</f>
        <v>李政利</v>
      </c>
      <c r="D1566" s="18" t="str">
        <f t="shared" si="145"/>
        <v>男</v>
      </c>
      <c r="E1566" s="18" t="str">
        <f>"2022013833"</f>
        <v>2022013833</v>
      </c>
      <c r="F1566" s="18">
        <v>71.8</v>
      </c>
      <c r="G1566" s="18">
        <v>8</v>
      </c>
      <c r="H1566" s="18"/>
      <c r="I1566" s="18" t="s">
        <v>12</v>
      </c>
    </row>
    <row r="1567" s="1" customFormat="1" customHeight="1" spans="1:9">
      <c r="A1567" s="18" t="str">
        <f t="shared" si="144"/>
        <v>B5F</v>
      </c>
      <c r="B1567" s="19" t="s">
        <v>54</v>
      </c>
      <c r="C1567" s="18" t="str">
        <f>"王运东"</f>
        <v>王运东</v>
      </c>
      <c r="D1567" s="18" t="str">
        <f t="shared" si="145"/>
        <v>男</v>
      </c>
      <c r="E1567" s="18" t="str">
        <f>"2022013815"</f>
        <v>2022013815</v>
      </c>
      <c r="F1567" s="18">
        <v>69</v>
      </c>
      <c r="G1567" s="18">
        <v>9</v>
      </c>
      <c r="H1567" s="18"/>
      <c r="I1567" s="18" t="s">
        <v>12</v>
      </c>
    </row>
    <row r="1568" s="1" customFormat="1" customHeight="1" spans="1:9">
      <c r="A1568" s="18" t="str">
        <f t="shared" si="144"/>
        <v>B5F</v>
      </c>
      <c r="B1568" s="19" t="s">
        <v>54</v>
      </c>
      <c r="C1568" s="18" t="str">
        <f>"肖伟跃"</f>
        <v>肖伟跃</v>
      </c>
      <c r="D1568" s="18" t="str">
        <f t="shared" si="145"/>
        <v>男</v>
      </c>
      <c r="E1568" s="18" t="str">
        <f>"2022013828"</f>
        <v>2022013828</v>
      </c>
      <c r="F1568" s="18">
        <v>68.9</v>
      </c>
      <c r="G1568" s="18">
        <v>10</v>
      </c>
      <c r="H1568" s="18"/>
      <c r="I1568" s="18" t="s">
        <v>12</v>
      </c>
    </row>
    <row r="1569" s="1" customFormat="1" customHeight="1" spans="1:9">
      <c r="A1569" s="18" t="str">
        <f t="shared" si="144"/>
        <v>B5F</v>
      </c>
      <c r="B1569" s="19" t="s">
        <v>54</v>
      </c>
      <c r="C1569" s="18" t="str">
        <f>"罗睿"</f>
        <v>罗睿</v>
      </c>
      <c r="D1569" s="18" t="str">
        <f t="shared" si="145"/>
        <v>男</v>
      </c>
      <c r="E1569" s="18" t="str">
        <f>"2022013805"</f>
        <v>2022013805</v>
      </c>
      <c r="F1569" s="18">
        <v>68</v>
      </c>
      <c r="G1569" s="18">
        <v>11</v>
      </c>
      <c r="H1569" s="18"/>
      <c r="I1569" s="18" t="s">
        <v>12</v>
      </c>
    </row>
    <row r="1570" s="1" customFormat="1" customHeight="1" spans="1:9">
      <c r="A1570" s="18" t="str">
        <f t="shared" si="144"/>
        <v>B5F</v>
      </c>
      <c r="B1570" s="19" t="s">
        <v>54</v>
      </c>
      <c r="C1570" s="18" t="str">
        <f>"唐传栖"</f>
        <v>唐传栖</v>
      </c>
      <c r="D1570" s="18" t="str">
        <f t="shared" si="145"/>
        <v>男</v>
      </c>
      <c r="E1570" s="18" t="str">
        <f>"2022013811"</f>
        <v>2022013811</v>
      </c>
      <c r="F1570" s="18">
        <v>67.5</v>
      </c>
      <c r="G1570" s="18">
        <v>12</v>
      </c>
      <c r="H1570" s="18"/>
      <c r="I1570" s="18" t="s">
        <v>12</v>
      </c>
    </row>
    <row r="1571" s="1" customFormat="1" customHeight="1" spans="1:9">
      <c r="A1571" s="18" t="str">
        <f t="shared" si="144"/>
        <v>B5F</v>
      </c>
      <c r="B1571" s="19" t="s">
        <v>54</v>
      </c>
      <c r="C1571" s="18" t="str">
        <f>"钟华"</f>
        <v>钟华</v>
      </c>
      <c r="D1571" s="18" t="str">
        <f t="shared" si="145"/>
        <v>男</v>
      </c>
      <c r="E1571" s="18" t="str">
        <f>"2022013902"</f>
        <v>2022013902</v>
      </c>
      <c r="F1571" s="18">
        <v>67.4</v>
      </c>
      <c r="G1571" s="18">
        <v>13</v>
      </c>
      <c r="H1571" s="18"/>
      <c r="I1571" s="18" t="s">
        <v>12</v>
      </c>
    </row>
    <row r="1572" s="1" customFormat="1" customHeight="1" spans="1:9">
      <c r="A1572" s="18" t="str">
        <f t="shared" si="144"/>
        <v>B5F</v>
      </c>
      <c r="B1572" s="19" t="s">
        <v>54</v>
      </c>
      <c r="C1572" s="18" t="str">
        <f>"瞿冠贤"</f>
        <v>瞿冠贤</v>
      </c>
      <c r="D1572" s="18" t="str">
        <f t="shared" si="145"/>
        <v>男</v>
      </c>
      <c r="E1572" s="18" t="str">
        <f>"2022013832"</f>
        <v>2022013832</v>
      </c>
      <c r="F1572" s="18">
        <v>66.2</v>
      </c>
      <c r="G1572" s="18">
        <v>14</v>
      </c>
      <c r="H1572" s="18"/>
      <c r="I1572" s="18" t="s">
        <v>12</v>
      </c>
    </row>
    <row r="1573" s="1" customFormat="1" customHeight="1" spans="1:9">
      <c r="A1573" s="18" t="str">
        <f t="shared" si="144"/>
        <v>B5F</v>
      </c>
      <c r="B1573" s="19" t="s">
        <v>54</v>
      </c>
      <c r="C1573" s="18" t="str">
        <f>"谢春林"</f>
        <v>谢春林</v>
      </c>
      <c r="D1573" s="18" t="str">
        <f t="shared" si="145"/>
        <v>男</v>
      </c>
      <c r="E1573" s="18" t="str">
        <f>"2022013803"</f>
        <v>2022013803</v>
      </c>
      <c r="F1573" s="18">
        <v>65.2</v>
      </c>
      <c r="G1573" s="18">
        <v>15</v>
      </c>
      <c r="H1573" s="18"/>
      <c r="I1573" s="18" t="s">
        <v>12</v>
      </c>
    </row>
    <row r="1574" s="1" customFormat="1" customHeight="1" spans="1:9">
      <c r="A1574" s="18" t="str">
        <f t="shared" si="144"/>
        <v>B5F</v>
      </c>
      <c r="B1574" s="19" t="s">
        <v>54</v>
      </c>
      <c r="C1574" s="18" t="str">
        <f>"黄平"</f>
        <v>黄平</v>
      </c>
      <c r="D1574" s="18" t="str">
        <f t="shared" si="145"/>
        <v>男</v>
      </c>
      <c r="E1574" s="18" t="str">
        <f>"2022013827"</f>
        <v>2022013827</v>
      </c>
      <c r="F1574" s="18">
        <v>65.2</v>
      </c>
      <c r="G1574" s="18">
        <v>15</v>
      </c>
      <c r="H1574" s="18"/>
      <c r="I1574" s="18" t="s">
        <v>12</v>
      </c>
    </row>
    <row r="1575" s="1" customFormat="1" customHeight="1" spans="1:9">
      <c r="A1575" s="18" t="str">
        <f t="shared" si="144"/>
        <v>B5F</v>
      </c>
      <c r="B1575" s="19" t="s">
        <v>54</v>
      </c>
      <c r="C1575" s="18" t="str">
        <f>"成滏龙"</f>
        <v>成滏龙</v>
      </c>
      <c r="D1575" s="18" t="str">
        <f t="shared" si="145"/>
        <v>男</v>
      </c>
      <c r="E1575" s="18" t="str">
        <f>"2022013826"</f>
        <v>2022013826</v>
      </c>
      <c r="F1575" s="18">
        <v>65</v>
      </c>
      <c r="G1575" s="18">
        <v>17</v>
      </c>
      <c r="H1575" s="18"/>
      <c r="I1575" s="18" t="s">
        <v>12</v>
      </c>
    </row>
    <row r="1576" s="1" customFormat="1" customHeight="1" spans="1:9">
      <c r="A1576" s="18" t="str">
        <f t="shared" si="144"/>
        <v>B5F</v>
      </c>
      <c r="B1576" s="19" t="s">
        <v>54</v>
      </c>
      <c r="C1576" s="18" t="str">
        <f>"向万里"</f>
        <v>向万里</v>
      </c>
      <c r="D1576" s="18" t="str">
        <f t="shared" si="145"/>
        <v>男</v>
      </c>
      <c r="E1576" s="18" t="str">
        <f>"2022013817"</f>
        <v>2022013817</v>
      </c>
      <c r="F1576" s="18">
        <v>64.7</v>
      </c>
      <c r="G1576" s="18">
        <v>18</v>
      </c>
      <c r="H1576" s="18"/>
      <c r="I1576" s="18" t="s">
        <v>12</v>
      </c>
    </row>
    <row r="1577" s="1" customFormat="1" customHeight="1" spans="1:9">
      <c r="A1577" s="18" t="str">
        <f t="shared" si="144"/>
        <v>B5F</v>
      </c>
      <c r="B1577" s="19" t="s">
        <v>54</v>
      </c>
      <c r="C1577" s="18" t="str">
        <f>"李臻"</f>
        <v>李臻</v>
      </c>
      <c r="D1577" s="18" t="str">
        <f t="shared" si="145"/>
        <v>男</v>
      </c>
      <c r="E1577" s="18" t="str">
        <f>"2022013903"</f>
        <v>2022013903</v>
      </c>
      <c r="F1577" s="18">
        <v>62.4</v>
      </c>
      <c r="G1577" s="18">
        <v>19</v>
      </c>
      <c r="H1577" s="18"/>
      <c r="I1577" s="18" t="s">
        <v>12</v>
      </c>
    </row>
    <row r="1578" s="1" customFormat="1" customHeight="1" spans="1:9">
      <c r="A1578" s="18" t="str">
        <f t="shared" si="144"/>
        <v>B5F</v>
      </c>
      <c r="B1578" s="19" t="s">
        <v>54</v>
      </c>
      <c r="C1578" s="18" t="str">
        <f>"刘诗虎"</f>
        <v>刘诗虎</v>
      </c>
      <c r="D1578" s="18" t="str">
        <f t="shared" si="145"/>
        <v>男</v>
      </c>
      <c r="E1578" s="18" t="str">
        <f>"2022013812"</f>
        <v>2022013812</v>
      </c>
      <c r="F1578" s="18">
        <v>61.7</v>
      </c>
      <c r="G1578" s="18">
        <v>20</v>
      </c>
      <c r="H1578" s="18"/>
      <c r="I1578" s="18" t="s">
        <v>12</v>
      </c>
    </row>
    <row r="1579" s="1" customFormat="1" customHeight="1" spans="1:9">
      <c r="A1579" s="18" t="str">
        <f t="shared" si="144"/>
        <v>B5F</v>
      </c>
      <c r="B1579" s="19" t="s">
        <v>54</v>
      </c>
      <c r="C1579" s="18" t="str">
        <f>"郑学宏"</f>
        <v>郑学宏</v>
      </c>
      <c r="D1579" s="18" t="str">
        <f t="shared" si="145"/>
        <v>男</v>
      </c>
      <c r="E1579" s="18" t="str">
        <f>"2022013901"</f>
        <v>2022013901</v>
      </c>
      <c r="F1579" s="18">
        <v>61.7</v>
      </c>
      <c r="G1579" s="18">
        <v>20</v>
      </c>
      <c r="H1579" s="18"/>
      <c r="I1579" s="18" t="s">
        <v>12</v>
      </c>
    </row>
    <row r="1580" s="1" customFormat="1" customHeight="1" spans="1:9">
      <c r="A1580" s="18" t="str">
        <f t="shared" si="144"/>
        <v>B5F</v>
      </c>
      <c r="B1580" s="19" t="s">
        <v>54</v>
      </c>
      <c r="C1580" s="18" t="str">
        <f>"彭青"</f>
        <v>彭青</v>
      </c>
      <c r="D1580" s="18" t="str">
        <f t="shared" si="145"/>
        <v>男</v>
      </c>
      <c r="E1580" s="18" t="str">
        <f>"2022013823"</f>
        <v>2022013823</v>
      </c>
      <c r="F1580" s="18">
        <v>61.1</v>
      </c>
      <c r="G1580" s="18">
        <v>22</v>
      </c>
      <c r="H1580" s="18"/>
      <c r="I1580" s="18" t="s">
        <v>12</v>
      </c>
    </row>
    <row r="1581" s="1" customFormat="1" customHeight="1" spans="1:9">
      <c r="A1581" s="18" t="str">
        <f t="shared" si="144"/>
        <v>B5F</v>
      </c>
      <c r="B1581" s="19" t="s">
        <v>54</v>
      </c>
      <c r="C1581" s="18" t="str">
        <f>"郑纯林"</f>
        <v>郑纯林</v>
      </c>
      <c r="D1581" s="18" t="str">
        <f t="shared" si="145"/>
        <v>男</v>
      </c>
      <c r="E1581" s="18" t="str">
        <f>"2022013824"</f>
        <v>2022013824</v>
      </c>
      <c r="F1581" s="18">
        <v>60.4</v>
      </c>
      <c r="G1581" s="18">
        <v>23</v>
      </c>
      <c r="H1581" s="18"/>
      <c r="I1581" s="18" t="s">
        <v>12</v>
      </c>
    </row>
    <row r="1582" s="1" customFormat="1" customHeight="1" spans="1:9">
      <c r="A1582" s="18" t="str">
        <f t="shared" si="144"/>
        <v>B5F</v>
      </c>
      <c r="B1582" s="19" t="s">
        <v>54</v>
      </c>
      <c r="C1582" s="18" t="str">
        <f>"刘逸"</f>
        <v>刘逸</v>
      </c>
      <c r="D1582" s="18" t="str">
        <f t="shared" si="145"/>
        <v>男</v>
      </c>
      <c r="E1582" s="18" t="str">
        <f>"2022013830"</f>
        <v>2022013830</v>
      </c>
      <c r="F1582" s="18">
        <v>58.5</v>
      </c>
      <c r="G1582" s="18">
        <v>24</v>
      </c>
      <c r="H1582" s="18"/>
      <c r="I1582" s="18" t="s">
        <v>12</v>
      </c>
    </row>
    <row r="1583" s="1" customFormat="1" customHeight="1" spans="1:9">
      <c r="A1583" s="18" t="str">
        <f t="shared" si="144"/>
        <v>B5F</v>
      </c>
      <c r="B1583" s="19" t="s">
        <v>54</v>
      </c>
      <c r="C1583" s="18" t="str">
        <f>"谭诗学"</f>
        <v>谭诗学</v>
      </c>
      <c r="D1583" s="18" t="str">
        <f t="shared" si="145"/>
        <v>男</v>
      </c>
      <c r="E1583" s="18" t="str">
        <f>"2022013819"</f>
        <v>2022013819</v>
      </c>
      <c r="F1583" s="18">
        <v>57.1</v>
      </c>
      <c r="G1583" s="18">
        <v>25</v>
      </c>
      <c r="H1583" s="18"/>
      <c r="I1583" s="18" t="s">
        <v>12</v>
      </c>
    </row>
    <row r="1584" s="1" customFormat="1" customHeight="1" spans="1:9">
      <c r="A1584" s="18" t="str">
        <f t="shared" si="144"/>
        <v>B5F</v>
      </c>
      <c r="B1584" s="19" t="s">
        <v>54</v>
      </c>
      <c r="C1584" s="18" t="str">
        <f>"龙嘉京"</f>
        <v>龙嘉京</v>
      </c>
      <c r="D1584" s="18" t="str">
        <f t="shared" si="145"/>
        <v>男</v>
      </c>
      <c r="E1584" s="18" t="str">
        <f>"2022013831"</f>
        <v>2022013831</v>
      </c>
      <c r="F1584" s="18">
        <v>53</v>
      </c>
      <c r="G1584" s="18">
        <v>26</v>
      </c>
      <c r="H1584" s="18"/>
      <c r="I1584" s="18" t="s">
        <v>12</v>
      </c>
    </row>
    <row r="1585" s="1" customFormat="1" customHeight="1" spans="1:9">
      <c r="A1585" s="18" t="str">
        <f t="shared" si="144"/>
        <v>B5F</v>
      </c>
      <c r="B1585" s="19" t="s">
        <v>54</v>
      </c>
      <c r="C1585" s="18" t="str">
        <f>"雷欢"</f>
        <v>雷欢</v>
      </c>
      <c r="D1585" s="18" t="str">
        <f t="shared" si="145"/>
        <v>男</v>
      </c>
      <c r="E1585" s="18" t="str">
        <f>"2022013807"</f>
        <v>2022013807</v>
      </c>
      <c r="F1585" s="18">
        <v>52.9</v>
      </c>
      <c r="G1585" s="18">
        <v>27</v>
      </c>
      <c r="H1585" s="18"/>
      <c r="I1585" s="18" t="s">
        <v>12</v>
      </c>
    </row>
    <row r="1586" s="1" customFormat="1" customHeight="1" spans="1:9">
      <c r="A1586" s="18" t="str">
        <f t="shared" si="144"/>
        <v>B5F</v>
      </c>
      <c r="B1586" s="19" t="s">
        <v>54</v>
      </c>
      <c r="C1586" s="18" t="str">
        <f>"安杨"</f>
        <v>安杨</v>
      </c>
      <c r="D1586" s="18" t="str">
        <f t="shared" si="145"/>
        <v>男</v>
      </c>
      <c r="E1586" s="18" t="str">
        <f>"2022013825"</f>
        <v>2022013825</v>
      </c>
      <c r="F1586" s="18">
        <v>50.5</v>
      </c>
      <c r="G1586" s="18">
        <v>28</v>
      </c>
      <c r="H1586" s="18"/>
      <c r="I1586" s="18" t="s">
        <v>12</v>
      </c>
    </row>
    <row r="1587" s="1" customFormat="1" customHeight="1" spans="1:9">
      <c r="A1587" s="18" t="str">
        <f t="shared" si="144"/>
        <v>B5F</v>
      </c>
      <c r="B1587" s="19" t="s">
        <v>54</v>
      </c>
      <c r="C1587" s="18" t="str">
        <f>"胡林灿"</f>
        <v>胡林灿</v>
      </c>
      <c r="D1587" s="18" t="str">
        <f t="shared" si="145"/>
        <v>男</v>
      </c>
      <c r="E1587" s="18" t="str">
        <f>"2022013801"</f>
        <v>2022013801</v>
      </c>
      <c r="F1587" s="18">
        <v>0</v>
      </c>
      <c r="G1587" s="18">
        <v>29</v>
      </c>
      <c r="H1587" s="18" t="s">
        <v>13</v>
      </c>
      <c r="I1587" s="18" t="s">
        <v>12</v>
      </c>
    </row>
    <row r="1588" s="1" customFormat="1" customHeight="1" spans="1:9">
      <c r="A1588" s="18" t="str">
        <f t="shared" si="144"/>
        <v>B5F</v>
      </c>
      <c r="B1588" s="19" t="s">
        <v>54</v>
      </c>
      <c r="C1588" s="18" t="str">
        <f>"杨洋"</f>
        <v>杨洋</v>
      </c>
      <c r="D1588" s="18" t="str">
        <f t="shared" si="145"/>
        <v>男</v>
      </c>
      <c r="E1588" s="18" t="str">
        <f>"2022013806"</f>
        <v>2022013806</v>
      </c>
      <c r="F1588" s="18">
        <v>0</v>
      </c>
      <c r="G1588" s="18">
        <v>29</v>
      </c>
      <c r="H1588" s="18" t="s">
        <v>13</v>
      </c>
      <c r="I1588" s="18" t="s">
        <v>12</v>
      </c>
    </row>
    <row r="1589" s="1" customFormat="1" customHeight="1" spans="1:9">
      <c r="A1589" s="18" t="str">
        <f t="shared" si="144"/>
        <v>B5F</v>
      </c>
      <c r="B1589" s="19" t="s">
        <v>54</v>
      </c>
      <c r="C1589" s="18" t="str">
        <f>"陈隆"</f>
        <v>陈隆</v>
      </c>
      <c r="D1589" s="18" t="str">
        <f t="shared" si="145"/>
        <v>男</v>
      </c>
      <c r="E1589" s="18" t="str">
        <f>"2022013808"</f>
        <v>2022013808</v>
      </c>
      <c r="F1589" s="18">
        <v>0</v>
      </c>
      <c r="G1589" s="18">
        <v>29</v>
      </c>
      <c r="H1589" s="18" t="s">
        <v>13</v>
      </c>
      <c r="I1589" s="18" t="s">
        <v>12</v>
      </c>
    </row>
    <row r="1590" s="1" customFormat="1" customHeight="1" spans="1:9">
      <c r="A1590" s="18" t="str">
        <f t="shared" si="144"/>
        <v>B5F</v>
      </c>
      <c r="B1590" s="19" t="s">
        <v>54</v>
      </c>
      <c r="C1590" s="18" t="str">
        <f>"蔡文敏"</f>
        <v>蔡文敏</v>
      </c>
      <c r="D1590" s="18" t="str">
        <f t="shared" si="145"/>
        <v>男</v>
      </c>
      <c r="E1590" s="18" t="str">
        <f>"2022013809"</f>
        <v>2022013809</v>
      </c>
      <c r="F1590" s="18">
        <v>0</v>
      </c>
      <c r="G1590" s="18">
        <v>29</v>
      </c>
      <c r="H1590" s="18" t="s">
        <v>13</v>
      </c>
      <c r="I1590" s="18" t="s">
        <v>12</v>
      </c>
    </row>
    <row r="1591" s="1" customFormat="1" customHeight="1" spans="1:9">
      <c r="A1591" s="18" t="str">
        <f t="shared" si="144"/>
        <v>B5F</v>
      </c>
      <c r="B1591" s="19" t="s">
        <v>54</v>
      </c>
      <c r="C1591" s="18" t="str">
        <f>"肖军风"</f>
        <v>肖军风</v>
      </c>
      <c r="D1591" s="18" t="str">
        <f t="shared" si="145"/>
        <v>男</v>
      </c>
      <c r="E1591" s="18" t="str">
        <f>"2022013810"</f>
        <v>2022013810</v>
      </c>
      <c r="F1591" s="18">
        <v>0</v>
      </c>
      <c r="G1591" s="18">
        <v>29</v>
      </c>
      <c r="H1591" s="18" t="s">
        <v>13</v>
      </c>
      <c r="I1591" s="18" t="s">
        <v>12</v>
      </c>
    </row>
    <row r="1592" s="1" customFormat="1" customHeight="1" spans="1:9">
      <c r="A1592" s="18" t="str">
        <f t="shared" si="144"/>
        <v>B5F</v>
      </c>
      <c r="B1592" s="19" t="s">
        <v>54</v>
      </c>
      <c r="C1592" s="18" t="str">
        <f>"卢伟"</f>
        <v>卢伟</v>
      </c>
      <c r="D1592" s="18" t="str">
        <f t="shared" si="145"/>
        <v>男</v>
      </c>
      <c r="E1592" s="18" t="str">
        <f>"2022013816"</f>
        <v>2022013816</v>
      </c>
      <c r="F1592" s="18">
        <v>0</v>
      </c>
      <c r="G1592" s="18">
        <v>29</v>
      </c>
      <c r="H1592" s="18" t="s">
        <v>13</v>
      </c>
      <c r="I1592" s="18" t="s">
        <v>12</v>
      </c>
    </row>
    <row r="1593" s="1" customFormat="1" customHeight="1" spans="1:9">
      <c r="A1593" s="18" t="str">
        <f t="shared" si="144"/>
        <v>B5F</v>
      </c>
      <c r="B1593" s="19" t="s">
        <v>54</v>
      </c>
      <c r="C1593" s="18" t="str">
        <f>"张淼燚"</f>
        <v>张淼燚</v>
      </c>
      <c r="D1593" s="18" t="str">
        <f t="shared" si="145"/>
        <v>男</v>
      </c>
      <c r="E1593" s="18" t="str">
        <f>"2022013821"</f>
        <v>2022013821</v>
      </c>
      <c r="F1593" s="18">
        <v>0</v>
      </c>
      <c r="G1593" s="18">
        <v>29</v>
      </c>
      <c r="H1593" s="18" t="s">
        <v>13</v>
      </c>
      <c r="I1593" s="18" t="s">
        <v>12</v>
      </c>
    </row>
    <row r="1594" s="1" customFormat="1" customHeight="1" spans="1:9">
      <c r="A1594" s="18" t="str">
        <f t="shared" si="144"/>
        <v>B5F</v>
      </c>
      <c r="B1594" s="19" t="s">
        <v>54</v>
      </c>
      <c r="C1594" s="18" t="str">
        <f>"杨迪敏"</f>
        <v>杨迪敏</v>
      </c>
      <c r="D1594" s="18" t="str">
        <f t="shared" si="145"/>
        <v>男</v>
      </c>
      <c r="E1594" s="18" t="str">
        <f>"2022013822"</f>
        <v>2022013822</v>
      </c>
      <c r="F1594" s="18">
        <v>0</v>
      </c>
      <c r="G1594" s="18">
        <v>29</v>
      </c>
      <c r="H1594" s="18" t="s">
        <v>13</v>
      </c>
      <c r="I1594" s="18" t="s">
        <v>12</v>
      </c>
    </row>
    <row r="1595" s="1" customFormat="1" customHeight="1" spans="1:9">
      <c r="A1595" s="18" t="str">
        <f t="shared" si="144"/>
        <v>B5F</v>
      </c>
      <c r="B1595" s="19" t="s">
        <v>54</v>
      </c>
      <c r="C1595" s="18" t="str">
        <f>"黄乐平"</f>
        <v>黄乐平</v>
      </c>
      <c r="D1595" s="18" t="str">
        <f t="shared" si="145"/>
        <v>男</v>
      </c>
      <c r="E1595" s="18" t="str">
        <f>"2022013834"</f>
        <v>2022013834</v>
      </c>
      <c r="F1595" s="18">
        <v>0</v>
      </c>
      <c r="G1595" s="18">
        <v>29</v>
      </c>
      <c r="H1595" s="18" t="s">
        <v>13</v>
      </c>
      <c r="I1595" s="18" t="s">
        <v>12</v>
      </c>
    </row>
    <row r="1596" s="1" customFormat="1" customHeight="1" spans="1:9">
      <c r="A1596" s="18" t="str">
        <f t="shared" ref="A1596:A1605" si="146">"B5G"</f>
        <v>B5G</v>
      </c>
      <c r="B1596" s="19" t="s">
        <v>55</v>
      </c>
      <c r="C1596" s="18" t="str">
        <f>"张灏"</f>
        <v>张灏</v>
      </c>
      <c r="D1596" s="18" t="str">
        <f t="shared" si="145"/>
        <v>男</v>
      </c>
      <c r="E1596" s="18" t="str">
        <f>"2022013907"</f>
        <v>2022013907</v>
      </c>
      <c r="F1596" s="24">
        <v>73.5</v>
      </c>
      <c r="G1596" s="24">
        <v>1</v>
      </c>
      <c r="H1596" s="18"/>
      <c r="I1596" s="28" t="s">
        <v>11</v>
      </c>
    </row>
    <row r="1597" s="1" customFormat="1" customHeight="1" spans="1:9">
      <c r="A1597" s="18" t="str">
        <f t="shared" si="146"/>
        <v>B5G</v>
      </c>
      <c r="B1597" s="19" t="s">
        <v>55</v>
      </c>
      <c r="C1597" s="18" t="str">
        <f>"晏嵘"</f>
        <v>晏嵘</v>
      </c>
      <c r="D1597" s="18" t="str">
        <f t="shared" si="145"/>
        <v>男</v>
      </c>
      <c r="E1597" s="18" t="str">
        <f>"2022013908"</f>
        <v>2022013908</v>
      </c>
      <c r="F1597" s="24">
        <v>71.2</v>
      </c>
      <c r="G1597" s="24">
        <v>2</v>
      </c>
      <c r="H1597" s="18"/>
      <c r="I1597" s="28" t="s">
        <v>11</v>
      </c>
    </row>
    <row r="1598" s="1" customFormat="1" customHeight="1" spans="1:9">
      <c r="A1598" s="18" t="str">
        <f t="shared" si="146"/>
        <v>B5G</v>
      </c>
      <c r="B1598" s="19" t="s">
        <v>55</v>
      </c>
      <c r="C1598" s="18" t="str">
        <f>"李煜"</f>
        <v>李煜</v>
      </c>
      <c r="D1598" s="18" t="str">
        <f t="shared" si="145"/>
        <v>男</v>
      </c>
      <c r="E1598" s="18" t="str">
        <f>"2022013906"</f>
        <v>2022013906</v>
      </c>
      <c r="F1598" s="24">
        <v>71</v>
      </c>
      <c r="G1598" s="24">
        <v>3</v>
      </c>
      <c r="H1598" s="18"/>
      <c r="I1598" s="18" t="s">
        <v>12</v>
      </c>
    </row>
    <row r="1599" s="1" customFormat="1" customHeight="1" spans="1:9">
      <c r="A1599" s="18" t="str">
        <f t="shared" si="146"/>
        <v>B5G</v>
      </c>
      <c r="B1599" s="19" t="s">
        <v>55</v>
      </c>
      <c r="C1599" s="18" t="str">
        <f>"吕晗"</f>
        <v>吕晗</v>
      </c>
      <c r="D1599" s="18" t="str">
        <f t="shared" si="145"/>
        <v>男</v>
      </c>
      <c r="E1599" s="18" t="str">
        <f>"2022013913"</f>
        <v>2022013913</v>
      </c>
      <c r="F1599" s="24">
        <v>67.9</v>
      </c>
      <c r="G1599" s="24">
        <v>4</v>
      </c>
      <c r="H1599" s="18"/>
      <c r="I1599" s="18" t="s">
        <v>12</v>
      </c>
    </row>
    <row r="1600" s="1" customFormat="1" customHeight="1" spans="1:9">
      <c r="A1600" s="18" t="str">
        <f t="shared" si="146"/>
        <v>B5G</v>
      </c>
      <c r="B1600" s="19" t="s">
        <v>55</v>
      </c>
      <c r="C1600" s="18" t="str">
        <f>"王智睿"</f>
        <v>王智睿</v>
      </c>
      <c r="D1600" s="18" t="str">
        <f t="shared" si="145"/>
        <v>男</v>
      </c>
      <c r="E1600" s="18" t="str">
        <f>"2022013904"</f>
        <v>2022013904</v>
      </c>
      <c r="F1600" s="24">
        <v>67.7</v>
      </c>
      <c r="G1600" s="24">
        <v>5</v>
      </c>
      <c r="H1600" s="18"/>
      <c r="I1600" s="18" t="s">
        <v>12</v>
      </c>
    </row>
    <row r="1601" s="1" customFormat="1" customHeight="1" spans="1:9">
      <c r="A1601" s="18" t="str">
        <f t="shared" si="146"/>
        <v>B5G</v>
      </c>
      <c r="B1601" s="19" t="s">
        <v>55</v>
      </c>
      <c r="C1601" s="18" t="str">
        <f>"向吉"</f>
        <v>向吉</v>
      </c>
      <c r="D1601" s="18" t="str">
        <f t="shared" si="145"/>
        <v>男</v>
      </c>
      <c r="E1601" s="18" t="str">
        <f>"2022013905"</f>
        <v>2022013905</v>
      </c>
      <c r="F1601" s="24">
        <v>66.4</v>
      </c>
      <c r="G1601" s="24">
        <v>6</v>
      </c>
      <c r="H1601" s="18"/>
      <c r="I1601" s="18" t="s">
        <v>12</v>
      </c>
    </row>
    <row r="1602" s="1" customFormat="1" customHeight="1" spans="1:9">
      <c r="A1602" s="18" t="str">
        <f t="shared" si="146"/>
        <v>B5G</v>
      </c>
      <c r="B1602" s="19" t="s">
        <v>55</v>
      </c>
      <c r="C1602" s="18" t="str">
        <f>"杨斌"</f>
        <v>杨斌</v>
      </c>
      <c r="D1602" s="18" t="str">
        <f t="shared" si="145"/>
        <v>男</v>
      </c>
      <c r="E1602" s="18" t="str">
        <f>"2022013912"</f>
        <v>2022013912</v>
      </c>
      <c r="F1602" s="24">
        <v>66.4</v>
      </c>
      <c r="G1602" s="24">
        <v>6</v>
      </c>
      <c r="H1602" s="18"/>
      <c r="I1602" s="18" t="s">
        <v>12</v>
      </c>
    </row>
    <row r="1603" s="1" customFormat="1" customHeight="1" spans="1:9">
      <c r="A1603" s="18" t="str">
        <f t="shared" si="146"/>
        <v>B5G</v>
      </c>
      <c r="B1603" s="19" t="s">
        <v>55</v>
      </c>
      <c r="C1603" s="18" t="str">
        <f>"杨文宗"</f>
        <v>杨文宗</v>
      </c>
      <c r="D1603" s="18" t="str">
        <f t="shared" si="145"/>
        <v>男</v>
      </c>
      <c r="E1603" s="18" t="str">
        <f>"2022013909"</f>
        <v>2022013909</v>
      </c>
      <c r="F1603" s="24">
        <v>64.7</v>
      </c>
      <c r="G1603" s="24">
        <v>8</v>
      </c>
      <c r="H1603" s="18"/>
      <c r="I1603" s="18" t="s">
        <v>12</v>
      </c>
    </row>
    <row r="1604" s="1" customFormat="1" customHeight="1" spans="1:9">
      <c r="A1604" s="18" t="str">
        <f t="shared" si="146"/>
        <v>B5G</v>
      </c>
      <c r="B1604" s="19" t="s">
        <v>55</v>
      </c>
      <c r="C1604" s="18" t="str">
        <f>"唐浩珉"</f>
        <v>唐浩珉</v>
      </c>
      <c r="D1604" s="18" t="str">
        <f t="shared" si="145"/>
        <v>男</v>
      </c>
      <c r="E1604" s="18" t="str">
        <f>"2022013911"</f>
        <v>2022013911</v>
      </c>
      <c r="F1604" s="24">
        <v>61.9</v>
      </c>
      <c r="G1604" s="24">
        <v>9</v>
      </c>
      <c r="H1604" s="18"/>
      <c r="I1604" s="18" t="s">
        <v>12</v>
      </c>
    </row>
    <row r="1605" s="1" customFormat="1" customHeight="1" spans="1:9">
      <c r="A1605" s="18" t="str">
        <f t="shared" si="146"/>
        <v>B5G</v>
      </c>
      <c r="B1605" s="19" t="s">
        <v>55</v>
      </c>
      <c r="C1605" s="18" t="str">
        <f>"幸耀辉"</f>
        <v>幸耀辉</v>
      </c>
      <c r="D1605" s="18" t="str">
        <f t="shared" si="145"/>
        <v>男</v>
      </c>
      <c r="E1605" s="18" t="str">
        <f>"2022013910"</f>
        <v>2022013910</v>
      </c>
      <c r="F1605" s="24">
        <v>55.9</v>
      </c>
      <c r="G1605" s="24">
        <v>10</v>
      </c>
      <c r="H1605" s="18"/>
      <c r="I1605" s="18" t="s">
        <v>12</v>
      </c>
    </row>
    <row r="1606" s="1" customFormat="1" customHeight="1" spans="1:9">
      <c r="A1606" s="18" t="str">
        <f t="shared" ref="A1606:A1669" si="147">"B6F"</f>
        <v>B6F</v>
      </c>
      <c r="B1606" s="19" t="s">
        <v>56</v>
      </c>
      <c r="C1606" s="18" t="str">
        <f>"易素芳"</f>
        <v>易素芳</v>
      </c>
      <c r="D1606" s="18" t="str">
        <f t="shared" ref="D1606:D1669" si="148">"女"</f>
        <v>女</v>
      </c>
      <c r="E1606" s="18" t="str">
        <f>"2022013918"</f>
        <v>2022013918</v>
      </c>
      <c r="F1606" s="18">
        <v>76.7</v>
      </c>
      <c r="G1606" s="18">
        <v>1</v>
      </c>
      <c r="H1606" s="18"/>
      <c r="I1606" s="28" t="s">
        <v>11</v>
      </c>
    </row>
    <row r="1607" s="1" customFormat="1" customHeight="1" spans="1:9">
      <c r="A1607" s="18" t="str">
        <f t="shared" si="147"/>
        <v>B6F</v>
      </c>
      <c r="B1607" s="19" t="s">
        <v>56</v>
      </c>
      <c r="C1607" s="18" t="str">
        <f>"黄爱华"</f>
        <v>黄爱华</v>
      </c>
      <c r="D1607" s="18" t="str">
        <f t="shared" si="148"/>
        <v>女</v>
      </c>
      <c r="E1607" s="18" t="str">
        <f>"2022014124"</f>
        <v>2022014124</v>
      </c>
      <c r="F1607" s="18">
        <v>76.4</v>
      </c>
      <c r="G1607" s="18">
        <v>2</v>
      </c>
      <c r="H1607" s="18"/>
      <c r="I1607" s="28" t="s">
        <v>11</v>
      </c>
    </row>
    <row r="1608" s="1" customFormat="1" customHeight="1" spans="1:9">
      <c r="A1608" s="18" t="str">
        <f t="shared" si="147"/>
        <v>B6F</v>
      </c>
      <c r="B1608" s="19" t="s">
        <v>56</v>
      </c>
      <c r="C1608" s="18" t="str">
        <f>"李媛"</f>
        <v>李媛</v>
      </c>
      <c r="D1608" s="18" t="str">
        <f t="shared" si="148"/>
        <v>女</v>
      </c>
      <c r="E1608" s="18" t="str">
        <f>"2022014016"</f>
        <v>2022014016</v>
      </c>
      <c r="F1608" s="18">
        <v>73.7</v>
      </c>
      <c r="G1608" s="18">
        <v>3</v>
      </c>
      <c r="H1608" s="18"/>
      <c r="I1608" s="18" t="s">
        <v>12</v>
      </c>
    </row>
    <row r="1609" s="1" customFormat="1" customHeight="1" spans="1:9">
      <c r="A1609" s="18" t="str">
        <f t="shared" si="147"/>
        <v>B6F</v>
      </c>
      <c r="B1609" s="19" t="s">
        <v>56</v>
      </c>
      <c r="C1609" s="18" t="str">
        <f>"周恬恬"</f>
        <v>周恬恬</v>
      </c>
      <c r="D1609" s="18" t="str">
        <f t="shared" si="148"/>
        <v>女</v>
      </c>
      <c r="E1609" s="18" t="str">
        <f>"2022014207"</f>
        <v>2022014207</v>
      </c>
      <c r="F1609" s="18">
        <v>73.2</v>
      </c>
      <c r="G1609" s="18">
        <v>4</v>
      </c>
      <c r="H1609" s="18"/>
      <c r="I1609" s="18" t="s">
        <v>12</v>
      </c>
    </row>
    <row r="1610" s="1" customFormat="1" customHeight="1" spans="1:9">
      <c r="A1610" s="18" t="str">
        <f t="shared" si="147"/>
        <v>B6F</v>
      </c>
      <c r="B1610" s="19" t="s">
        <v>56</v>
      </c>
      <c r="C1610" s="18" t="str">
        <f>"胡金芳"</f>
        <v>胡金芳</v>
      </c>
      <c r="D1610" s="18" t="str">
        <f t="shared" si="148"/>
        <v>女</v>
      </c>
      <c r="E1610" s="18" t="str">
        <f>"2022014104"</f>
        <v>2022014104</v>
      </c>
      <c r="F1610" s="18">
        <v>72.7</v>
      </c>
      <c r="G1610" s="18">
        <v>5</v>
      </c>
      <c r="H1610" s="18"/>
      <c r="I1610" s="18" t="s">
        <v>12</v>
      </c>
    </row>
    <row r="1611" s="1" customFormat="1" customHeight="1" spans="1:9">
      <c r="A1611" s="18" t="str">
        <f t="shared" si="147"/>
        <v>B6F</v>
      </c>
      <c r="B1611" s="19" t="s">
        <v>56</v>
      </c>
      <c r="C1611" s="18" t="str">
        <f>"李姣玲"</f>
        <v>李姣玲</v>
      </c>
      <c r="D1611" s="18" t="str">
        <f t="shared" si="148"/>
        <v>女</v>
      </c>
      <c r="E1611" s="18" t="str">
        <f>"2022014129"</f>
        <v>2022014129</v>
      </c>
      <c r="F1611" s="18">
        <v>72.2</v>
      </c>
      <c r="G1611" s="18">
        <v>6</v>
      </c>
      <c r="H1611" s="18"/>
      <c r="I1611" s="18" t="s">
        <v>12</v>
      </c>
    </row>
    <row r="1612" s="1" customFormat="1" customHeight="1" spans="1:9">
      <c r="A1612" s="18" t="str">
        <f t="shared" si="147"/>
        <v>B6F</v>
      </c>
      <c r="B1612" s="19" t="s">
        <v>56</v>
      </c>
      <c r="C1612" s="18" t="str">
        <f>"罗思思"</f>
        <v>罗思思</v>
      </c>
      <c r="D1612" s="18" t="str">
        <f t="shared" si="148"/>
        <v>女</v>
      </c>
      <c r="E1612" s="18" t="str">
        <f>"2022014107"</f>
        <v>2022014107</v>
      </c>
      <c r="F1612" s="18">
        <v>71.4</v>
      </c>
      <c r="G1612" s="18">
        <v>7</v>
      </c>
      <c r="H1612" s="18"/>
      <c r="I1612" s="18" t="s">
        <v>12</v>
      </c>
    </row>
    <row r="1613" s="1" customFormat="1" customHeight="1" spans="1:9">
      <c r="A1613" s="18" t="str">
        <f t="shared" si="147"/>
        <v>B6F</v>
      </c>
      <c r="B1613" s="19" t="s">
        <v>56</v>
      </c>
      <c r="C1613" s="18" t="str">
        <f>"唐芳"</f>
        <v>唐芳</v>
      </c>
      <c r="D1613" s="18" t="str">
        <f t="shared" si="148"/>
        <v>女</v>
      </c>
      <c r="E1613" s="18" t="str">
        <f>"2022014009"</f>
        <v>2022014009</v>
      </c>
      <c r="F1613" s="18">
        <v>71.1</v>
      </c>
      <c r="G1613" s="18">
        <v>8</v>
      </c>
      <c r="H1613" s="18"/>
      <c r="I1613" s="18" t="s">
        <v>12</v>
      </c>
    </row>
    <row r="1614" s="1" customFormat="1" customHeight="1" spans="1:9">
      <c r="A1614" s="18" t="str">
        <f t="shared" si="147"/>
        <v>B6F</v>
      </c>
      <c r="B1614" s="19" t="s">
        <v>56</v>
      </c>
      <c r="C1614" s="18" t="str">
        <f>"曾香红"</f>
        <v>曾香红</v>
      </c>
      <c r="D1614" s="18" t="str">
        <f t="shared" si="148"/>
        <v>女</v>
      </c>
      <c r="E1614" s="18" t="str">
        <f>"2022014002"</f>
        <v>2022014002</v>
      </c>
      <c r="F1614" s="18">
        <v>70.9</v>
      </c>
      <c r="G1614" s="18">
        <v>9</v>
      </c>
      <c r="H1614" s="18"/>
      <c r="I1614" s="18" t="s">
        <v>12</v>
      </c>
    </row>
    <row r="1615" s="1" customFormat="1" customHeight="1" spans="1:9">
      <c r="A1615" s="18" t="str">
        <f t="shared" si="147"/>
        <v>B6F</v>
      </c>
      <c r="B1615" s="19" t="s">
        <v>56</v>
      </c>
      <c r="C1615" s="18" t="str">
        <f>"王婷"</f>
        <v>王婷</v>
      </c>
      <c r="D1615" s="18" t="str">
        <f t="shared" si="148"/>
        <v>女</v>
      </c>
      <c r="E1615" s="18" t="str">
        <f>"2022014131"</f>
        <v>2022014131</v>
      </c>
      <c r="F1615" s="18">
        <v>70.9</v>
      </c>
      <c r="G1615" s="18">
        <v>9</v>
      </c>
      <c r="H1615" s="18"/>
      <c r="I1615" s="18" t="s">
        <v>12</v>
      </c>
    </row>
    <row r="1616" s="1" customFormat="1" customHeight="1" spans="1:9">
      <c r="A1616" s="18" t="str">
        <f t="shared" si="147"/>
        <v>B6F</v>
      </c>
      <c r="B1616" s="19" t="s">
        <v>56</v>
      </c>
      <c r="C1616" s="18" t="str">
        <f>"马文娟"</f>
        <v>马文娟</v>
      </c>
      <c r="D1616" s="18" t="str">
        <f t="shared" si="148"/>
        <v>女</v>
      </c>
      <c r="E1616" s="18" t="str">
        <f>"2022014027"</f>
        <v>2022014027</v>
      </c>
      <c r="F1616" s="18">
        <v>70.7</v>
      </c>
      <c r="G1616" s="18">
        <v>11</v>
      </c>
      <c r="H1616" s="18"/>
      <c r="I1616" s="18" t="s">
        <v>12</v>
      </c>
    </row>
    <row r="1617" s="1" customFormat="1" customHeight="1" spans="1:9">
      <c r="A1617" s="18" t="str">
        <f t="shared" si="147"/>
        <v>B6F</v>
      </c>
      <c r="B1617" s="19" t="s">
        <v>56</v>
      </c>
      <c r="C1617" s="18" t="str">
        <f>"邱丽"</f>
        <v>邱丽</v>
      </c>
      <c r="D1617" s="18" t="str">
        <f t="shared" si="148"/>
        <v>女</v>
      </c>
      <c r="E1617" s="18" t="str">
        <f>"2022014102"</f>
        <v>2022014102</v>
      </c>
      <c r="F1617" s="18">
        <v>70.5</v>
      </c>
      <c r="G1617" s="18">
        <v>12</v>
      </c>
      <c r="H1617" s="18"/>
      <c r="I1617" s="18" t="s">
        <v>12</v>
      </c>
    </row>
    <row r="1618" s="1" customFormat="1" customHeight="1" spans="1:9">
      <c r="A1618" s="18" t="str">
        <f t="shared" si="147"/>
        <v>B6F</v>
      </c>
      <c r="B1618" s="19" t="s">
        <v>56</v>
      </c>
      <c r="C1618" s="18" t="str">
        <f>"周艳容"</f>
        <v>周艳容</v>
      </c>
      <c r="D1618" s="18" t="str">
        <f t="shared" si="148"/>
        <v>女</v>
      </c>
      <c r="E1618" s="18" t="str">
        <f>"2022014133"</f>
        <v>2022014133</v>
      </c>
      <c r="F1618" s="18">
        <v>69.2</v>
      </c>
      <c r="G1618" s="18">
        <v>13</v>
      </c>
      <c r="H1618" s="18"/>
      <c r="I1618" s="18" t="s">
        <v>12</v>
      </c>
    </row>
    <row r="1619" s="1" customFormat="1" customHeight="1" spans="1:9">
      <c r="A1619" s="18" t="str">
        <f t="shared" si="147"/>
        <v>B6F</v>
      </c>
      <c r="B1619" s="19" t="s">
        <v>56</v>
      </c>
      <c r="C1619" s="18" t="str">
        <f>"李叶"</f>
        <v>李叶</v>
      </c>
      <c r="D1619" s="18" t="str">
        <f t="shared" si="148"/>
        <v>女</v>
      </c>
      <c r="E1619" s="18" t="str">
        <f>"2022014014"</f>
        <v>2022014014</v>
      </c>
      <c r="F1619" s="18">
        <v>69.1</v>
      </c>
      <c r="G1619" s="18">
        <v>14</v>
      </c>
      <c r="H1619" s="18"/>
      <c r="I1619" s="18" t="s">
        <v>12</v>
      </c>
    </row>
    <row r="1620" s="1" customFormat="1" customHeight="1" spans="1:9">
      <c r="A1620" s="18" t="str">
        <f t="shared" si="147"/>
        <v>B6F</v>
      </c>
      <c r="B1620" s="19" t="s">
        <v>56</v>
      </c>
      <c r="C1620" s="18" t="str">
        <f>"许小芳"</f>
        <v>许小芳</v>
      </c>
      <c r="D1620" s="18" t="str">
        <f t="shared" si="148"/>
        <v>女</v>
      </c>
      <c r="E1620" s="18" t="str">
        <f>"2022014203"</f>
        <v>2022014203</v>
      </c>
      <c r="F1620" s="18">
        <v>68.7</v>
      </c>
      <c r="G1620" s="18">
        <v>15</v>
      </c>
      <c r="H1620" s="18"/>
      <c r="I1620" s="18" t="s">
        <v>12</v>
      </c>
    </row>
    <row r="1621" s="1" customFormat="1" customHeight="1" spans="1:9">
      <c r="A1621" s="18" t="str">
        <f t="shared" si="147"/>
        <v>B6F</v>
      </c>
      <c r="B1621" s="19" t="s">
        <v>56</v>
      </c>
      <c r="C1621" s="18" t="str">
        <f>"方喜"</f>
        <v>方喜</v>
      </c>
      <c r="D1621" s="18" t="str">
        <f t="shared" si="148"/>
        <v>女</v>
      </c>
      <c r="E1621" s="18" t="str">
        <f>"2022014212"</f>
        <v>2022014212</v>
      </c>
      <c r="F1621" s="18">
        <v>68.4</v>
      </c>
      <c r="G1621" s="18">
        <v>16</v>
      </c>
      <c r="H1621" s="18"/>
      <c r="I1621" s="18" t="s">
        <v>12</v>
      </c>
    </row>
    <row r="1622" s="1" customFormat="1" customHeight="1" spans="1:9">
      <c r="A1622" s="18" t="str">
        <f t="shared" si="147"/>
        <v>B6F</v>
      </c>
      <c r="B1622" s="19" t="s">
        <v>56</v>
      </c>
      <c r="C1622" s="18" t="str">
        <f>"曾晓芳"</f>
        <v>曾晓芳</v>
      </c>
      <c r="D1622" s="18" t="str">
        <f t="shared" si="148"/>
        <v>女</v>
      </c>
      <c r="E1622" s="18" t="str">
        <f>"2022014108"</f>
        <v>2022014108</v>
      </c>
      <c r="F1622" s="18">
        <v>68.2</v>
      </c>
      <c r="G1622" s="18">
        <v>17</v>
      </c>
      <c r="H1622" s="18"/>
      <c r="I1622" s="18" t="s">
        <v>12</v>
      </c>
    </row>
    <row r="1623" s="1" customFormat="1" customHeight="1" spans="1:9">
      <c r="A1623" s="18" t="str">
        <f t="shared" si="147"/>
        <v>B6F</v>
      </c>
      <c r="B1623" s="19" t="s">
        <v>56</v>
      </c>
      <c r="C1623" s="18" t="str">
        <f>"杨芬"</f>
        <v>杨芬</v>
      </c>
      <c r="D1623" s="18" t="str">
        <f t="shared" si="148"/>
        <v>女</v>
      </c>
      <c r="E1623" s="18" t="str">
        <f>"2022014008"</f>
        <v>2022014008</v>
      </c>
      <c r="F1623" s="18">
        <v>67.9</v>
      </c>
      <c r="G1623" s="18">
        <v>18</v>
      </c>
      <c r="H1623" s="18"/>
      <c r="I1623" s="18" t="s">
        <v>12</v>
      </c>
    </row>
    <row r="1624" s="1" customFormat="1" customHeight="1" spans="1:9">
      <c r="A1624" s="18" t="str">
        <f t="shared" si="147"/>
        <v>B6F</v>
      </c>
      <c r="B1624" s="19" t="s">
        <v>56</v>
      </c>
      <c r="C1624" s="18" t="str">
        <f>"杨玉华"</f>
        <v>杨玉华</v>
      </c>
      <c r="D1624" s="18" t="str">
        <f t="shared" si="148"/>
        <v>女</v>
      </c>
      <c r="E1624" s="18" t="str">
        <f>"2022013919"</f>
        <v>2022013919</v>
      </c>
      <c r="F1624" s="18">
        <v>67.7</v>
      </c>
      <c r="G1624" s="18">
        <v>19</v>
      </c>
      <c r="H1624" s="18"/>
      <c r="I1624" s="18" t="s">
        <v>12</v>
      </c>
    </row>
    <row r="1625" s="1" customFormat="1" customHeight="1" spans="1:9">
      <c r="A1625" s="18" t="str">
        <f t="shared" si="147"/>
        <v>B6F</v>
      </c>
      <c r="B1625" s="19" t="s">
        <v>56</v>
      </c>
      <c r="C1625" s="18" t="str">
        <f>"黄慧"</f>
        <v>黄慧</v>
      </c>
      <c r="D1625" s="18" t="str">
        <f t="shared" si="148"/>
        <v>女</v>
      </c>
      <c r="E1625" s="18" t="str">
        <f>"2022014112"</f>
        <v>2022014112</v>
      </c>
      <c r="F1625" s="18">
        <v>67.4</v>
      </c>
      <c r="G1625" s="18">
        <v>20</v>
      </c>
      <c r="H1625" s="18"/>
      <c r="I1625" s="18" t="s">
        <v>12</v>
      </c>
    </row>
    <row r="1626" s="1" customFormat="1" customHeight="1" spans="1:9">
      <c r="A1626" s="18" t="str">
        <f t="shared" si="147"/>
        <v>B6F</v>
      </c>
      <c r="B1626" s="19" t="s">
        <v>56</v>
      </c>
      <c r="C1626" s="18" t="str">
        <f>"李敏"</f>
        <v>李敏</v>
      </c>
      <c r="D1626" s="18" t="str">
        <f t="shared" si="148"/>
        <v>女</v>
      </c>
      <c r="E1626" s="18" t="str">
        <f>"2022014118"</f>
        <v>2022014118</v>
      </c>
      <c r="F1626" s="18">
        <v>67.2</v>
      </c>
      <c r="G1626" s="18">
        <v>21</v>
      </c>
      <c r="H1626" s="18"/>
      <c r="I1626" s="18" t="s">
        <v>12</v>
      </c>
    </row>
    <row r="1627" s="1" customFormat="1" customHeight="1" spans="1:9">
      <c r="A1627" s="18" t="str">
        <f t="shared" si="147"/>
        <v>B6F</v>
      </c>
      <c r="B1627" s="19" t="s">
        <v>56</v>
      </c>
      <c r="C1627" s="18" t="str">
        <f>"肖玉林"</f>
        <v>肖玉林</v>
      </c>
      <c r="D1627" s="18" t="str">
        <f t="shared" si="148"/>
        <v>女</v>
      </c>
      <c r="E1627" s="18" t="str">
        <f>"2022014021"</f>
        <v>2022014021</v>
      </c>
      <c r="F1627" s="18">
        <v>66.7</v>
      </c>
      <c r="G1627" s="18">
        <v>22</v>
      </c>
      <c r="H1627" s="18"/>
      <c r="I1627" s="18" t="s">
        <v>12</v>
      </c>
    </row>
    <row r="1628" s="1" customFormat="1" customHeight="1" spans="1:9">
      <c r="A1628" s="18" t="str">
        <f t="shared" si="147"/>
        <v>B6F</v>
      </c>
      <c r="B1628" s="19" t="s">
        <v>56</v>
      </c>
      <c r="C1628" s="18" t="str">
        <f>"杜亚林"</f>
        <v>杜亚林</v>
      </c>
      <c r="D1628" s="18" t="str">
        <f t="shared" si="148"/>
        <v>女</v>
      </c>
      <c r="E1628" s="18" t="str">
        <f>"2022014128"</f>
        <v>2022014128</v>
      </c>
      <c r="F1628" s="18">
        <v>66.7</v>
      </c>
      <c r="G1628" s="18">
        <v>22</v>
      </c>
      <c r="H1628" s="18"/>
      <c r="I1628" s="18" t="s">
        <v>12</v>
      </c>
    </row>
    <row r="1629" s="1" customFormat="1" customHeight="1" spans="1:9">
      <c r="A1629" s="18" t="str">
        <f t="shared" si="147"/>
        <v>B6F</v>
      </c>
      <c r="B1629" s="19" t="s">
        <v>56</v>
      </c>
      <c r="C1629" s="18" t="str">
        <f>"谢秀华"</f>
        <v>谢秀华</v>
      </c>
      <c r="D1629" s="18" t="str">
        <f t="shared" si="148"/>
        <v>女</v>
      </c>
      <c r="E1629" s="18" t="str">
        <f>"2022014120"</f>
        <v>2022014120</v>
      </c>
      <c r="F1629" s="18">
        <v>66.6</v>
      </c>
      <c r="G1629" s="18">
        <v>24</v>
      </c>
      <c r="H1629" s="18"/>
      <c r="I1629" s="18" t="s">
        <v>12</v>
      </c>
    </row>
    <row r="1630" s="1" customFormat="1" customHeight="1" spans="1:9">
      <c r="A1630" s="18" t="str">
        <f t="shared" si="147"/>
        <v>B6F</v>
      </c>
      <c r="B1630" s="19" t="s">
        <v>56</v>
      </c>
      <c r="C1630" s="18" t="str">
        <f>"廖忠雯"</f>
        <v>廖忠雯</v>
      </c>
      <c r="D1630" s="18" t="str">
        <f t="shared" si="148"/>
        <v>女</v>
      </c>
      <c r="E1630" s="18" t="str">
        <f>"2022014132"</f>
        <v>2022014132</v>
      </c>
      <c r="F1630" s="18">
        <v>66.6</v>
      </c>
      <c r="G1630" s="18">
        <v>24</v>
      </c>
      <c r="H1630" s="18"/>
      <c r="I1630" s="18" t="s">
        <v>12</v>
      </c>
    </row>
    <row r="1631" s="1" customFormat="1" customHeight="1" spans="1:9">
      <c r="A1631" s="18" t="str">
        <f t="shared" si="147"/>
        <v>B6F</v>
      </c>
      <c r="B1631" s="19" t="s">
        <v>56</v>
      </c>
      <c r="C1631" s="18" t="str">
        <f>"彭小尤"</f>
        <v>彭小尤</v>
      </c>
      <c r="D1631" s="18" t="str">
        <f t="shared" si="148"/>
        <v>女</v>
      </c>
      <c r="E1631" s="18" t="str">
        <f>"2022014204"</f>
        <v>2022014204</v>
      </c>
      <c r="F1631" s="18">
        <v>66.5</v>
      </c>
      <c r="G1631" s="18">
        <v>26</v>
      </c>
      <c r="H1631" s="18"/>
      <c r="I1631" s="18" t="s">
        <v>12</v>
      </c>
    </row>
    <row r="1632" s="1" customFormat="1" customHeight="1" spans="1:9">
      <c r="A1632" s="18" t="str">
        <f t="shared" si="147"/>
        <v>B6F</v>
      </c>
      <c r="B1632" s="19" t="s">
        <v>56</v>
      </c>
      <c r="C1632" s="18" t="str">
        <f>"覃珍玉"</f>
        <v>覃珍玉</v>
      </c>
      <c r="D1632" s="18" t="str">
        <f t="shared" si="148"/>
        <v>女</v>
      </c>
      <c r="E1632" s="18" t="str">
        <f>"2022013914"</f>
        <v>2022013914</v>
      </c>
      <c r="F1632" s="18">
        <v>66.4</v>
      </c>
      <c r="G1632" s="18">
        <v>27</v>
      </c>
      <c r="H1632" s="18"/>
      <c r="I1632" s="18" t="s">
        <v>12</v>
      </c>
    </row>
    <row r="1633" s="1" customFormat="1" customHeight="1" spans="1:9">
      <c r="A1633" s="18" t="str">
        <f t="shared" si="147"/>
        <v>B6F</v>
      </c>
      <c r="B1633" s="19" t="s">
        <v>56</v>
      </c>
      <c r="C1633" s="18" t="str">
        <f>"陈再一"</f>
        <v>陈再一</v>
      </c>
      <c r="D1633" s="18" t="str">
        <f t="shared" si="148"/>
        <v>女</v>
      </c>
      <c r="E1633" s="18" t="str">
        <f>"2022013929"</f>
        <v>2022013929</v>
      </c>
      <c r="F1633" s="18">
        <v>66.4</v>
      </c>
      <c r="G1633" s="18">
        <v>27</v>
      </c>
      <c r="H1633" s="18"/>
      <c r="I1633" s="18" t="s">
        <v>12</v>
      </c>
    </row>
    <row r="1634" s="1" customFormat="1" customHeight="1" spans="1:9">
      <c r="A1634" s="18" t="str">
        <f t="shared" si="147"/>
        <v>B6F</v>
      </c>
      <c r="B1634" s="19" t="s">
        <v>56</v>
      </c>
      <c r="C1634" s="18" t="str">
        <f>"杨彩云"</f>
        <v>杨彩云</v>
      </c>
      <c r="D1634" s="18" t="str">
        <f t="shared" si="148"/>
        <v>女</v>
      </c>
      <c r="E1634" s="18" t="str">
        <f>"2022014130"</f>
        <v>2022014130</v>
      </c>
      <c r="F1634" s="18">
        <v>66.4</v>
      </c>
      <c r="G1634" s="18">
        <v>27</v>
      </c>
      <c r="H1634" s="18"/>
      <c r="I1634" s="18" t="s">
        <v>12</v>
      </c>
    </row>
    <row r="1635" s="1" customFormat="1" customHeight="1" spans="1:9">
      <c r="A1635" s="18" t="str">
        <f t="shared" si="147"/>
        <v>B6F</v>
      </c>
      <c r="B1635" s="19" t="s">
        <v>56</v>
      </c>
      <c r="C1635" s="18" t="str">
        <f>"王华娣"</f>
        <v>王华娣</v>
      </c>
      <c r="D1635" s="18" t="str">
        <f t="shared" si="148"/>
        <v>女</v>
      </c>
      <c r="E1635" s="18" t="str">
        <f>"2022013927"</f>
        <v>2022013927</v>
      </c>
      <c r="F1635" s="18">
        <v>66.1</v>
      </c>
      <c r="G1635" s="18">
        <v>30</v>
      </c>
      <c r="H1635" s="18"/>
      <c r="I1635" s="18" t="s">
        <v>12</v>
      </c>
    </row>
    <row r="1636" s="1" customFormat="1" customHeight="1" spans="1:9">
      <c r="A1636" s="18" t="str">
        <f t="shared" si="147"/>
        <v>B6F</v>
      </c>
      <c r="B1636" s="19" t="s">
        <v>56</v>
      </c>
      <c r="C1636" s="18" t="str">
        <f>"杨理"</f>
        <v>杨理</v>
      </c>
      <c r="D1636" s="18" t="str">
        <f t="shared" si="148"/>
        <v>女</v>
      </c>
      <c r="E1636" s="18" t="str">
        <f>"2022014025"</f>
        <v>2022014025</v>
      </c>
      <c r="F1636" s="18">
        <v>65.5</v>
      </c>
      <c r="G1636" s="18">
        <v>31</v>
      </c>
      <c r="H1636" s="18"/>
      <c r="I1636" s="18" t="s">
        <v>12</v>
      </c>
    </row>
    <row r="1637" s="1" customFormat="1" customHeight="1" spans="1:9">
      <c r="A1637" s="18" t="str">
        <f t="shared" si="147"/>
        <v>B6F</v>
      </c>
      <c r="B1637" s="19" t="s">
        <v>56</v>
      </c>
      <c r="C1637" s="18" t="str">
        <f>"吴秋妹"</f>
        <v>吴秋妹</v>
      </c>
      <c r="D1637" s="18" t="str">
        <f t="shared" si="148"/>
        <v>女</v>
      </c>
      <c r="E1637" s="18" t="str">
        <f>"2022013932"</f>
        <v>2022013932</v>
      </c>
      <c r="F1637" s="18">
        <v>65.2</v>
      </c>
      <c r="G1637" s="18">
        <v>32</v>
      </c>
      <c r="H1637" s="18"/>
      <c r="I1637" s="18" t="s">
        <v>12</v>
      </c>
    </row>
    <row r="1638" s="1" customFormat="1" customHeight="1" spans="1:9">
      <c r="A1638" s="18" t="str">
        <f t="shared" si="147"/>
        <v>B6F</v>
      </c>
      <c r="B1638" s="19" t="s">
        <v>56</v>
      </c>
      <c r="C1638" s="18" t="str">
        <f>"谭丽君"</f>
        <v>谭丽君</v>
      </c>
      <c r="D1638" s="18" t="str">
        <f t="shared" si="148"/>
        <v>女</v>
      </c>
      <c r="E1638" s="18" t="str">
        <f>"2022014106"</f>
        <v>2022014106</v>
      </c>
      <c r="F1638" s="18">
        <v>65.1</v>
      </c>
      <c r="G1638" s="18">
        <v>33</v>
      </c>
      <c r="H1638" s="18"/>
      <c r="I1638" s="18" t="s">
        <v>12</v>
      </c>
    </row>
    <row r="1639" s="1" customFormat="1" customHeight="1" spans="1:9">
      <c r="A1639" s="18" t="str">
        <f t="shared" si="147"/>
        <v>B6F</v>
      </c>
      <c r="B1639" s="19" t="s">
        <v>56</v>
      </c>
      <c r="C1639" s="18" t="str">
        <f>"罗艳琳"</f>
        <v>罗艳琳</v>
      </c>
      <c r="D1639" s="18" t="str">
        <f t="shared" si="148"/>
        <v>女</v>
      </c>
      <c r="E1639" s="18" t="str">
        <f>"2022014023"</f>
        <v>2022014023</v>
      </c>
      <c r="F1639" s="18">
        <v>64.9</v>
      </c>
      <c r="G1639" s="18">
        <v>34</v>
      </c>
      <c r="H1639" s="18"/>
      <c r="I1639" s="18" t="s">
        <v>12</v>
      </c>
    </row>
    <row r="1640" s="1" customFormat="1" customHeight="1" spans="1:9">
      <c r="A1640" s="18" t="str">
        <f t="shared" si="147"/>
        <v>B6F</v>
      </c>
      <c r="B1640" s="19" t="s">
        <v>56</v>
      </c>
      <c r="C1640" s="18" t="str">
        <f>"郑霜"</f>
        <v>郑霜</v>
      </c>
      <c r="D1640" s="18" t="str">
        <f t="shared" si="148"/>
        <v>女</v>
      </c>
      <c r="E1640" s="18" t="str">
        <f>"2022014024"</f>
        <v>2022014024</v>
      </c>
      <c r="F1640" s="18">
        <v>64.9</v>
      </c>
      <c r="G1640" s="18">
        <v>34</v>
      </c>
      <c r="H1640" s="18"/>
      <c r="I1640" s="18" t="s">
        <v>12</v>
      </c>
    </row>
    <row r="1641" s="1" customFormat="1" customHeight="1" spans="1:9">
      <c r="A1641" s="18" t="str">
        <f t="shared" si="147"/>
        <v>B6F</v>
      </c>
      <c r="B1641" s="19" t="s">
        <v>56</v>
      </c>
      <c r="C1641" s="18" t="str">
        <f>"杨欢"</f>
        <v>杨欢</v>
      </c>
      <c r="D1641" s="18" t="str">
        <f t="shared" si="148"/>
        <v>女</v>
      </c>
      <c r="E1641" s="18" t="str">
        <f>"2022014011"</f>
        <v>2022014011</v>
      </c>
      <c r="F1641" s="18">
        <v>64.7</v>
      </c>
      <c r="G1641" s="18">
        <v>36</v>
      </c>
      <c r="H1641" s="18"/>
      <c r="I1641" s="18" t="s">
        <v>12</v>
      </c>
    </row>
    <row r="1642" s="1" customFormat="1" customHeight="1" spans="1:9">
      <c r="A1642" s="18" t="str">
        <f t="shared" si="147"/>
        <v>B6F</v>
      </c>
      <c r="B1642" s="19" t="s">
        <v>56</v>
      </c>
      <c r="C1642" s="18" t="str">
        <f>"胡琢旻"</f>
        <v>胡琢旻</v>
      </c>
      <c r="D1642" s="18" t="str">
        <f t="shared" si="148"/>
        <v>女</v>
      </c>
      <c r="E1642" s="18" t="str">
        <f>"2022014034"</f>
        <v>2022014034</v>
      </c>
      <c r="F1642" s="18">
        <v>64.7</v>
      </c>
      <c r="G1642" s="18">
        <v>36</v>
      </c>
      <c r="H1642" s="18"/>
      <c r="I1642" s="18" t="s">
        <v>12</v>
      </c>
    </row>
    <row r="1643" s="1" customFormat="1" customHeight="1" spans="1:9">
      <c r="A1643" s="18" t="str">
        <f t="shared" si="147"/>
        <v>B6F</v>
      </c>
      <c r="B1643" s="19" t="s">
        <v>56</v>
      </c>
      <c r="C1643" s="18" t="str">
        <f>"何怡兰"</f>
        <v>何怡兰</v>
      </c>
      <c r="D1643" s="18" t="str">
        <f t="shared" si="148"/>
        <v>女</v>
      </c>
      <c r="E1643" s="18" t="str">
        <f>"2022014010"</f>
        <v>2022014010</v>
      </c>
      <c r="F1643" s="18">
        <v>64.6</v>
      </c>
      <c r="G1643" s="18">
        <v>38</v>
      </c>
      <c r="H1643" s="18"/>
      <c r="I1643" s="18" t="s">
        <v>12</v>
      </c>
    </row>
    <row r="1644" s="1" customFormat="1" customHeight="1" spans="1:9">
      <c r="A1644" s="18" t="str">
        <f t="shared" si="147"/>
        <v>B6F</v>
      </c>
      <c r="B1644" s="19" t="s">
        <v>56</v>
      </c>
      <c r="C1644" s="18" t="str">
        <f>"周玉祝"</f>
        <v>周玉祝</v>
      </c>
      <c r="D1644" s="18" t="str">
        <f t="shared" si="148"/>
        <v>女</v>
      </c>
      <c r="E1644" s="18" t="str">
        <f>"2022013915"</f>
        <v>2022013915</v>
      </c>
      <c r="F1644" s="18">
        <v>63.4</v>
      </c>
      <c r="G1644" s="18">
        <v>39</v>
      </c>
      <c r="H1644" s="18"/>
      <c r="I1644" s="18" t="s">
        <v>12</v>
      </c>
    </row>
    <row r="1645" s="1" customFormat="1" customHeight="1" spans="1:9">
      <c r="A1645" s="18" t="str">
        <f t="shared" si="147"/>
        <v>B6F</v>
      </c>
      <c r="B1645" s="19" t="s">
        <v>56</v>
      </c>
      <c r="C1645" s="18" t="str">
        <f>"戴珍兰"</f>
        <v>戴珍兰</v>
      </c>
      <c r="D1645" s="18" t="str">
        <f t="shared" si="148"/>
        <v>女</v>
      </c>
      <c r="E1645" s="18" t="str">
        <f>"2022013917"</f>
        <v>2022013917</v>
      </c>
      <c r="F1645" s="18">
        <v>63.4</v>
      </c>
      <c r="G1645" s="18">
        <v>39</v>
      </c>
      <c r="H1645" s="18"/>
      <c r="I1645" s="18" t="s">
        <v>12</v>
      </c>
    </row>
    <row r="1646" s="1" customFormat="1" customHeight="1" spans="1:9">
      <c r="A1646" s="18" t="str">
        <f t="shared" si="147"/>
        <v>B6F</v>
      </c>
      <c r="B1646" s="19" t="s">
        <v>56</v>
      </c>
      <c r="C1646" s="18" t="str">
        <f>"李沛文"</f>
        <v>李沛文</v>
      </c>
      <c r="D1646" s="18" t="str">
        <f t="shared" si="148"/>
        <v>女</v>
      </c>
      <c r="E1646" s="18" t="str">
        <f>"2022014103"</f>
        <v>2022014103</v>
      </c>
      <c r="F1646" s="18">
        <v>63.4</v>
      </c>
      <c r="G1646" s="18">
        <v>39</v>
      </c>
      <c r="H1646" s="18"/>
      <c r="I1646" s="18" t="s">
        <v>12</v>
      </c>
    </row>
    <row r="1647" s="1" customFormat="1" customHeight="1" spans="1:9">
      <c r="A1647" s="18" t="str">
        <f t="shared" si="147"/>
        <v>B6F</v>
      </c>
      <c r="B1647" s="19" t="s">
        <v>56</v>
      </c>
      <c r="C1647" s="18" t="str">
        <f>"邓蓓"</f>
        <v>邓蓓</v>
      </c>
      <c r="D1647" s="18" t="str">
        <f t="shared" si="148"/>
        <v>女</v>
      </c>
      <c r="E1647" s="18" t="str">
        <f>"2022013923"</f>
        <v>2022013923</v>
      </c>
      <c r="F1647" s="18">
        <v>63.2</v>
      </c>
      <c r="G1647" s="18">
        <v>42</v>
      </c>
      <c r="H1647" s="18"/>
      <c r="I1647" s="18" t="s">
        <v>12</v>
      </c>
    </row>
    <row r="1648" s="1" customFormat="1" customHeight="1" spans="1:9">
      <c r="A1648" s="18" t="str">
        <f t="shared" si="147"/>
        <v>B6F</v>
      </c>
      <c r="B1648" s="19" t="s">
        <v>56</v>
      </c>
      <c r="C1648" s="18" t="str">
        <f>"陈东南"</f>
        <v>陈东南</v>
      </c>
      <c r="D1648" s="18" t="str">
        <f t="shared" si="148"/>
        <v>女</v>
      </c>
      <c r="E1648" s="18" t="str">
        <f>"2022014117"</f>
        <v>2022014117</v>
      </c>
      <c r="F1648" s="18">
        <v>63.1</v>
      </c>
      <c r="G1648" s="18">
        <v>43</v>
      </c>
      <c r="H1648" s="18"/>
      <c r="I1648" s="18" t="s">
        <v>12</v>
      </c>
    </row>
    <row r="1649" s="1" customFormat="1" customHeight="1" spans="1:9">
      <c r="A1649" s="18" t="str">
        <f t="shared" si="147"/>
        <v>B6F</v>
      </c>
      <c r="B1649" s="19" t="s">
        <v>56</v>
      </c>
      <c r="C1649" s="18" t="str">
        <f>"袁琴"</f>
        <v>袁琴</v>
      </c>
      <c r="D1649" s="18" t="str">
        <f t="shared" si="148"/>
        <v>女</v>
      </c>
      <c r="E1649" s="18" t="str">
        <f>"2022014121"</f>
        <v>2022014121</v>
      </c>
      <c r="F1649" s="18">
        <v>63.1</v>
      </c>
      <c r="G1649" s="18">
        <v>43</v>
      </c>
      <c r="H1649" s="18"/>
      <c r="I1649" s="18" t="s">
        <v>12</v>
      </c>
    </row>
    <row r="1650" s="1" customFormat="1" customHeight="1" spans="1:9">
      <c r="A1650" s="18" t="str">
        <f t="shared" si="147"/>
        <v>B6F</v>
      </c>
      <c r="B1650" s="19" t="s">
        <v>56</v>
      </c>
      <c r="C1650" s="18" t="str">
        <f>"廖艳群"</f>
        <v>廖艳群</v>
      </c>
      <c r="D1650" s="18" t="str">
        <f t="shared" si="148"/>
        <v>女</v>
      </c>
      <c r="E1650" s="18" t="str">
        <f>"2022013925"</f>
        <v>2022013925</v>
      </c>
      <c r="F1650" s="18">
        <v>62.9</v>
      </c>
      <c r="G1650" s="18">
        <v>45</v>
      </c>
      <c r="H1650" s="18"/>
      <c r="I1650" s="18" t="s">
        <v>12</v>
      </c>
    </row>
    <row r="1651" s="1" customFormat="1" customHeight="1" spans="1:9">
      <c r="A1651" s="18" t="str">
        <f t="shared" si="147"/>
        <v>B6F</v>
      </c>
      <c r="B1651" s="19" t="s">
        <v>56</v>
      </c>
      <c r="C1651" s="18" t="str">
        <f>"黄霞"</f>
        <v>黄霞</v>
      </c>
      <c r="D1651" s="18" t="str">
        <f t="shared" si="148"/>
        <v>女</v>
      </c>
      <c r="E1651" s="18" t="str">
        <f>"2022014030"</f>
        <v>2022014030</v>
      </c>
      <c r="F1651" s="18">
        <v>62.6</v>
      </c>
      <c r="G1651" s="18">
        <v>46</v>
      </c>
      <c r="H1651" s="18"/>
      <c r="I1651" s="18" t="s">
        <v>12</v>
      </c>
    </row>
    <row r="1652" s="1" customFormat="1" customHeight="1" spans="1:9">
      <c r="A1652" s="18" t="str">
        <f t="shared" si="147"/>
        <v>B6F</v>
      </c>
      <c r="B1652" s="19" t="s">
        <v>56</v>
      </c>
      <c r="C1652" s="18" t="str">
        <f>"卿淑妮"</f>
        <v>卿淑妮</v>
      </c>
      <c r="D1652" s="18" t="str">
        <f t="shared" si="148"/>
        <v>女</v>
      </c>
      <c r="E1652" s="18" t="str">
        <f>"2022014015"</f>
        <v>2022014015</v>
      </c>
      <c r="F1652" s="18">
        <v>62.4</v>
      </c>
      <c r="G1652" s="18">
        <v>47</v>
      </c>
      <c r="H1652" s="18"/>
      <c r="I1652" s="18" t="s">
        <v>12</v>
      </c>
    </row>
    <row r="1653" s="1" customFormat="1" customHeight="1" spans="1:9">
      <c r="A1653" s="18" t="str">
        <f t="shared" si="147"/>
        <v>B6F</v>
      </c>
      <c r="B1653" s="19" t="s">
        <v>56</v>
      </c>
      <c r="C1653" s="18" t="str">
        <f>"肖莉"</f>
        <v>肖莉</v>
      </c>
      <c r="D1653" s="18" t="str">
        <f t="shared" si="148"/>
        <v>女</v>
      </c>
      <c r="E1653" s="18" t="str">
        <f>"2022014125"</f>
        <v>2022014125</v>
      </c>
      <c r="F1653" s="18">
        <v>62.1</v>
      </c>
      <c r="G1653" s="18">
        <v>48</v>
      </c>
      <c r="H1653" s="18"/>
      <c r="I1653" s="18" t="s">
        <v>12</v>
      </c>
    </row>
    <row r="1654" s="1" customFormat="1" customHeight="1" spans="1:9">
      <c r="A1654" s="18" t="str">
        <f t="shared" si="147"/>
        <v>B6F</v>
      </c>
      <c r="B1654" s="19" t="s">
        <v>56</v>
      </c>
      <c r="C1654" s="18" t="str">
        <f>"曾丽丽"</f>
        <v>曾丽丽</v>
      </c>
      <c r="D1654" s="18" t="str">
        <f t="shared" si="148"/>
        <v>女</v>
      </c>
      <c r="E1654" s="18" t="str">
        <f>"2022014123"</f>
        <v>2022014123</v>
      </c>
      <c r="F1654" s="18">
        <v>61.6</v>
      </c>
      <c r="G1654" s="18">
        <v>49</v>
      </c>
      <c r="H1654" s="18"/>
      <c r="I1654" s="18" t="s">
        <v>12</v>
      </c>
    </row>
    <row r="1655" s="1" customFormat="1" customHeight="1" spans="1:9">
      <c r="A1655" s="18" t="str">
        <f t="shared" si="147"/>
        <v>B6F</v>
      </c>
      <c r="B1655" s="19" t="s">
        <v>56</v>
      </c>
      <c r="C1655" s="18" t="str">
        <f>"李竹林"</f>
        <v>李竹林</v>
      </c>
      <c r="D1655" s="18" t="str">
        <f t="shared" si="148"/>
        <v>女</v>
      </c>
      <c r="E1655" s="18" t="str">
        <f>"2022013933"</f>
        <v>2022013933</v>
      </c>
      <c r="F1655" s="18">
        <v>61.4</v>
      </c>
      <c r="G1655" s="18">
        <v>50</v>
      </c>
      <c r="H1655" s="18"/>
      <c r="I1655" s="18" t="s">
        <v>12</v>
      </c>
    </row>
    <row r="1656" s="1" customFormat="1" customHeight="1" spans="1:9">
      <c r="A1656" s="18" t="str">
        <f t="shared" si="147"/>
        <v>B6F</v>
      </c>
      <c r="B1656" s="19" t="s">
        <v>56</v>
      </c>
      <c r="C1656" s="18" t="str">
        <f>"谈菊英"</f>
        <v>谈菊英</v>
      </c>
      <c r="D1656" s="18" t="str">
        <f t="shared" si="148"/>
        <v>女</v>
      </c>
      <c r="E1656" s="18" t="str">
        <f>"2022013931"</f>
        <v>2022013931</v>
      </c>
      <c r="F1656" s="18">
        <v>61.2</v>
      </c>
      <c r="G1656" s="18">
        <v>51</v>
      </c>
      <c r="H1656" s="18"/>
      <c r="I1656" s="18" t="s">
        <v>12</v>
      </c>
    </row>
    <row r="1657" s="1" customFormat="1" customHeight="1" spans="1:9">
      <c r="A1657" s="18" t="str">
        <f t="shared" si="147"/>
        <v>B6F</v>
      </c>
      <c r="B1657" s="19" t="s">
        <v>56</v>
      </c>
      <c r="C1657" s="18" t="str">
        <f>"杨玉玲"</f>
        <v>杨玉玲</v>
      </c>
      <c r="D1657" s="18" t="str">
        <f t="shared" si="148"/>
        <v>女</v>
      </c>
      <c r="E1657" s="18" t="str">
        <f>"2022014013"</f>
        <v>2022014013</v>
      </c>
      <c r="F1657" s="18">
        <v>61.2</v>
      </c>
      <c r="G1657" s="18">
        <v>51</v>
      </c>
      <c r="H1657" s="18"/>
      <c r="I1657" s="18" t="s">
        <v>12</v>
      </c>
    </row>
    <row r="1658" s="1" customFormat="1" customHeight="1" spans="1:9">
      <c r="A1658" s="18" t="str">
        <f t="shared" si="147"/>
        <v>B6F</v>
      </c>
      <c r="B1658" s="19" t="s">
        <v>56</v>
      </c>
      <c r="C1658" s="18" t="str">
        <f>"吴喜芳"</f>
        <v>吴喜芳</v>
      </c>
      <c r="D1658" s="18" t="str">
        <f t="shared" si="148"/>
        <v>女</v>
      </c>
      <c r="E1658" s="18" t="str">
        <f>"2022014029"</f>
        <v>2022014029</v>
      </c>
      <c r="F1658" s="18">
        <v>61.2</v>
      </c>
      <c r="G1658" s="18">
        <v>51</v>
      </c>
      <c r="H1658" s="18"/>
      <c r="I1658" s="18" t="s">
        <v>12</v>
      </c>
    </row>
    <row r="1659" s="1" customFormat="1" customHeight="1" spans="1:9">
      <c r="A1659" s="18" t="str">
        <f t="shared" si="147"/>
        <v>B6F</v>
      </c>
      <c r="B1659" s="19" t="s">
        <v>56</v>
      </c>
      <c r="C1659" s="18" t="str">
        <f>"李海霞"</f>
        <v>李海霞</v>
      </c>
      <c r="D1659" s="18" t="str">
        <f t="shared" si="148"/>
        <v>女</v>
      </c>
      <c r="E1659" s="18" t="str">
        <f>"2022013922"</f>
        <v>2022013922</v>
      </c>
      <c r="F1659" s="18">
        <v>60.9</v>
      </c>
      <c r="G1659" s="18">
        <v>54</v>
      </c>
      <c r="H1659" s="18"/>
      <c r="I1659" s="18" t="s">
        <v>12</v>
      </c>
    </row>
    <row r="1660" s="1" customFormat="1" customHeight="1" spans="1:9">
      <c r="A1660" s="18" t="str">
        <f t="shared" si="147"/>
        <v>B6F</v>
      </c>
      <c r="B1660" s="19" t="s">
        <v>56</v>
      </c>
      <c r="C1660" s="18" t="str">
        <f>"谭英"</f>
        <v>谭英</v>
      </c>
      <c r="D1660" s="18" t="str">
        <f t="shared" si="148"/>
        <v>女</v>
      </c>
      <c r="E1660" s="18" t="str">
        <f>"2022014032"</f>
        <v>2022014032</v>
      </c>
      <c r="F1660" s="18">
        <v>60.9</v>
      </c>
      <c r="G1660" s="18">
        <v>54</v>
      </c>
      <c r="H1660" s="18"/>
      <c r="I1660" s="18" t="s">
        <v>12</v>
      </c>
    </row>
    <row r="1661" s="1" customFormat="1" customHeight="1" spans="1:9">
      <c r="A1661" s="18" t="str">
        <f t="shared" si="147"/>
        <v>B6F</v>
      </c>
      <c r="B1661" s="19" t="s">
        <v>56</v>
      </c>
      <c r="C1661" s="18" t="str">
        <f>"李梦洁"</f>
        <v>李梦洁</v>
      </c>
      <c r="D1661" s="18" t="str">
        <f t="shared" si="148"/>
        <v>女</v>
      </c>
      <c r="E1661" s="18" t="str">
        <f>"2022013926"</f>
        <v>2022013926</v>
      </c>
      <c r="F1661" s="18">
        <v>60.6</v>
      </c>
      <c r="G1661" s="18">
        <v>56</v>
      </c>
      <c r="H1661" s="18"/>
      <c r="I1661" s="18" t="s">
        <v>12</v>
      </c>
    </row>
    <row r="1662" s="1" customFormat="1" customHeight="1" spans="1:9">
      <c r="A1662" s="18" t="str">
        <f t="shared" si="147"/>
        <v>B6F</v>
      </c>
      <c r="B1662" s="19" t="s">
        <v>56</v>
      </c>
      <c r="C1662" s="18" t="str">
        <f>"夏雨"</f>
        <v>夏雨</v>
      </c>
      <c r="D1662" s="18" t="str">
        <f t="shared" si="148"/>
        <v>女</v>
      </c>
      <c r="E1662" s="18" t="str">
        <f>"2022013928"</f>
        <v>2022013928</v>
      </c>
      <c r="F1662" s="18">
        <v>60.6</v>
      </c>
      <c r="G1662" s="18">
        <v>56</v>
      </c>
      <c r="H1662" s="18"/>
      <c r="I1662" s="18" t="s">
        <v>12</v>
      </c>
    </row>
    <row r="1663" s="1" customFormat="1" customHeight="1" spans="1:9">
      <c r="A1663" s="18" t="str">
        <f t="shared" si="147"/>
        <v>B6F</v>
      </c>
      <c r="B1663" s="19" t="s">
        <v>56</v>
      </c>
      <c r="C1663" s="18" t="str">
        <f>"卢淑兰"</f>
        <v>卢淑兰</v>
      </c>
      <c r="D1663" s="18" t="str">
        <f t="shared" si="148"/>
        <v>女</v>
      </c>
      <c r="E1663" s="18" t="str">
        <f>"2022014004"</f>
        <v>2022014004</v>
      </c>
      <c r="F1663" s="18">
        <v>60.4</v>
      </c>
      <c r="G1663" s="18">
        <v>58</v>
      </c>
      <c r="H1663" s="18"/>
      <c r="I1663" s="18" t="s">
        <v>12</v>
      </c>
    </row>
    <row r="1664" s="1" customFormat="1" customHeight="1" spans="1:9">
      <c r="A1664" s="18" t="str">
        <f t="shared" si="147"/>
        <v>B6F</v>
      </c>
      <c r="B1664" s="19" t="s">
        <v>56</v>
      </c>
      <c r="C1664" s="18" t="str">
        <f>"蒋燕萍"</f>
        <v>蒋燕萍</v>
      </c>
      <c r="D1664" s="18" t="str">
        <f t="shared" si="148"/>
        <v>女</v>
      </c>
      <c r="E1664" s="18" t="str">
        <f>"2022014115"</f>
        <v>2022014115</v>
      </c>
      <c r="F1664" s="18">
        <v>60.2</v>
      </c>
      <c r="G1664" s="18">
        <v>59</v>
      </c>
      <c r="H1664" s="18"/>
      <c r="I1664" s="18" t="s">
        <v>12</v>
      </c>
    </row>
    <row r="1665" s="1" customFormat="1" customHeight="1" spans="1:9">
      <c r="A1665" s="18" t="str">
        <f t="shared" si="147"/>
        <v>B6F</v>
      </c>
      <c r="B1665" s="19" t="s">
        <v>56</v>
      </c>
      <c r="C1665" s="18" t="str">
        <f>"程莉"</f>
        <v>程莉</v>
      </c>
      <c r="D1665" s="18" t="str">
        <f t="shared" si="148"/>
        <v>女</v>
      </c>
      <c r="E1665" s="18" t="str">
        <f>"2022014007"</f>
        <v>2022014007</v>
      </c>
      <c r="F1665" s="18">
        <v>60.1</v>
      </c>
      <c r="G1665" s="18">
        <v>60</v>
      </c>
      <c r="H1665" s="18"/>
      <c r="I1665" s="18" t="s">
        <v>12</v>
      </c>
    </row>
    <row r="1666" s="1" customFormat="1" customHeight="1" spans="1:9">
      <c r="A1666" s="18" t="str">
        <f t="shared" si="147"/>
        <v>B6F</v>
      </c>
      <c r="B1666" s="19" t="s">
        <v>56</v>
      </c>
      <c r="C1666" s="18" t="str">
        <f>"邓远"</f>
        <v>邓远</v>
      </c>
      <c r="D1666" s="18" t="str">
        <f t="shared" si="148"/>
        <v>女</v>
      </c>
      <c r="E1666" s="18" t="str">
        <f>"2022013916"</f>
        <v>2022013916</v>
      </c>
      <c r="F1666" s="18">
        <v>59.9</v>
      </c>
      <c r="G1666" s="18">
        <v>61</v>
      </c>
      <c r="H1666" s="18"/>
      <c r="I1666" s="18" t="s">
        <v>12</v>
      </c>
    </row>
    <row r="1667" s="1" customFormat="1" customHeight="1" spans="1:9">
      <c r="A1667" s="18" t="str">
        <f t="shared" si="147"/>
        <v>B6F</v>
      </c>
      <c r="B1667" s="19" t="s">
        <v>56</v>
      </c>
      <c r="C1667" s="18" t="str">
        <f>"王敏"</f>
        <v>王敏</v>
      </c>
      <c r="D1667" s="18" t="str">
        <f t="shared" si="148"/>
        <v>女</v>
      </c>
      <c r="E1667" s="18" t="str">
        <f>"2022014105"</f>
        <v>2022014105</v>
      </c>
      <c r="F1667" s="18">
        <v>59.2</v>
      </c>
      <c r="G1667" s="18">
        <v>62</v>
      </c>
      <c r="H1667" s="18"/>
      <c r="I1667" s="18" t="s">
        <v>12</v>
      </c>
    </row>
    <row r="1668" s="1" customFormat="1" customHeight="1" spans="1:9">
      <c r="A1668" s="18" t="str">
        <f t="shared" si="147"/>
        <v>B6F</v>
      </c>
      <c r="B1668" s="19" t="s">
        <v>56</v>
      </c>
      <c r="C1668" s="18" t="str">
        <f>"荣宜仙"</f>
        <v>荣宜仙</v>
      </c>
      <c r="D1668" s="18" t="str">
        <f t="shared" si="148"/>
        <v>女</v>
      </c>
      <c r="E1668" s="18" t="str">
        <f>"2022014209"</f>
        <v>2022014209</v>
      </c>
      <c r="F1668" s="18">
        <v>59.1</v>
      </c>
      <c r="G1668" s="18">
        <v>63</v>
      </c>
      <c r="H1668" s="18"/>
      <c r="I1668" s="18" t="s">
        <v>12</v>
      </c>
    </row>
    <row r="1669" s="1" customFormat="1" customHeight="1" spans="1:9">
      <c r="A1669" s="18" t="str">
        <f t="shared" si="147"/>
        <v>B6F</v>
      </c>
      <c r="B1669" s="19" t="s">
        <v>56</v>
      </c>
      <c r="C1669" s="18" t="str">
        <f>"肖娜"</f>
        <v>肖娜</v>
      </c>
      <c r="D1669" s="18" t="str">
        <f t="shared" si="148"/>
        <v>女</v>
      </c>
      <c r="E1669" s="18" t="str">
        <f>"2022014033"</f>
        <v>2022014033</v>
      </c>
      <c r="F1669" s="18">
        <v>58.8</v>
      </c>
      <c r="G1669" s="18">
        <v>64</v>
      </c>
      <c r="H1669" s="18"/>
      <c r="I1669" s="18" t="s">
        <v>12</v>
      </c>
    </row>
    <row r="1670" s="1" customFormat="1" customHeight="1" spans="1:9">
      <c r="A1670" s="18" t="str">
        <f t="shared" ref="A1670:A1707" si="149">"B6F"</f>
        <v>B6F</v>
      </c>
      <c r="B1670" s="19" t="s">
        <v>56</v>
      </c>
      <c r="C1670" s="18" t="str">
        <f>"黄慧玉"</f>
        <v>黄慧玉</v>
      </c>
      <c r="D1670" s="18" t="str">
        <f t="shared" ref="D1670:D1733" si="150">"女"</f>
        <v>女</v>
      </c>
      <c r="E1670" s="18" t="str">
        <f>"2022014018"</f>
        <v>2022014018</v>
      </c>
      <c r="F1670" s="18">
        <v>58.7</v>
      </c>
      <c r="G1670" s="18">
        <v>65</v>
      </c>
      <c r="H1670" s="18"/>
      <c r="I1670" s="18" t="s">
        <v>12</v>
      </c>
    </row>
    <row r="1671" s="1" customFormat="1" customHeight="1" spans="1:9">
      <c r="A1671" s="18" t="str">
        <f t="shared" si="149"/>
        <v>B6F</v>
      </c>
      <c r="B1671" s="19" t="s">
        <v>56</v>
      </c>
      <c r="C1671" s="18" t="str">
        <f>"罗晓艳"</f>
        <v>罗晓艳</v>
      </c>
      <c r="D1671" s="18" t="str">
        <f t="shared" si="150"/>
        <v>女</v>
      </c>
      <c r="E1671" s="18" t="str">
        <f>"2022014101"</f>
        <v>2022014101</v>
      </c>
      <c r="F1671" s="18">
        <v>57.8</v>
      </c>
      <c r="G1671" s="18">
        <v>66</v>
      </c>
      <c r="H1671" s="18"/>
      <c r="I1671" s="18" t="s">
        <v>12</v>
      </c>
    </row>
    <row r="1672" s="1" customFormat="1" customHeight="1" spans="1:9">
      <c r="A1672" s="18" t="str">
        <f t="shared" si="149"/>
        <v>B6F</v>
      </c>
      <c r="B1672" s="19" t="s">
        <v>56</v>
      </c>
      <c r="C1672" s="18" t="str">
        <f>"杨秋平"</f>
        <v>杨秋平</v>
      </c>
      <c r="D1672" s="18" t="str">
        <f t="shared" si="150"/>
        <v>女</v>
      </c>
      <c r="E1672" s="18" t="str">
        <f>"2022014119"</f>
        <v>2022014119</v>
      </c>
      <c r="F1672" s="18">
        <v>57.4</v>
      </c>
      <c r="G1672" s="18">
        <v>67</v>
      </c>
      <c r="H1672" s="18"/>
      <c r="I1672" s="18" t="s">
        <v>12</v>
      </c>
    </row>
    <row r="1673" s="1" customFormat="1" customHeight="1" spans="1:9">
      <c r="A1673" s="18" t="str">
        <f t="shared" si="149"/>
        <v>B6F</v>
      </c>
      <c r="B1673" s="19" t="s">
        <v>56</v>
      </c>
      <c r="C1673" s="18" t="str">
        <f>"林珊珊"</f>
        <v>林珊珊</v>
      </c>
      <c r="D1673" s="18" t="str">
        <f t="shared" si="150"/>
        <v>女</v>
      </c>
      <c r="E1673" s="18" t="str">
        <f>"2022014213"</f>
        <v>2022014213</v>
      </c>
      <c r="F1673" s="18">
        <v>57.4</v>
      </c>
      <c r="G1673" s="18">
        <v>67</v>
      </c>
      <c r="H1673" s="18"/>
      <c r="I1673" s="18" t="s">
        <v>12</v>
      </c>
    </row>
    <row r="1674" s="1" customFormat="1" customHeight="1" spans="1:9">
      <c r="A1674" s="18" t="str">
        <f t="shared" si="149"/>
        <v>B6F</v>
      </c>
      <c r="B1674" s="19" t="s">
        <v>56</v>
      </c>
      <c r="C1674" s="18" t="str">
        <f>"宁美桃"</f>
        <v>宁美桃</v>
      </c>
      <c r="D1674" s="18" t="str">
        <f t="shared" si="150"/>
        <v>女</v>
      </c>
      <c r="E1674" s="18" t="str">
        <f>"2022014028"</f>
        <v>2022014028</v>
      </c>
      <c r="F1674" s="18">
        <v>57.2</v>
      </c>
      <c r="G1674" s="18">
        <v>69</v>
      </c>
      <c r="H1674" s="18"/>
      <c r="I1674" s="18" t="s">
        <v>12</v>
      </c>
    </row>
    <row r="1675" s="1" customFormat="1" customHeight="1" spans="1:9">
      <c r="A1675" s="18" t="str">
        <f t="shared" si="149"/>
        <v>B6F</v>
      </c>
      <c r="B1675" s="19" t="s">
        <v>56</v>
      </c>
      <c r="C1675" s="18" t="str">
        <f>"刘海平"</f>
        <v>刘海平</v>
      </c>
      <c r="D1675" s="18" t="str">
        <f t="shared" si="150"/>
        <v>女</v>
      </c>
      <c r="E1675" s="18" t="str">
        <f>"2022013921"</f>
        <v>2022013921</v>
      </c>
      <c r="F1675" s="18">
        <v>57</v>
      </c>
      <c r="G1675" s="18">
        <v>70</v>
      </c>
      <c r="H1675" s="18"/>
      <c r="I1675" s="18" t="s">
        <v>12</v>
      </c>
    </row>
    <row r="1676" s="1" customFormat="1" customHeight="1" spans="1:9">
      <c r="A1676" s="18" t="str">
        <f t="shared" si="149"/>
        <v>B6F</v>
      </c>
      <c r="B1676" s="19" t="s">
        <v>56</v>
      </c>
      <c r="C1676" s="18" t="str">
        <f>"肖祝红"</f>
        <v>肖祝红</v>
      </c>
      <c r="D1676" s="18" t="str">
        <f t="shared" si="150"/>
        <v>女</v>
      </c>
      <c r="E1676" s="18" t="str">
        <f>"2022014031"</f>
        <v>2022014031</v>
      </c>
      <c r="F1676" s="18">
        <v>55.5</v>
      </c>
      <c r="G1676" s="18">
        <v>71</v>
      </c>
      <c r="H1676" s="18"/>
      <c r="I1676" s="18" t="s">
        <v>12</v>
      </c>
    </row>
    <row r="1677" s="1" customFormat="1" customHeight="1" spans="1:9">
      <c r="A1677" s="18" t="str">
        <f t="shared" si="149"/>
        <v>B6F</v>
      </c>
      <c r="B1677" s="19" t="s">
        <v>56</v>
      </c>
      <c r="C1677" s="18" t="str">
        <f>"孔家裕"</f>
        <v>孔家裕</v>
      </c>
      <c r="D1677" s="18" t="str">
        <f t="shared" si="150"/>
        <v>女</v>
      </c>
      <c r="E1677" s="18" t="str">
        <f>"2022013924"</f>
        <v>2022013924</v>
      </c>
      <c r="F1677" s="18">
        <v>52.2</v>
      </c>
      <c r="G1677" s="18">
        <v>72</v>
      </c>
      <c r="H1677" s="18"/>
      <c r="I1677" s="18" t="s">
        <v>12</v>
      </c>
    </row>
    <row r="1678" s="1" customFormat="1" customHeight="1" spans="1:9">
      <c r="A1678" s="18" t="str">
        <f t="shared" si="149"/>
        <v>B6F</v>
      </c>
      <c r="B1678" s="19" t="s">
        <v>56</v>
      </c>
      <c r="C1678" s="18" t="str">
        <f>"杨素梅"</f>
        <v>杨素梅</v>
      </c>
      <c r="D1678" s="18" t="str">
        <f t="shared" si="150"/>
        <v>女</v>
      </c>
      <c r="E1678" s="18" t="str">
        <f>"2022014202"</f>
        <v>2022014202</v>
      </c>
      <c r="F1678" s="18">
        <v>49.7</v>
      </c>
      <c r="G1678" s="18">
        <v>73</v>
      </c>
      <c r="H1678" s="18"/>
      <c r="I1678" s="18" t="s">
        <v>12</v>
      </c>
    </row>
    <row r="1679" s="1" customFormat="1" customHeight="1" spans="1:9">
      <c r="A1679" s="18" t="str">
        <f t="shared" si="149"/>
        <v>B6F</v>
      </c>
      <c r="B1679" s="19" t="s">
        <v>56</v>
      </c>
      <c r="C1679" s="18" t="str">
        <f>"管光燕"</f>
        <v>管光燕</v>
      </c>
      <c r="D1679" s="18" t="str">
        <f t="shared" si="150"/>
        <v>女</v>
      </c>
      <c r="E1679" s="18" t="str">
        <f>"2022014110"</f>
        <v>2022014110</v>
      </c>
      <c r="F1679" s="18">
        <v>44.1</v>
      </c>
      <c r="G1679" s="18">
        <v>74</v>
      </c>
      <c r="H1679" s="18"/>
      <c r="I1679" s="18" t="s">
        <v>12</v>
      </c>
    </row>
    <row r="1680" s="1" customFormat="1" customHeight="1" spans="1:9">
      <c r="A1680" s="18" t="str">
        <f t="shared" si="149"/>
        <v>B6F</v>
      </c>
      <c r="B1680" s="19" t="s">
        <v>56</v>
      </c>
      <c r="C1680" s="18" t="str">
        <f>"欧源"</f>
        <v>欧源</v>
      </c>
      <c r="D1680" s="18" t="str">
        <f t="shared" si="150"/>
        <v>女</v>
      </c>
      <c r="E1680" s="18" t="str">
        <f>"2022013920"</f>
        <v>2022013920</v>
      </c>
      <c r="F1680" s="18">
        <v>0</v>
      </c>
      <c r="G1680" s="18">
        <v>75</v>
      </c>
      <c r="H1680" s="18" t="s">
        <v>13</v>
      </c>
      <c r="I1680" s="18" t="s">
        <v>12</v>
      </c>
    </row>
    <row r="1681" s="1" customFormat="1" customHeight="1" spans="1:9">
      <c r="A1681" s="18" t="str">
        <f t="shared" si="149"/>
        <v>B6F</v>
      </c>
      <c r="B1681" s="19" t="s">
        <v>56</v>
      </c>
      <c r="C1681" s="18" t="str">
        <f>"张玉菊"</f>
        <v>张玉菊</v>
      </c>
      <c r="D1681" s="18" t="str">
        <f t="shared" si="150"/>
        <v>女</v>
      </c>
      <c r="E1681" s="18" t="str">
        <f>"2022013930"</f>
        <v>2022013930</v>
      </c>
      <c r="F1681" s="18">
        <v>0</v>
      </c>
      <c r="G1681" s="18">
        <v>75</v>
      </c>
      <c r="H1681" s="18" t="s">
        <v>13</v>
      </c>
      <c r="I1681" s="18" t="s">
        <v>12</v>
      </c>
    </row>
    <row r="1682" s="1" customFormat="1" customHeight="1" spans="1:9">
      <c r="A1682" s="18" t="str">
        <f t="shared" si="149"/>
        <v>B6F</v>
      </c>
      <c r="B1682" s="19" t="s">
        <v>56</v>
      </c>
      <c r="C1682" s="18" t="str">
        <f>"韦毅园"</f>
        <v>韦毅园</v>
      </c>
      <c r="D1682" s="18" t="str">
        <f t="shared" si="150"/>
        <v>女</v>
      </c>
      <c r="E1682" s="18" t="str">
        <f>"2022013934"</f>
        <v>2022013934</v>
      </c>
      <c r="F1682" s="18">
        <v>0</v>
      </c>
      <c r="G1682" s="18">
        <v>75</v>
      </c>
      <c r="H1682" s="18" t="s">
        <v>13</v>
      </c>
      <c r="I1682" s="18" t="s">
        <v>12</v>
      </c>
    </row>
    <row r="1683" s="1" customFormat="1" customHeight="1" spans="1:9">
      <c r="A1683" s="18" t="str">
        <f t="shared" si="149"/>
        <v>B6F</v>
      </c>
      <c r="B1683" s="19" t="s">
        <v>56</v>
      </c>
      <c r="C1683" s="18" t="str">
        <f>"龙贵兰"</f>
        <v>龙贵兰</v>
      </c>
      <c r="D1683" s="18" t="str">
        <f t="shared" si="150"/>
        <v>女</v>
      </c>
      <c r="E1683" s="18" t="str">
        <f>"2022014001"</f>
        <v>2022014001</v>
      </c>
      <c r="F1683" s="18">
        <v>0</v>
      </c>
      <c r="G1683" s="18">
        <v>75</v>
      </c>
      <c r="H1683" s="18" t="s">
        <v>13</v>
      </c>
      <c r="I1683" s="18" t="s">
        <v>12</v>
      </c>
    </row>
    <row r="1684" s="1" customFormat="1" customHeight="1" spans="1:9">
      <c r="A1684" s="18" t="str">
        <f t="shared" si="149"/>
        <v>B6F</v>
      </c>
      <c r="B1684" s="19" t="s">
        <v>56</v>
      </c>
      <c r="C1684" s="18" t="str">
        <f>"朱莹谘"</f>
        <v>朱莹谘</v>
      </c>
      <c r="D1684" s="18" t="str">
        <f t="shared" si="150"/>
        <v>女</v>
      </c>
      <c r="E1684" s="18" t="str">
        <f>"2022014003"</f>
        <v>2022014003</v>
      </c>
      <c r="F1684" s="18">
        <v>0</v>
      </c>
      <c r="G1684" s="18">
        <v>75</v>
      </c>
      <c r="H1684" s="18" t="s">
        <v>13</v>
      </c>
      <c r="I1684" s="18" t="s">
        <v>12</v>
      </c>
    </row>
    <row r="1685" s="1" customFormat="1" customHeight="1" spans="1:9">
      <c r="A1685" s="18" t="str">
        <f t="shared" si="149"/>
        <v>B6F</v>
      </c>
      <c r="B1685" s="19" t="s">
        <v>56</v>
      </c>
      <c r="C1685" s="18" t="str">
        <f>"蒋佩芳"</f>
        <v>蒋佩芳</v>
      </c>
      <c r="D1685" s="18" t="str">
        <f t="shared" si="150"/>
        <v>女</v>
      </c>
      <c r="E1685" s="18" t="str">
        <f>"2022014005"</f>
        <v>2022014005</v>
      </c>
      <c r="F1685" s="18">
        <v>0</v>
      </c>
      <c r="G1685" s="18">
        <v>75</v>
      </c>
      <c r="H1685" s="18" t="s">
        <v>13</v>
      </c>
      <c r="I1685" s="18" t="s">
        <v>12</v>
      </c>
    </row>
    <row r="1686" s="1" customFormat="1" customHeight="1" spans="1:9">
      <c r="A1686" s="18" t="str">
        <f t="shared" si="149"/>
        <v>B6F</v>
      </c>
      <c r="B1686" s="19" t="s">
        <v>56</v>
      </c>
      <c r="C1686" s="18" t="str">
        <f>"雷佳丽"</f>
        <v>雷佳丽</v>
      </c>
      <c r="D1686" s="18" t="str">
        <f t="shared" si="150"/>
        <v>女</v>
      </c>
      <c r="E1686" s="18" t="str">
        <f>"2022014006"</f>
        <v>2022014006</v>
      </c>
      <c r="F1686" s="18">
        <v>0</v>
      </c>
      <c r="G1686" s="18">
        <v>75</v>
      </c>
      <c r="H1686" s="18" t="s">
        <v>13</v>
      </c>
      <c r="I1686" s="18" t="s">
        <v>12</v>
      </c>
    </row>
    <row r="1687" s="1" customFormat="1" customHeight="1" spans="1:9">
      <c r="A1687" s="18" t="str">
        <f t="shared" si="149"/>
        <v>B6F</v>
      </c>
      <c r="B1687" s="19" t="s">
        <v>56</v>
      </c>
      <c r="C1687" s="18" t="str">
        <f>"张娟"</f>
        <v>张娟</v>
      </c>
      <c r="D1687" s="18" t="str">
        <f t="shared" si="150"/>
        <v>女</v>
      </c>
      <c r="E1687" s="18" t="str">
        <f>"2022014012"</f>
        <v>2022014012</v>
      </c>
      <c r="F1687" s="18">
        <v>0</v>
      </c>
      <c r="G1687" s="18">
        <v>75</v>
      </c>
      <c r="H1687" s="18" t="s">
        <v>13</v>
      </c>
      <c r="I1687" s="18" t="s">
        <v>12</v>
      </c>
    </row>
    <row r="1688" s="1" customFormat="1" customHeight="1" spans="1:9">
      <c r="A1688" s="18" t="str">
        <f t="shared" si="149"/>
        <v>B6F</v>
      </c>
      <c r="B1688" s="19" t="s">
        <v>56</v>
      </c>
      <c r="C1688" s="18" t="str">
        <f>"陈薇"</f>
        <v>陈薇</v>
      </c>
      <c r="D1688" s="18" t="str">
        <f t="shared" si="150"/>
        <v>女</v>
      </c>
      <c r="E1688" s="18" t="str">
        <f>"2022014017"</f>
        <v>2022014017</v>
      </c>
      <c r="F1688" s="18">
        <v>0</v>
      </c>
      <c r="G1688" s="18">
        <v>75</v>
      </c>
      <c r="H1688" s="18" t="s">
        <v>13</v>
      </c>
      <c r="I1688" s="18" t="s">
        <v>12</v>
      </c>
    </row>
    <row r="1689" s="1" customFormat="1" customHeight="1" spans="1:9">
      <c r="A1689" s="18" t="str">
        <f t="shared" si="149"/>
        <v>B6F</v>
      </c>
      <c r="B1689" s="19" t="s">
        <v>56</v>
      </c>
      <c r="C1689" s="18" t="str">
        <f>"阳春"</f>
        <v>阳春</v>
      </c>
      <c r="D1689" s="18" t="str">
        <f t="shared" si="150"/>
        <v>女</v>
      </c>
      <c r="E1689" s="18" t="str">
        <f>"2022014019"</f>
        <v>2022014019</v>
      </c>
      <c r="F1689" s="18">
        <v>0</v>
      </c>
      <c r="G1689" s="18">
        <v>75</v>
      </c>
      <c r="H1689" s="18" t="s">
        <v>13</v>
      </c>
      <c r="I1689" s="18" t="s">
        <v>12</v>
      </c>
    </row>
    <row r="1690" s="1" customFormat="1" customHeight="1" spans="1:9">
      <c r="A1690" s="18" t="str">
        <f t="shared" si="149"/>
        <v>B6F</v>
      </c>
      <c r="B1690" s="19" t="s">
        <v>56</v>
      </c>
      <c r="C1690" s="18" t="str">
        <f>"肖丽佳"</f>
        <v>肖丽佳</v>
      </c>
      <c r="D1690" s="18" t="str">
        <f t="shared" si="150"/>
        <v>女</v>
      </c>
      <c r="E1690" s="18" t="str">
        <f>"2022014020"</f>
        <v>2022014020</v>
      </c>
      <c r="F1690" s="18">
        <v>0</v>
      </c>
      <c r="G1690" s="18">
        <v>75</v>
      </c>
      <c r="H1690" s="18" t="s">
        <v>13</v>
      </c>
      <c r="I1690" s="18" t="s">
        <v>12</v>
      </c>
    </row>
    <row r="1691" s="1" customFormat="1" customHeight="1" spans="1:9">
      <c r="A1691" s="18" t="str">
        <f t="shared" si="149"/>
        <v>B6F</v>
      </c>
      <c r="B1691" s="19" t="s">
        <v>56</v>
      </c>
      <c r="C1691" s="18" t="str">
        <f>"陈海华"</f>
        <v>陈海华</v>
      </c>
      <c r="D1691" s="18" t="str">
        <f t="shared" si="150"/>
        <v>女</v>
      </c>
      <c r="E1691" s="18" t="str">
        <f>"2022014022"</f>
        <v>2022014022</v>
      </c>
      <c r="F1691" s="18">
        <v>0</v>
      </c>
      <c r="G1691" s="18">
        <v>75</v>
      </c>
      <c r="H1691" s="18" t="s">
        <v>13</v>
      </c>
      <c r="I1691" s="18" t="s">
        <v>12</v>
      </c>
    </row>
    <row r="1692" s="1" customFormat="1" customHeight="1" spans="1:9">
      <c r="A1692" s="18" t="str">
        <f t="shared" si="149"/>
        <v>B6F</v>
      </c>
      <c r="B1692" s="19" t="s">
        <v>56</v>
      </c>
      <c r="C1692" s="18" t="str">
        <f>"肖娟"</f>
        <v>肖娟</v>
      </c>
      <c r="D1692" s="18" t="str">
        <f t="shared" si="150"/>
        <v>女</v>
      </c>
      <c r="E1692" s="18" t="str">
        <f>"2022014026"</f>
        <v>2022014026</v>
      </c>
      <c r="F1692" s="18">
        <v>0</v>
      </c>
      <c r="G1692" s="18">
        <v>75</v>
      </c>
      <c r="H1692" s="18" t="s">
        <v>13</v>
      </c>
      <c r="I1692" s="18" t="s">
        <v>12</v>
      </c>
    </row>
    <row r="1693" s="1" customFormat="1" customHeight="1" spans="1:9">
      <c r="A1693" s="18" t="str">
        <f t="shared" si="149"/>
        <v>B6F</v>
      </c>
      <c r="B1693" s="19" t="s">
        <v>56</v>
      </c>
      <c r="C1693" s="18" t="str">
        <f>"肖庭"</f>
        <v>肖庭</v>
      </c>
      <c r="D1693" s="18" t="str">
        <f t="shared" si="150"/>
        <v>女</v>
      </c>
      <c r="E1693" s="18" t="str">
        <f>"2022014109"</f>
        <v>2022014109</v>
      </c>
      <c r="F1693" s="18">
        <v>0</v>
      </c>
      <c r="G1693" s="18">
        <v>75</v>
      </c>
      <c r="H1693" s="18" t="s">
        <v>13</v>
      </c>
      <c r="I1693" s="18" t="s">
        <v>12</v>
      </c>
    </row>
    <row r="1694" s="1" customFormat="1" customHeight="1" spans="1:9">
      <c r="A1694" s="18" t="str">
        <f t="shared" si="149"/>
        <v>B6F</v>
      </c>
      <c r="B1694" s="19" t="s">
        <v>56</v>
      </c>
      <c r="C1694" s="18" t="str">
        <f>"陈佳丽"</f>
        <v>陈佳丽</v>
      </c>
      <c r="D1694" s="18" t="str">
        <f t="shared" si="150"/>
        <v>女</v>
      </c>
      <c r="E1694" s="18" t="str">
        <f>"2022014111"</f>
        <v>2022014111</v>
      </c>
      <c r="F1694" s="18">
        <v>0</v>
      </c>
      <c r="G1694" s="18">
        <v>75</v>
      </c>
      <c r="H1694" s="18" t="s">
        <v>13</v>
      </c>
      <c r="I1694" s="18" t="s">
        <v>12</v>
      </c>
    </row>
    <row r="1695" s="1" customFormat="1" customHeight="1" spans="1:9">
      <c r="A1695" s="18" t="str">
        <f t="shared" si="149"/>
        <v>B6F</v>
      </c>
      <c r="B1695" s="19" t="s">
        <v>56</v>
      </c>
      <c r="C1695" s="18" t="str">
        <f>"马春玉"</f>
        <v>马春玉</v>
      </c>
      <c r="D1695" s="18" t="str">
        <f t="shared" si="150"/>
        <v>女</v>
      </c>
      <c r="E1695" s="18" t="str">
        <f>"2022014113"</f>
        <v>2022014113</v>
      </c>
      <c r="F1695" s="18">
        <v>0</v>
      </c>
      <c r="G1695" s="18">
        <v>75</v>
      </c>
      <c r="H1695" s="18" t="s">
        <v>13</v>
      </c>
      <c r="I1695" s="18" t="s">
        <v>12</v>
      </c>
    </row>
    <row r="1696" s="1" customFormat="1" customHeight="1" spans="1:9">
      <c r="A1696" s="18" t="str">
        <f t="shared" si="149"/>
        <v>B6F</v>
      </c>
      <c r="B1696" s="19" t="s">
        <v>56</v>
      </c>
      <c r="C1696" s="18" t="str">
        <f>"李克月"</f>
        <v>李克月</v>
      </c>
      <c r="D1696" s="18" t="str">
        <f t="shared" si="150"/>
        <v>女</v>
      </c>
      <c r="E1696" s="18" t="str">
        <f>"2022014114"</f>
        <v>2022014114</v>
      </c>
      <c r="F1696" s="18">
        <v>0</v>
      </c>
      <c r="G1696" s="18">
        <v>75</v>
      </c>
      <c r="H1696" s="18" t="s">
        <v>13</v>
      </c>
      <c r="I1696" s="18" t="s">
        <v>12</v>
      </c>
    </row>
    <row r="1697" s="1" customFormat="1" customHeight="1" spans="1:9">
      <c r="A1697" s="18" t="str">
        <f t="shared" si="149"/>
        <v>B6F</v>
      </c>
      <c r="B1697" s="19" t="s">
        <v>56</v>
      </c>
      <c r="C1697" s="18" t="str">
        <f>"朱玉兰"</f>
        <v>朱玉兰</v>
      </c>
      <c r="D1697" s="18" t="str">
        <f t="shared" si="150"/>
        <v>女</v>
      </c>
      <c r="E1697" s="18" t="str">
        <f>"2022014116"</f>
        <v>2022014116</v>
      </c>
      <c r="F1697" s="18">
        <v>0</v>
      </c>
      <c r="G1697" s="18">
        <v>75</v>
      </c>
      <c r="H1697" s="18" t="s">
        <v>13</v>
      </c>
      <c r="I1697" s="18" t="s">
        <v>12</v>
      </c>
    </row>
    <row r="1698" s="1" customFormat="1" customHeight="1" spans="1:9">
      <c r="A1698" s="18" t="str">
        <f t="shared" si="149"/>
        <v>B6F</v>
      </c>
      <c r="B1698" s="19" t="s">
        <v>56</v>
      </c>
      <c r="C1698" s="18" t="str">
        <f>"倪新霞"</f>
        <v>倪新霞</v>
      </c>
      <c r="D1698" s="18" t="str">
        <f t="shared" si="150"/>
        <v>女</v>
      </c>
      <c r="E1698" s="18" t="str">
        <f>"2022014122"</f>
        <v>2022014122</v>
      </c>
      <c r="F1698" s="18">
        <v>0</v>
      </c>
      <c r="G1698" s="18">
        <v>75</v>
      </c>
      <c r="H1698" s="18" t="s">
        <v>13</v>
      </c>
      <c r="I1698" s="18" t="s">
        <v>12</v>
      </c>
    </row>
    <row r="1699" s="1" customFormat="1" customHeight="1" spans="1:9">
      <c r="A1699" s="18" t="str">
        <f t="shared" si="149"/>
        <v>B6F</v>
      </c>
      <c r="B1699" s="19" t="s">
        <v>56</v>
      </c>
      <c r="C1699" s="18" t="str">
        <f>"罗梦娣"</f>
        <v>罗梦娣</v>
      </c>
      <c r="D1699" s="18" t="str">
        <f t="shared" si="150"/>
        <v>女</v>
      </c>
      <c r="E1699" s="18" t="str">
        <f>"2022014126"</f>
        <v>2022014126</v>
      </c>
      <c r="F1699" s="18">
        <v>0</v>
      </c>
      <c r="G1699" s="18">
        <v>75</v>
      </c>
      <c r="H1699" s="18" t="s">
        <v>13</v>
      </c>
      <c r="I1699" s="18" t="s">
        <v>12</v>
      </c>
    </row>
    <row r="1700" s="1" customFormat="1" customHeight="1" spans="1:9">
      <c r="A1700" s="18" t="str">
        <f t="shared" si="149"/>
        <v>B6F</v>
      </c>
      <c r="B1700" s="19" t="s">
        <v>56</v>
      </c>
      <c r="C1700" s="18" t="str">
        <f>"黄雨荷"</f>
        <v>黄雨荷</v>
      </c>
      <c r="D1700" s="18" t="str">
        <f t="shared" si="150"/>
        <v>女</v>
      </c>
      <c r="E1700" s="18" t="str">
        <f>"2022014127"</f>
        <v>2022014127</v>
      </c>
      <c r="F1700" s="18">
        <v>0</v>
      </c>
      <c r="G1700" s="18">
        <v>75</v>
      </c>
      <c r="H1700" s="18" t="s">
        <v>13</v>
      </c>
      <c r="I1700" s="18" t="s">
        <v>12</v>
      </c>
    </row>
    <row r="1701" s="1" customFormat="1" customHeight="1" spans="1:9">
      <c r="A1701" s="18" t="str">
        <f t="shared" si="149"/>
        <v>B6F</v>
      </c>
      <c r="B1701" s="19" t="s">
        <v>56</v>
      </c>
      <c r="C1701" s="18" t="str">
        <f>"郑远华"</f>
        <v>郑远华</v>
      </c>
      <c r="D1701" s="18" t="str">
        <f t="shared" si="150"/>
        <v>女</v>
      </c>
      <c r="E1701" s="18" t="str">
        <f>"2022014201"</f>
        <v>2022014201</v>
      </c>
      <c r="F1701" s="18">
        <v>0</v>
      </c>
      <c r="G1701" s="18">
        <v>75</v>
      </c>
      <c r="H1701" s="18" t="s">
        <v>13</v>
      </c>
      <c r="I1701" s="18" t="s">
        <v>12</v>
      </c>
    </row>
    <row r="1702" s="1" customFormat="1" customHeight="1" spans="1:9">
      <c r="A1702" s="18" t="str">
        <f t="shared" si="149"/>
        <v>B6F</v>
      </c>
      <c r="B1702" s="19" t="s">
        <v>56</v>
      </c>
      <c r="C1702" s="18" t="str">
        <f>"刘雨晴"</f>
        <v>刘雨晴</v>
      </c>
      <c r="D1702" s="18" t="str">
        <f t="shared" si="150"/>
        <v>女</v>
      </c>
      <c r="E1702" s="18" t="str">
        <f>"2022014205"</f>
        <v>2022014205</v>
      </c>
      <c r="F1702" s="18">
        <v>0</v>
      </c>
      <c r="G1702" s="18">
        <v>75</v>
      </c>
      <c r="H1702" s="18" t="s">
        <v>13</v>
      </c>
      <c r="I1702" s="18" t="s">
        <v>12</v>
      </c>
    </row>
    <row r="1703" s="1" customFormat="1" customHeight="1" spans="1:9">
      <c r="A1703" s="18" t="str">
        <f t="shared" si="149"/>
        <v>B6F</v>
      </c>
      <c r="B1703" s="19" t="s">
        <v>56</v>
      </c>
      <c r="C1703" s="18" t="str">
        <f>"刘璐"</f>
        <v>刘璐</v>
      </c>
      <c r="D1703" s="18" t="str">
        <f t="shared" si="150"/>
        <v>女</v>
      </c>
      <c r="E1703" s="18" t="str">
        <f>"2022014206"</f>
        <v>2022014206</v>
      </c>
      <c r="F1703" s="18">
        <v>0</v>
      </c>
      <c r="G1703" s="18">
        <v>75</v>
      </c>
      <c r="H1703" s="18" t="s">
        <v>13</v>
      </c>
      <c r="I1703" s="18" t="s">
        <v>12</v>
      </c>
    </row>
    <row r="1704" s="1" customFormat="1" customHeight="1" spans="1:9">
      <c r="A1704" s="18" t="str">
        <f t="shared" si="149"/>
        <v>B6F</v>
      </c>
      <c r="B1704" s="19" t="s">
        <v>56</v>
      </c>
      <c r="C1704" s="18" t="str">
        <f>"佘丹丹"</f>
        <v>佘丹丹</v>
      </c>
      <c r="D1704" s="18" t="str">
        <f t="shared" si="150"/>
        <v>女</v>
      </c>
      <c r="E1704" s="18" t="str">
        <f>"2022014208"</f>
        <v>2022014208</v>
      </c>
      <c r="F1704" s="18">
        <v>0</v>
      </c>
      <c r="G1704" s="18">
        <v>75</v>
      </c>
      <c r="H1704" s="18" t="s">
        <v>13</v>
      </c>
      <c r="I1704" s="18" t="s">
        <v>12</v>
      </c>
    </row>
    <row r="1705" s="1" customFormat="1" customHeight="1" spans="1:9">
      <c r="A1705" s="18" t="str">
        <f t="shared" si="149"/>
        <v>B6F</v>
      </c>
      <c r="B1705" s="19" t="s">
        <v>56</v>
      </c>
      <c r="C1705" s="18" t="str">
        <f>"毛璐"</f>
        <v>毛璐</v>
      </c>
      <c r="D1705" s="18" t="str">
        <f t="shared" si="150"/>
        <v>女</v>
      </c>
      <c r="E1705" s="18" t="str">
        <f>"2022014210"</f>
        <v>2022014210</v>
      </c>
      <c r="F1705" s="18">
        <v>0</v>
      </c>
      <c r="G1705" s="18">
        <v>75</v>
      </c>
      <c r="H1705" s="18" t="s">
        <v>13</v>
      </c>
      <c r="I1705" s="18" t="s">
        <v>12</v>
      </c>
    </row>
    <row r="1706" s="1" customFormat="1" customHeight="1" spans="1:9">
      <c r="A1706" s="18" t="str">
        <f t="shared" si="149"/>
        <v>B6F</v>
      </c>
      <c r="B1706" s="19" t="s">
        <v>56</v>
      </c>
      <c r="C1706" s="18" t="str">
        <f>"李玉梅"</f>
        <v>李玉梅</v>
      </c>
      <c r="D1706" s="18" t="str">
        <f t="shared" si="150"/>
        <v>女</v>
      </c>
      <c r="E1706" s="18" t="str">
        <f>"2022014211"</f>
        <v>2022014211</v>
      </c>
      <c r="F1706" s="18">
        <v>0</v>
      </c>
      <c r="G1706" s="18">
        <v>75</v>
      </c>
      <c r="H1706" s="18" t="s">
        <v>13</v>
      </c>
      <c r="I1706" s="18" t="s">
        <v>12</v>
      </c>
    </row>
    <row r="1707" s="1" customFormat="1" customHeight="1" spans="1:9">
      <c r="A1707" s="18" t="str">
        <f t="shared" si="149"/>
        <v>B6F</v>
      </c>
      <c r="B1707" s="19" t="s">
        <v>56</v>
      </c>
      <c r="C1707" s="18" t="str">
        <f>"肖元娥"</f>
        <v>肖元娥</v>
      </c>
      <c r="D1707" s="18" t="str">
        <f t="shared" si="150"/>
        <v>女</v>
      </c>
      <c r="E1707" s="18" t="str">
        <f>"2022014214"</f>
        <v>2022014214</v>
      </c>
      <c r="F1707" s="18">
        <v>0</v>
      </c>
      <c r="G1707" s="18">
        <v>75</v>
      </c>
      <c r="H1707" s="18" t="s">
        <v>13</v>
      </c>
      <c r="I1707" s="18" t="s">
        <v>12</v>
      </c>
    </row>
    <row r="1708" s="1" customFormat="1" customHeight="1" spans="1:9">
      <c r="A1708" s="18" t="str">
        <f t="shared" ref="A1708:A1759" si="151">"B6G"</f>
        <v>B6G</v>
      </c>
      <c r="B1708" s="19" t="s">
        <v>57</v>
      </c>
      <c r="C1708" s="18" t="str">
        <f>"阳菲"</f>
        <v>阳菲</v>
      </c>
      <c r="D1708" s="18" t="str">
        <f t="shared" si="150"/>
        <v>女</v>
      </c>
      <c r="E1708" s="18" t="str">
        <f>"2022014227"</f>
        <v>2022014227</v>
      </c>
      <c r="F1708" s="18">
        <v>76.7</v>
      </c>
      <c r="G1708" s="18">
        <v>1</v>
      </c>
      <c r="H1708" s="18"/>
      <c r="I1708" s="28" t="s">
        <v>11</v>
      </c>
    </row>
    <row r="1709" s="1" customFormat="1" customHeight="1" spans="1:9">
      <c r="A1709" s="18" t="str">
        <f t="shared" si="151"/>
        <v>B6G</v>
      </c>
      <c r="B1709" s="19" t="s">
        <v>57</v>
      </c>
      <c r="C1709" s="18" t="str">
        <f>"杨萍"</f>
        <v>杨萍</v>
      </c>
      <c r="D1709" s="18" t="str">
        <f t="shared" si="150"/>
        <v>女</v>
      </c>
      <c r="E1709" s="18" t="str">
        <f>"2022014321"</f>
        <v>2022014321</v>
      </c>
      <c r="F1709" s="18">
        <v>75.4</v>
      </c>
      <c r="G1709" s="18">
        <v>2</v>
      </c>
      <c r="H1709" s="18"/>
      <c r="I1709" s="28" t="s">
        <v>11</v>
      </c>
    </row>
    <row r="1710" s="1" customFormat="1" customHeight="1" spans="1:9">
      <c r="A1710" s="18" t="str">
        <f t="shared" si="151"/>
        <v>B6G</v>
      </c>
      <c r="B1710" s="19" t="s">
        <v>57</v>
      </c>
      <c r="C1710" s="18" t="str">
        <f>"王慧英"</f>
        <v>王慧英</v>
      </c>
      <c r="D1710" s="18" t="str">
        <f t="shared" si="150"/>
        <v>女</v>
      </c>
      <c r="E1710" s="18" t="str">
        <f>"2022014332"</f>
        <v>2022014332</v>
      </c>
      <c r="F1710" s="18">
        <v>75.1</v>
      </c>
      <c r="G1710" s="18">
        <v>3</v>
      </c>
      <c r="H1710" s="18"/>
      <c r="I1710" s="18" t="s">
        <v>12</v>
      </c>
    </row>
    <row r="1711" s="1" customFormat="1" customHeight="1" spans="1:9">
      <c r="A1711" s="18" t="str">
        <f t="shared" si="151"/>
        <v>B6G</v>
      </c>
      <c r="B1711" s="19" t="s">
        <v>57</v>
      </c>
      <c r="C1711" s="18" t="str">
        <f>"粟雨雯"</f>
        <v>粟雨雯</v>
      </c>
      <c r="D1711" s="18" t="str">
        <f t="shared" si="150"/>
        <v>女</v>
      </c>
      <c r="E1711" s="18" t="str">
        <f>"2022014232"</f>
        <v>2022014232</v>
      </c>
      <c r="F1711" s="18">
        <v>72.6</v>
      </c>
      <c r="G1711" s="18">
        <v>4</v>
      </c>
      <c r="H1711" s="18"/>
      <c r="I1711" s="18" t="s">
        <v>12</v>
      </c>
    </row>
    <row r="1712" s="1" customFormat="1" customHeight="1" spans="1:9">
      <c r="A1712" s="18" t="str">
        <f t="shared" si="151"/>
        <v>B6G</v>
      </c>
      <c r="B1712" s="19" t="s">
        <v>57</v>
      </c>
      <c r="C1712" s="18" t="str">
        <f>"向茜"</f>
        <v>向茜</v>
      </c>
      <c r="D1712" s="18" t="str">
        <f t="shared" si="150"/>
        <v>女</v>
      </c>
      <c r="E1712" s="18" t="str">
        <f>"2022014219"</f>
        <v>2022014219</v>
      </c>
      <c r="F1712" s="18">
        <v>72.4</v>
      </c>
      <c r="G1712" s="18">
        <v>5</v>
      </c>
      <c r="H1712" s="18"/>
      <c r="I1712" s="18" t="s">
        <v>12</v>
      </c>
    </row>
    <row r="1713" s="1" customFormat="1" customHeight="1" spans="1:9">
      <c r="A1713" s="18" t="str">
        <f t="shared" si="151"/>
        <v>B6G</v>
      </c>
      <c r="B1713" s="19" t="s">
        <v>57</v>
      </c>
      <c r="C1713" s="18" t="str">
        <f>"杨淑婷"</f>
        <v>杨淑婷</v>
      </c>
      <c r="D1713" s="18" t="str">
        <f t="shared" si="150"/>
        <v>女</v>
      </c>
      <c r="E1713" s="18" t="str">
        <f>"2022014320"</f>
        <v>2022014320</v>
      </c>
      <c r="F1713" s="18">
        <v>71.1</v>
      </c>
      <c r="G1713" s="18">
        <v>6</v>
      </c>
      <c r="H1713" s="18"/>
      <c r="I1713" s="18" t="s">
        <v>12</v>
      </c>
    </row>
    <row r="1714" s="1" customFormat="1" customHeight="1" spans="1:9">
      <c r="A1714" s="18" t="str">
        <f t="shared" si="151"/>
        <v>B6G</v>
      </c>
      <c r="B1714" s="19" t="s">
        <v>57</v>
      </c>
      <c r="C1714" s="18" t="str">
        <f>"封哲波"</f>
        <v>封哲波</v>
      </c>
      <c r="D1714" s="18" t="str">
        <f t="shared" si="150"/>
        <v>女</v>
      </c>
      <c r="E1714" s="18" t="str">
        <f>"2022014311"</f>
        <v>2022014311</v>
      </c>
      <c r="F1714" s="18">
        <v>71</v>
      </c>
      <c r="G1714" s="18">
        <v>7</v>
      </c>
      <c r="H1714" s="18"/>
      <c r="I1714" s="18" t="s">
        <v>12</v>
      </c>
    </row>
    <row r="1715" s="1" customFormat="1" customHeight="1" spans="1:9">
      <c r="A1715" s="18" t="str">
        <f t="shared" si="151"/>
        <v>B6G</v>
      </c>
      <c r="B1715" s="19" t="s">
        <v>57</v>
      </c>
      <c r="C1715" s="18" t="str">
        <f>"雷芸"</f>
        <v>雷芸</v>
      </c>
      <c r="D1715" s="18" t="str">
        <f t="shared" si="150"/>
        <v>女</v>
      </c>
      <c r="E1715" s="18" t="str">
        <f>"2022014305"</f>
        <v>2022014305</v>
      </c>
      <c r="F1715" s="18">
        <v>70.8</v>
      </c>
      <c r="G1715" s="18">
        <v>8</v>
      </c>
      <c r="H1715" s="18"/>
      <c r="I1715" s="18" t="s">
        <v>12</v>
      </c>
    </row>
    <row r="1716" s="1" customFormat="1" customHeight="1" spans="1:9">
      <c r="A1716" s="18" t="str">
        <f t="shared" si="151"/>
        <v>B6G</v>
      </c>
      <c r="B1716" s="19" t="s">
        <v>57</v>
      </c>
      <c r="C1716" s="18" t="str">
        <f>"陈玉"</f>
        <v>陈玉</v>
      </c>
      <c r="D1716" s="18" t="str">
        <f t="shared" si="150"/>
        <v>女</v>
      </c>
      <c r="E1716" s="18" t="str">
        <f>"2022014331"</f>
        <v>2022014331</v>
      </c>
      <c r="F1716" s="18">
        <v>70.5</v>
      </c>
      <c r="G1716" s="18">
        <v>9</v>
      </c>
      <c r="H1716" s="18"/>
      <c r="I1716" s="18" t="s">
        <v>12</v>
      </c>
    </row>
    <row r="1717" s="1" customFormat="1" customHeight="1" spans="1:9">
      <c r="A1717" s="18" t="str">
        <f t="shared" si="151"/>
        <v>B6G</v>
      </c>
      <c r="B1717" s="19" t="s">
        <v>57</v>
      </c>
      <c r="C1717" s="18" t="str">
        <f>"陈丽兰"</f>
        <v>陈丽兰</v>
      </c>
      <c r="D1717" s="18" t="str">
        <f t="shared" si="150"/>
        <v>女</v>
      </c>
      <c r="E1717" s="18" t="str">
        <f>"2022014304"</f>
        <v>2022014304</v>
      </c>
      <c r="F1717" s="18">
        <v>70.4</v>
      </c>
      <c r="G1717" s="18">
        <v>10</v>
      </c>
      <c r="H1717" s="18"/>
      <c r="I1717" s="18" t="s">
        <v>12</v>
      </c>
    </row>
    <row r="1718" s="1" customFormat="1" customHeight="1" spans="1:9">
      <c r="A1718" s="18" t="str">
        <f t="shared" si="151"/>
        <v>B6G</v>
      </c>
      <c r="B1718" s="19" t="s">
        <v>57</v>
      </c>
      <c r="C1718" s="18" t="str">
        <f>"胡静"</f>
        <v>胡静</v>
      </c>
      <c r="D1718" s="18" t="str">
        <f t="shared" si="150"/>
        <v>女</v>
      </c>
      <c r="E1718" s="18" t="str">
        <f>"2022014318"</f>
        <v>2022014318</v>
      </c>
      <c r="F1718" s="18">
        <v>70</v>
      </c>
      <c r="G1718" s="18">
        <v>11</v>
      </c>
      <c r="H1718" s="18"/>
      <c r="I1718" s="18" t="s">
        <v>12</v>
      </c>
    </row>
    <row r="1719" s="1" customFormat="1" customHeight="1" spans="1:9">
      <c r="A1719" s="18" t="str">
        <f t="shared" si="151"/>
        <v>B6G</v>
      </c>
      <c r="B1719" s="19" t="s">
        <v>57</v>
      </c>
      <c r="C1719" s="18" t="str">
        <f>"唐萱"</f>
        <v>唐萱</v>
      </c>
      <c r="D1719" s="18" t="str">
        <f t="shared" si="150"/>
        <v>女</v>
      </c>
      <c r="E1719" s="18" t="str">
        <f>"2022014222"</f>
        <v>2022014222</v>
      </c>
      <c r="F1719" s="18">
        <v>69.7</v>
      </c>
      <c r="G1719" s="18">
        <v>12</v>
      </c>
      <c r="H1719" s="18"/>
      <c r="I1719" s="18" t="s">
        <v>12</v>
      </c>
    </row>
    <row r="1720" s="1" customFormat="1" customHeight="1" spans="1:9">
      <c r="A1720" s="18" t="str">
        <f t="shared" si="151"/>
        <v>B6G</v>
      </c>
      <c r="B1720" s="19" t="s">
        <v>57</v>
      </c>
      <c r="C1720" s="18" t="str">
        <f>"龙素敏"</f>
        <v>龙素敏</v>
      </c>
      <c r="D1720" s="18" t="str">
        <f t="shared" si="150"/>
        <v>女</v>
      </c>
      <c r="E1720" s="18" t="str">
        <f>"2022014306"</f>
        <v>2022014306</v>
      </c>
      <c r="F1720" s="18">
        <v>68.7</v>
      </c>
      <c r="G1720" s="18">
        <v>13</v>
      </c>
      <c r="H1720" s="18"/>
      <c r="I1720" s="18" t="s">
        <v>12</v>
      </c>
    </row>
    <row r="1721" s="1" customFormat="1" customHeight="1" spans="1:9">
      <c r="A1721" s="18" t="str">
        <f t="shared" si="151"/>
        <v>B6G</v>
      </c>
      <c r="B1721" s="19" t="s">
        <v>57</v>
      </c>
      <c r="C1721" s="18" t="str">
        <f>"罗慧林"</f>
        <v>罗慧林</v>
      </c>
      <c r="D1721" s="18" t="str">
        <f t="shared" si="150"/>
        <v>女</v>
      </c>
      <c r="E1721" s="18" t="str">
        <f>"2022014310"</f>
        <v>2022014310</v>
      </c>
      <c r="F1721" s="18">
        <v>68.7</v>
      </c>
      <c r="G1721" s="18">
        <v>13</v>
      </c>
      <c r="H1721" s="18"/>
      <c r="I1721" s="18" t="s">
        <v>12</v>
      </c>
    </row>
    <row r="1722" s="1" customFormat="1" customHeight="1" spans="1:9">
      <c r="A1722" s="18" t="str">
        <f t="shared" si="151"/>
        <v>B6G</v>
      </c>
      <c r="B1722" s="19" t="s">
        <v>57</v>
      </c>
      <c r="C1722" s="18" t="str">
        <f>"杨章钏"</f>
        <v>杨章钏</v>
      </c>
      <c r="D1722" s="18" t="str">
        <f t="shared" si="150"/>
        <v>女</v>
      </c>
      <c r="E1722" s="18" t="str">
        <f>"2022014322"</f>
        <v>2022014322</v>
      </c>
      <c r="F1722" s="18">
        <v>66.9</v>
      </c>
      <c r="G1722" s="18">
        <v>15</v>
      </c>
      <c r="H1722" s="18"/>
      <c r="I1722" s="18" t="s">
        <v>12</v>
      </c>
    </row>
    <row r="1723" s="1" customFormat="1" customHeight="1" spans="1:9">
      <c r="A1723" s="18" t="str">
        <f t="shared" si="151"/>
        <v>B6G</v>
      </c>
      <c r="B1723" s="19" t="s">
        <v>57</v>
      </c>
      <c r="C1723" s="18" t="str">
        <f>"何昭玲"</f>
        <v>何昭玲</v>
      </c>
      <c r="D1723" s="18" t="str">
        <f t="shared" si="150"/>
        <v>女</v>
      </c>
      <c r="E1723" s="18" t="str">
        <f>"2022014228"</f>
        <v>2022014228</v>
      </c>
      <c r="F1723" s="18">
        <v>66.2</v>
      </c>
      <c r="G1723" s="18">
        <v>16</v>
      </c>
      <c r="H1723" s="18"/>
      <c r="I1723" s="18" t="s">
        <v>12</v>
      </c>
    </row>
    <row r="1724" s="1" customFormat="1" customHeight="1" spans="1:9">
      <c r="A1724" s="18" t="str">
        <f t="shared" si="151"/>
        <v>B6G</v>
      </c>
      <c r="B1724" s="19" t="s">
        <v>57</v>
      </c>
      <c r="C1724" s="18" t="str">
        <f>"喻颖婷"</f>
        <v>喻颖婷</v>
      </c>
      <c r="D1724" s="18" t="str">
        <f t="shared" si="150"/>
        <v>女</v>
      </c>
      <c r="E1724" s="18" t="str">
        <f>"2022014308"</f>
        <v>2022014308</v>
      </c>
      <c r="F1724" s="18">
        <v>66.2</v>
      </c>
      <c r="G1724" s="18">
        <v>16</v>
      </c>
      <c r="H1724" s="18"/>
      <c r="I1724" s="18" t="s">
        <v>12</v>
      </c>
    </row>
    <row r="1725" s="1" customFormat="1" customHeight="1" spans="1:9">
      <c r="A1725" s="18" t="str">
        <f t="shared" si="151"/>
        <v>B6G</v>
      </c>
      <c r="B1725" s="19" t="s">
        <v>57</v>
      </c>
      <c r="C1725" s="18" t="str">
        <f>"贺嘉"</f>
        <v>贺嘉</v>
      </c>
      <c r="D1725" s="18" t="str">
        <f t="shared" si="150"/>
        <v>女</v>
      </c>
      <c r="E1725" s="18" t="str">
        <f>"2022014333"</f>
        <v>2022014333</v>
      </c>
      <c r="F1725" s="18">
        <v>66</v>
      </c>
      <c r="G1725" s="18">
        <v>18</v>
      </c>
      <c r="H1725" s="18"/>
      <c r="I1725" s="18" t="s">
        <v>12</v>
      </c>
    </row>
    <row r="1726" s="1" customFormat="1" customHeight="1" spans="1:9">
      <c r="A1726" s="18" t="str">
        <f t="shared" si="151"/>
        <v>B6G</v>
      </c>
      <c r="B1726" s="19" t="s">
        <v>57</v>
      </c>
      <c r="C1726" s="18" t="str">
        <f>"邓文湘"</f>
        <v>邓文湘</v>
      </c>
      <c r="D1726" s="18" t="str">
        <f t="shared" si="150"/>
        <v>女</v>
      </c>
      <c r="E1726" s="18" t="str">
        <f>"2022014230"</f>
        <v>2022014230</v>
      </c>
      <c r="F1726" s="18">
        <v>64.6</v>
      </c>
      <c r="G1726" s="18">
        <v>19</v>
      </c>
      <c r="H1726" s="18"/>
      <c r="I1726" s="18" t="s">
        <v>12</v>
      </c>
    </row>
    <row r="1727" s="1" customFormat="1" customHeight="1" spans="1:9">
      <c r="A1727" s="18" t="str">
        <f t="shared" si="151"/>
        <v>B6G</v>
      </c>
      <c r="B1727" s="19" t="s">
        <v>57</v>
      </c>
      <c r="C1727" s="18" t="str">
        <f>"李萍"</f>
        <v>李萍</v>
      </c>
      <c r="D1727" s="18" t="str">
        <f t="shared" si="150"/>
        <v>女</v>
      </c>
      <c r="E1727" s="18" t="str">
        <f>"2022014216"</f>
        <v>2022014216</v>
      </c>
      <c r="F1727" s="18">
        <v>64.3</v>
      </c>
      <c r="G1727" s="18">
        <v>20</v>
      </c>
      <c r="H1727" s="18"/>
      <c r="I1727" s="18" t="s">
        <v>12</v>
      </c>
    </row>
    <row r="1728" s="1" customFormat="1" customHeight="1" spans="1:9">
      <c r="A1728" s="18" t="str">
        <f t="shared" si="151"/>
        <v>B6G</v>
      </c>
      <c r="B1728" s="19" t="s">
        <v>57</v>
      </c>
      <c r="C1728" s="18" t="str">
        <f>"周睿蓉"</f>
        <v>周睿蓉</v>
      </c>
      <c r="D1728" s="18" t="str">
        <f t="shared" si="150"/>
        <v>女</v>
      </c>
      <c r="E1728" s="18" t="str">
        <f>"2022014215"</f>
        <v>2022014215</v>
      </c>
      <c r="F1728" s="18">
        <v>63.7</v>
      </c>
      <c r="G1728" s="18">
        <v>21</v>
      </c>
      <c r="H1728" s="18"/>
      <c r="I1728" s="18" t="s">
        <v>12</v>
      </c>
    </row>
    <row r="1729" s="1" customFormat="1" customHeight="1" spans="1:9">
      <c r="A1729" s="18" t="str">
        <f t="shared" si="151"/>
        <v>B6G</v>
      </c>
      <c r="B1729" s="19" t="s">
        <v>57</v>
      </c>
      <c r="C1729" s="18" t="str">
        <f>"赵浩丞"</f>
        <v>赵浩丞</v>
      </c>
      <c r="D1729" s="18" t="str">
        <f t="shared" si="150"/>
        <v>女</v>
      </c>
      <c r="E1729" s="18" t="str">
        <f>"2022014221"</f>
        <v>2022014221</v>
      </c>
      <c r="F1729" s="18">
        <v>63.7</v>
      </c>
      <c r="G1729" s="18">
        <v>21</v>
      </c>
      <c r="H1729" s="18"/>
      <c r="I1729" s="18" t="s">
        <v>12</v>
      </c>
    </row>
    <row r="1730" s="1" customFormat="1" customHeight="1" spans="1:9">
      <c r="A1730" s="18" t="str">
        <f t="shared" si="151"/>
        <v>B6G</v>
      </c>
      <c r="B1730" s="19" t="s">
        <v>57</v>
      </c>
      <c r="C1730" s="18" t="str">
        <f>"唐盼"</f>
        <v>唐盼</v>
      </c>
      <c r="D1730" s="18" t="str">
        <f t="shared" si="150"/>
        <v>女</v>
      </c>
      <c r="E1730" s="18" t="str">
        <f>"2022014326"</f>
        <v>2022014326</v>
      </c>
      <c r="F1730" s="18">
        <v>63.7</v>
      </c>
      <c r="G1730" s="18">
        <v>21</v>
      </c>
      <c r="H1730" s="18"/>
      <c r="I1730" s="18" t="s">
        <v>12</v>
      </c>
    </row>
    <row r="1731" s="1" customFormat="1" customHeight="1" spans="1:9">
      <c r="A1731" s="18" t="str">
        <f t="shared" si="151"/>
        <v>B6G</v>
      </c>
      <c r="B1731" s="19" t="s">
        <v>57</v>
      </c>
      <c r="C1731" s="18" t="str">
        <f>"唐娜"</f>
        <v>唐娜</v>
      </c>
      <c r="D1731" s="18" t="str">
        <f t="shared" si="150"/>
        <v>女</v>
      </c>
      <c r="E1731" s="18" t="str">
        <f>"2022014233"</f>
        <v>2022014233</v>
      </c>
      <c r="F1731" s="18">
        <v>63.1</v>
      </c>
      <c r="G1731" s="18">
        <v>24</v>
      </c>
      <c r="H1731" s="18"/>
      <c r="I1731" s="18" t="s">
        <v>12</v>
      </c>
    </row>
    <row r="1732" s="1" customFormat="1" customHeight="1" spans="1:9">
      <c r="A1732" s="18" t="str">
        <f t="shared" si="151"/>
        <v>B6G</v>
      </c>
      <c r="B1732" s="19" t="s">
        <v>57</v>
      </c>
      <c r="C1732" s="18" t="str">
        <f>"石淑瑜"</f>
        <v>石淑瑜</v>
      </c>
      <c r="D1732" s="18" t="str">
        <f t="shared" si="150"/>
        <v>女</v>
      </c>
      <c r="E1732" s="18" t="str">
        <f>"2022014307"</f>
        <v>2022014307</v>
      </c>
      <c r="F1732" s="18">
        <v>61.9</v>
      </c>
      <c r="G1732" s="18">
        <v>25</v>
      </c>
      <c r="H1732" s="18"/>
      <c r="I1732" s="18" t="s">
        <v>12</v>
      </c>
    </row>
    <row r="1733" s="1" customFormat="1" customHeight="1" spans="1:9">
      <c r="A1733" s="18" t="str">
        <f t="shared" si="151"/>
        <v>B6G</v>
      </c>
      <c r="B1733" s="19" t="s">
        <v>57</v>
      </c>
      <c r="C1733" s="18" t="str">
        <f>"刘沛雨"</f>
        <v>刘沛雨</v>
      </c>
      <c r="D1733" s="18" t="str">
        <f t="shared" si="150"/>
        <v>女</v>
      </c>
      <c r="E1733" s="18" t="str">
        <f>"2022014330"</f>
        <v>2022014330</v>
      </c>
      <c r="F1733" s="18">
        <v>61.8</v>
      </c>
      <c r="G1733" s="18">
        <v>26</v>
      </c>
      <c r="H1733" s="18"/>
      <c r="I1733" s="18" t="s">
        <v>12</v>
      </c>
    </row>
    <row r="1734" s="1" customFormat="1" customHeight="1" spans="1:9">
      <c r="A1734" s="18" t="str">
        <f t="shared" si="151"/>
        <v>B6G</v>
      </c>
      <c r="B1734" s="19" t="s">
        <v>57</v>
      </c>
      <c r="C1734" s="18" t="str">
        <f>"杨丹"</f>
        <v>杨丹</v>
      </c>
      <c r="D1734" s="18" t="str">
        <f t="shared" ref="D1734:D1759" si="152">"女"</f>
        <v>女</v>
      </c>
      <c r="E1734" s="18" t="str">
        <f>"2022014231"</f>
        <v>2022014231</v>
      </c>
      <c r="F1734" s="18">
        <v>61.6</v>
      </c>
      <c r="G1734" s="18">
        <v>27</v>
      </c>
      <c r="H1734" s="18"/>
      <c r="I1734" s="18" t="s">
        <v>12</v>
      </c>
    </row>
    <row r="1735" s="1" customFormat="1" customHeight="1" spans="1:9">
      <c r="A1735" s="18" t="str">
        <f t="shared" si="151"/>
        <v>B6G</v>
      </c>
      <c r="B1735" s="19" t="s">
        <v>57</v>
      </c>
      <c r="C1735" s="18" t="str">
        <f>"陈海燕"</f>
        <v>陈海燕</v>
      </c>
      <c r="D1735" s="18" t="str">
        <f t="shared" si="152"/>
        <v>女</v>
      </c>
      <c r="E1735" s="18" t="str">
        <f>"2022014325"</f>
        <v>2022014325</v>
      </c>
      <c r="F1735" s="18">
        <v>60.8</v>
      </c>
      <c r="G1735" s="18">
        <v>28</v>
      </c>
      <c r="H1735" s="18"/>
      <c r="I1735" s="18" t="s">
        <v>12</v>
      </c>
    </row>
    <row r="1736" s="1" customFormat="1" customHeight="1" spans="1:9">
      <c r="A1736" s="18" t="str">
        <f t="shared" si="151"/>
        <v>B6G</v>
      </c>
      <c r="B1736" s="19" t="s">
        <v>57</v>
      </c>
      <c r="C1736" s="18" t="str">
        <f>"蒙丽亚"</f>
        <v>蒙丽亚</v>
      </c>
      <c r="D1736" s="18" t="str">
        <f t="shared" si="152"/>
        <v>女</v>
      </c>
      <c r="E1736" s="18" t="str">
        <f>"2022014327"</f>
        <v>2022014327</v>
      </c>
      <c r="F1736" s="18">
        <v>60.6</v>
      </c>
      <c r="G1736" s="18">
        <v>29</v>
      </c>
      <c r="H1736" s="18"/>
      <c r="I1736" s="18" t="s">
        <v>12</v>
      </c>
    </row>
    <row r="1737" s="1" customFormat="1" customHeight="1" spans="1:9">
      <c r="A1737" s="18" t="str">
        <f t="shared" si="151"/>
        <v>B6G</v>
      </c>
      <c r="B1737" s="19" t="s">
        <v>57</v>
      </c>
      <c r="C1737" s="18" t="str">
        <f>"唐俏叶"</f>
        <v>唐俏叶</v>
      </c>
      <c r="D1737" s="18" t="str">
        <f t="shared" si="152"/>
        <v>女</v>
      </c>
      <c r="E1737" s="18" t="str">
        <f>"2022014312"</f>
        <v>2022014312</v>
      </c>
      <c r="F1737" s="18">
        <v>59.7</v>
      </c>
      <c r="G1737" s="18">
        <v>30</v>
      </c>
      <c r="H1737" s="18"/>
      <c r="I1737" s="18" t="s">
        <v>12</v>
      </c>
    </row>
    <row r="1738" s="1" customFormat="1" customHeight="1" spans="1:9">
      <c r="A1738" s="18" t="str">
        <f t="shared" si="151"/>
        <v>B6G</v>
      </c>
      <c r="B1738" s="19" t="s">
        <v>57</v>
      </c>
      <c r="C1738" s="18" t="str">
        <f>"李晶"</f>
        <v>李晶</v>
      </c>
      <c r="D1738" s="18" t="str">
        <f t="shared" si="152"/>
        <v>女</v>
      </c>
      <c r="E1738" s="18" t="str">
        <f>"2022014317"</f>
        <v>2022014317</v>
      </c>
      <c r="F1738" s="18">
        <v>59.1</v>
      </c>
      <c r="G1738" s="18">
        <v>31</v>
      </c>
      <c r="H1738" s="18"/>
      <c r="I1738" s="18" t="s">
        <v>12</v>
      </c>
    </row>
    <row r="1739" s="1" customFormat="1" customHeight="1" spans="1:9">
      <c r="A1739" s="18" t="str">
        <f t="shared" si="151"/>
        <v>B6G</v>
      </c>
      <c r="B1739" s="19" t="s">
        <v>57</v>
      </c>
      <c r="C1739" s="18" t="str">
        <f>"艾翠"</f>
        <v>艾翠</v>
      </c>
      <c r="D1739" s="18" t="str">
        <f t="shared" si="152"/>
        <v>女</v>
      </c>
      <c r="E1739" s="18" t="str">
        <f>"2022014328"</f>
        <v>2022014328</v>
      </c>
      <c r="F1739" s="18">
        <v>59.1</v>
      </c>
      <c r="G1739" s="18">
        <v>31</v>
      </c>
      <c r="H1739" s="18"/>
      <c r="I1739" s="18" t="s">
        <v>12</v>
      </c>
    </row>
    <row r="1740" s="1" customFormat="1" customHeight="1" spans="1:9">
      <c r="A1740" s="18" t="str">
        <f t="shared" si="151"/>
        <v>B6G</v>
      </c>
      <c r="B1740" s="19" t="s">
        <v>57</v>
      </c>
      <c r="C1740" s="18" t="str">
        <f>"唐慧妮"</f>
        <v>唐慧妮</v>
      </c>
      <c r="D1740" s="18" t="str">
        <f t="shared" si="152"/>
        <v>女</v>
      </c>
      <c r="E1740" s="18" t="str">
        <f>"2022014301"</f>
        <v>2022014301</v>
      </c>
      <c r="F1740" s="18">
        <v>59</v>
      </c>
      <c r="G1740" s="18">
        <v>33</v>
      </c>
      <c r="H1740" s="18"/>
      <c r="I1740" s="18" t="s">
        <v>12</v>
      </c>
    </row>
    <row r="1741" s="1" customFormat="1" customHeight="1" spans="1:9">
      <c r="A1741" s="18" t="str">
        <f t="shared" si="151"/>
        <v>B6G</v>
      </c>
      <c r="B1741" s="19" t="s">
        <v>57</v>
      </c>
      <c r="C1741" s="18" t="str">
        <f>"吕芳频"</f>
        <v>吕芳频</v>
      </c>
      <c r="D1741" s="18" t="str">
        <f t="shared" si="152"/>
        <v>女</v>
      </c>
      <c r="E1741" s="18" t="str">
        <f>"2022014313"</f>
        <v>2022014313</v>
      </c>
      <c r="F1741" s="18">
        <v>58.9</v>
      </c>
      <c r="G1741" s="18">
        <v>34</v>
      </c>
      <c r="H1741" s="18"/>
      <c r="I1741" s="18" t="s">
        <v>12</v>
      </c>
    </row>
    <row r="1742" s="1" customFormat="1" customHeight="1" spans="1:9">
      <c r="A1742" s="18" t="str">
        <f t="shared" si="151"/>
        <v>B6G</v>
      </c>
      <c r="B1742" s="19" t="s">
        <v>57</v>
      </c>
      <c r="C1742" s="18" t="str">
        <f>"唐梦霞"</f>
        <v>唐梦霞</v>
      </c>
      <c r="D1742" s="18" t="str">
        <f t="shared" si="152"/>
        <v>女</v>
      </c>
      <c r="E1742" s="18" t="str">
        <f>"2022014217"</f>
        <v>2022014217</v>
      </c>
      <c r="F1742" s="18">
        <v>57.9</v>
      </c>
      <c r="G1742" s="18">
        <v>35</v>
      </c>
      <c r="H1742" s="18"/>
      <c r="I1742" s="18" t="s">
        <v>12</v>
      </c>
    </row>
    <row r="1743" s="1" customFormat="1" customHeight="1" spans="1:9">
      <c r="A1743" s="18" t="str">
        <f t="shared" si="151"/>
        <v>B6G</v>
      </c>
      <c r="B1743" s="19" t="s">
        <v>57</v>
      </c>
      <c r="C1743" s="18" t="str">
        <f>"黄乾珲"</f>
        <v>黄乾珲</v>
      </c>
      <c r="D1743" s="18" t="str">
        <f t="shared" si="152"/>
        <v>女</v>
      </c>
      <c r="E1743" s="18" t="str">
        <f>"2022014225"</f>
        <v>2022014225</v>
      </c>
      <c r="F1743" s="18">
        <v>56.7</v>
      </c>
      <c r="G1743" s="18">
        <v>36</v>
      </c>
      <c r="H1743" s="18"/>
      <c r="I1743" s="18" t="s">
        <v>12</v>
      </c>
    </row>
    <row r="1744" s="1" customFormat="1" customHeight="1" spans="1:9">
      <c r="A1744" s="18" t="str">
        <f t="shared" si="151"/>
        <v>B6G</v>
      </c>
      <c r="B1744" s="19" t="s">
        <v>57</v>
      </c>
      <c r="C1744" s="18" t="str">
        <f>"戴滢"</f>
        <v>戴滢</v>
      </c>
      <c r="D1744" s="18" t="str">
        <f t="shared" si="152"/>
        <v>女</v>
      </c>
      <c r="E1744" s="18" t="str">
        <f>"2022014224"</f>
        <v>2022014224</v>
      </c>
      <c r="F1744" s="18">
        <v>56.6</v>
      </c>
      <c r="G1744" s="18">
        <v>37</v>
      </c>
      <c r="H1744" s="18"/>
      <c r="I1744" s="18" t="s">
        <v>12</v>
      </c>
    </row>
    <row r="1745" s="1" customFormat="1" customHeight="1" spans="1:9">
      <c r="A1745" s="18" t="str">
        <f t="shared" si="151"/>
        <v>B6G</v>
      </c>
      <c r="B1745" s="19" t="s">
        <v>57</v>
      </c>
      <c r="C1745" s="18" t="str">
        <f>"谭甄"</f>
        <v>谭甄</v>
      </c>
      <c r="D1745" s="18" t="str">
        <f t="shared" si="152"/>
        <v>女</v>
      </c>
      <c r="E1745" s="18" t="str">
        <f>"2022014226"</f>
        <v>2022014226</v>
      </c>
      <c r="F1745" s="18">
        <v>54.9</v>
      </c>
      <c r="G1745" s="18">
        <v>38</v>
      </c>
      <c r="H1745" s="18"/>
      <c r="I1745" s="18" t="s">
        <v>12</v>
      </c>
    </row>
    <row r="1746" s="1" customFormat="1" customHeight="1" spans="1:9">
      <c r="A1746" s="18" t="str">
        <f t="shared" si="151"/>
        <v>B6G</v>
      </c>
      <c r="B1746" s="19" t="s">
        <v>57</v>
      </c>
      <c r="C1746" s="18" t="str">
        <f>"邱芷玲"</f>
        <v>邱芷玲</v>
      </c>
      <c r="D1746" s="18" t="str">
        <f t="shared" si="152"/>
        <v>女</v>
      </c>
      <c r="E1746" s="18" t="str">
        <f>"2022014324"</f>
        <v>2022014324</v>
      </c>
      <c r="F1746" s="18">
        <v>50.5</v>
      </c>
      <c r="G1746" s="18">
        <v>39</v>
      </c>
      <c r="H1746" s="18"/>
      <c r="I1746" s="18" t="s">
        <v>12</v>
      </c>
    </row>
    <row r="1747" s="1" customFormat="1" customHeight="1" spans="1:9">
      <c r="A1747" s="18" t="str">
        <f t="shared" si="151"/>
        <v>B6G</v>
      </c>
      <c r="B1747" s="19" t="s">
        <v>57</v>
      </c>
      <c r="C1747" s="18" t="str">
        <f>"李亚楠"</f>
        <v>李亚楠</v>
      </c>
      <c r="D1747" s="18" t="str">
        <f t="shared" si="152"/>
        <v>女</v>
      </c>
      <c r="E1747" s="18" t="str">
        <f>"2022014218"</f>
        <v>2022014218</v>
      </c>
      <c r="F1747" s="18">
        <v>0</v>
      </c>
      <c r="G1747" s="18">
        <v>40</v>
      </c>
      <c r="H1747" s="18" t="s">
        <v>13</v>
      </c>
      <c r="I1747" s="18" t="s">
        <v>12</v>
      </c>
    </row>
    <row r="1748" s="1" customFormat="1" customHeight="1" spans="1:9">
      <c r="A1748" s="18" t="str">
        <f t="shared" si="151"/>
        <v>B6G</v>
      </c>
      <c r="B1748" s="19" t="s">
        <v>57</v>
      </c>
      <c r="C1748" s="18" t="str">
        <f>"范婉"</f>
        <v>范婉</v>
      </c>
      <c r="D1748" s="18" t="str">
        <f t="shared" si="152"/>
        <v>女</v>
      </c>
      <c r="E1748" s="18" t="str">
        <f>"2022014220"</f>
        <v>2022014220</v>
      </c>
      <c r="F1748" s="18">
        <v>0</v>
      </c>
      <c r="G1748" s="18">
        <v>40</v>
      </c>
      <c r="H1748" s="18" t="s">
        <v>13</v>
      </c>
      <c r="I1748" s="18" t="s">
        <v>12</v>
      </c>
    </row>
    <row r="1749" s="1" customFormat="1" customHeight="1" spans="1:9">
      <c r="A1749" s="18" t="str">
        <f t="shared" si="151"/>
        <v>B6G</v>
      </c>
      <c r="B1749" s="19" t="s">
        <v>57</v>
      </c>
      <c r="C1749" s="18" t="str">
        <f>"苏阳慧"</f>
        <v>苏阳慧</v>
      </c>
      <c r="D1749" s="18" t="str">
        <f t="shared" si="152"/>
        <v>女</v>
      </c>
      <c r="E1749" s="18" t="str">
        <f>"2022014223"</f>
        <v>2022014223</v>
      </c>
      <c r="F1749" s="18">
        <v>0</v>
      </c>
      <c r="G1749" s="18">
        <v>40</v>
      </c>
      <c r="H1749" s="18" t="s">
        <v>13</v>
      </c>
      <c r="I1749" s="18" t="s">
        <v>12</v>
      </c>
    </row>
    <row r="1750" s="1" customFormat="1" customHeight="1" spans="1:9">
      <c r="A1750" s="18" t="str">
        <f t="shared" si="151"/>
        <v>B6G</v>
      </c>
      <c r="B1750" s="19" t="s">
        <v>57</v>
      </c>
      <c r="C1750" s="18" t="str">
        <f>"胡艳玲"</f>
        <v>胡艳玲</v>
      </c>
      <c r="D1750" s="18" t="str">
        <f t="shared" si="152"/>
        <v>女</v>
      </c>
      <c r="E1750" s="18" t="str">
        <f>"2022014229"</f>
        <v>2022014229</v>
      </c>
      <c r="F1750" s="18">
        <v>0</v>
      </c>
      <c r="G1750" s="18">
        <v>40</v>
      </c>
      <c r="H1750" s="18" t="s">
        <v>13</v>
      </c>
      <c r="I1750" s="18" t="s">
        <v>12</v>
      </c>
    </row>
    <row r="1751" s="1" customFormat="1" customHeight="1" spans="1:9">
      <c r="A1751" s="18" t="str">
        <f t="shared" si="151"/>
        <v>B6G</v>
      </c>
      <c r="B1751" s="19" t="s">
        <v>57</v>
      </c>
      <c r="C1751" s="18" t="str">
        <f>"张向燕"</f>
        <v>张向燕</v>
      </c>
      <c r="D1751" s="18" t="str">
        <f t="shared" si="152"/>
        <v>女</v>
      </c>
      <c r="E1751" s="18" t="str">
        <f>"2022014302"</f>
        <v>2022014302</v>
      </c>
      <c r="F1751" s="18">
        <v>0</v>
      </c>
      <c r="G1751" s="18">
        <v>40</v>
      </c>
      <c r="H1751" s="18" t="s">
        <v>13</v>
      </c>
      <c r="I1751" s="18" t="s">
        <v>12</v>
      </c>
    </row>
    <row r="1752" s="1" customFormat="1" customHeight="1" spans="1:9">
      <c r="A1752" s="18" t="str">
        <f t="shared" si="151"/>
        <v>B6G</v>
      </c>
      <c r="B1752" s="19" t="s">
        <v>57</v>
      </c>
      <c r="C1752" s="18" t="str">
        <f>"刘雨淇"</f>
        <v>刘雨淇</v>
      </c>
      <c r="D1752" s="18" t="str">
        <f t="shared" si="152"/>
        <v>女</v>
      </c>
      <c r="E1752" s="18" t="str">
        <f>"2022014303"</f>
        <v>2022014303</v>
      </c>
      <c r="F1752" s="18">
        <v>0</v>
      </c>
      <c r="G1752" s="18">
        <v>40</v>
      </c>
      <c r="H1752" s="18" t="s">
        <v>13</v>
      </c>
      <c r="I1752" s="18" t="s">
        <v>12</v>
      </c>
    </row>
    <row r="1753" s="1" customFormat="1" customHeight="1" spans="1:9">
      <c r="A1753" s="18" t="str">
        <f t="shared" si="151"/>
        <v>B6G</v>
      </c>
      <c r="B1753" s="19" t="s">
        <v>57</v>
      </c>
      <c r="C1753" s="18" t="str">
        <f>"刘洁"</f>
        <v>刘洁</v>
      </c>
      <c r="D1753" s="18" t="str">
        <f t="shared" si="152"/>
        <v>女</v>
      </c>
      <c r="E1753" s="18" t="str">
        <f>"2022014309"</f>
        <v>2022014309</v>
      </c>
      <c r="F1753" s="18">
        <v>0</v>
      </c>
      <c r="G1753" s="18">
        <v>40</v>
      </c>
      <c r="H1753" s="18" t="s">
        <v>13</v>
      </c>
      <c r="I1753" s="18" t="s">
        <v>12</v>
      </c>
    </row>
    <row r="1754" s="1" customFormat="1" customHeight="1" spans="1:9">
      <c r="A1754" s="18" t="str">
        <f t="shared" si="151"/>
        <v>B6G</v>
      </c>
      <c r="B1754" s="19" t="s">
        <v>57</v>
      </c>
      <c r="C1754" s="18" t="str">
        <f>"粟渝翔"</f>
        <v>粟渝翔</v>
      </c>
      <c r="D1754" s="18" t="str">
        <f t="shared" si="152"/>
        <v>女</v>
      </c>
      <c r="E1754" s="18" t="str">
        <f>"2022014314"</f>
        <v>2022014314</v>
      </c>
      <c r="F1754" s="18">
        <v>0</v>
      </c>
      <c r="G1754" s="18">
        <v>40</v>
      </c>
      <c r="H1754" s="18" t="s">
        <v>13</v>
      </c>
      <c r="I1754" s="18" t="s">
        <v>12</v>
      </c>
    </row>
    <row r="1755" s="1" customFormat="1" customHeight="1" spans="1:9">
      <c r="A1755" s="18" t="str">
        <f t="shared" si="151"/>
        <v>B6G</v>
      </c>
      <c r="B1755" s="19" t="s">
        <v>57</v>
      </c>
      <c r="C1755" s="18" t="str">
        <f>"蒋燕鹏"</f>
        <v>蒋燕鹏</v>
      </c>
      <c r="D1755" s="18" t="str">
        <f t="shared" si="152"/>
        <v>女</v>
      </c>
      <c r="E1755" s="18" t="str">
        <f>"2022014315"</f>
        <v>2022014315</v>
      </c>
      <c r="F1755" s="18">
        <v>0</v>
      </c>
      <c r="G1755" s="18">
        <v>40</v>
      </c>
      <c r="H1755" s="18" t="s">
        <v>13</v>
      </c>
      <c r="I1755" s="18" t="s">
        <v>12</v>
      </c>
    </row>
    <row r="1756" s="1" customFormat="1" customHeight="1" spans="1:9">
      <c r="A1756" s="18" t="str">
        <f t="shared" si="151"/>
        <v>B6G</v>
      </c>
      <c r="B1756" s="19" t="s">
        <v>57</v>
      </c>
      <c r="C1756" s="18" t="str">
        <f>"杨玥欣"</f>
        <v>杨玥欣</v>
      </c>
      <c r="D1756" s="18" t="str">
        <f t="shared" si="152"/>
        <v>女</v>
      </c>
      <c r="E1756" s="18" t="str">
        <f>"2022014316"</f>
        <v>2022014316</v>
      </c>
      <c r="F1756" s="18">
        <v>0</v>
      </c>
      <c r="G1756" s="18">
        <v>40</v>
      </c>
      <c r="H1756" s="18" t="s">
        <v>13</v>
      </c>
      <c r="I1756" s="18" t="s">
        <v>12</v>
      </c>
    </row>
    <row r="1757" s="1" customFormat="1" customHeight="1" spans="1:9">
      <c r="A1757" s="18" t="str">
        <f t="shared" si="151"/>
        <v>B6G</v>
      </c>
      <c r="B1757" s="19" t="s">
        <v>57</v>
      </c>
      <c r="C1757" s="18" t="str">
        <f>"马传荣"</f>
        <v>马传荣</v>
      </c>
      <c r="D1757" s="18" t="str">
        <f t="shared" si="152"/>
        <v>女</v>
      </c>
      <c r="E1757" s="18" t="str">
        <f>"2022014319"</f>
        <v>2022014319</v>
      </c>
      <c r="F1757" s="18">
        <v>0</v>
      </c>
      <c r="G1757" s="18">
        <v>40</v>
      </c>
      <c r="H1757" s="18" t="s">
        <v>13</v>
      </c>
      <c r="I1757" s="18" t="s">
        <v>12</v>
      </c>
    </row>
    <row r="1758" s="1" customFormat="1" customHeight="1" spans="1:9">
      <c r="A1758" s="18" t="str">
        <f t="shared" si="151"/>
        <v>B6G</v>
      </c>
      <c r="B1758" s="19" t="s">
        <v>57</v>
      </c>
      <c r="C1758" s="18" t="str">
        <f>"唐婷"</f>
        <v>唐婷</v>
      </c>
      <c r="D1758" s="18" t="str">
        <f t="shared" si="152"/>
        <v>女</v>
      </c>
      <c r="E1758" s="18" t="str">
        <f>"2022014323"</f>
        <v>2022014323</v>
      </c>
      <c r="F1758" s="18">
        <v>0</v>
      </c>
      <c r="G1758" s="18">
        <v>40</v>
      </c>
      <c r="H1758" s="18" t="s">
        <v>13</v>
      </c>
      <c r="I1758" s="18" t="s">
        <v>12</v>
      </c>
    </row>
    <row r="1759" s="1" customFormat="1" customHeight="1" spans="1:9">
      <c r="A1759" s="18" t="str">
        <f t="shared" si="151"/>
        <v>B6G</v>
      </c>
      <c r="B1759" s="19" t="s">
        <v>57</v>
      </c>
      <c r="C1759" s="18" t="str">
        <f>"陈洋洋"</f>
        <v>陈洋洋</v>
      </c>
      <c r="D1759" s="18" t="str">
        <f t="shared" si="152"/>
        <v>女</v>
      </c>
      <c r="E1759" s="18" t="str">
        <f>"2022014329"</f>
        <v>2022014329</v>
      </c>
      <c r="F1759" s="18">
        <v>0</v>
      </c>
      <c r="G1759" s="18">
        <v>40</v>
      </c>
      <c r="H1759" s="18" t="s">
        <v>13</v>
      </c>
      <c r="I1759" s="18" t="s">
        <v>12</v>
      </c>
    </row>
    <row r="1760" s="1" customFormat="1" customHeight="1" spans="1:9">
      <c r="A1760" s="18" t="str">
        <f t="shared" ref="A1760:A1772" si="153">"B7F"</f>
        <v>B7F</v>
      </c>
      <c r="B1760" s="19" t="s">
        <v>58</v>
      </c>
      <c r="C1760" s="18" t="str">
        <f>"朱建江"</f>
        <v>朱建江</v>
      </c>
      <c r="D1760" s="18" t="str">
        <f t="shared" ref="D1760:D1778" si="154">"男"</f>
        <v>男</v>
      </c>
      <c r="E1760" s="18" t="str">
        <f>"2022014406"</f>
        <v>2022014406</v>
      </c>
      <c r="F1760" s="18">
        <v>95</v>
      </c>
      <c r="G1760" s="18">
        <v>1</v>
      </c>
      <c r="H1760" s="18"/>
      <c r="I1760" s="28" t="s">
        <v>11</v>
      </c>
    </row>
    <row r="1761" s="1" customFormat="1" customHeight="1" spans="1:9">
      <c r="A1761" s="18" t="str">
        <f t="shared" si="153"/>
        <v>B7F</v>
      </c>
      <c r="B1761" s="19" t="s">
        <v>58</v>
      </c>
      <c r="C1761" s="18" t="str">
        <f>"刘文渊"</f>
        <v>刘文渊</v>
      </c>
      <c r="D1761" s="18" t="str">
        <f t="shared" si="154"/>
        <v>男</v>
      </c>
      <c r="E1761" s="18" t="str">
        <f>"2022014401"</f>
        <v>2022014401</v>
      </c>
      <c r="F1761" s="18">
        <v>94</v>
      </c>
      <c r="G1761" s="18">
        <v>2</v>
      </c>
      <c r="H1761" s="18"/>
      <c r="I1761" s="28" t="s">
        <v>11</v>
      </c>
    </row>
    <row r="1762" s="1" customFormat="1" customHeight="1" spans="1:9">
      <c r="A1762" s="18" t="str">
        <f t="shared" si="153"/>
        <v>B7F</v>
      </c>
      <c r="B1762" s="19" t="s">
        <v>58</v>
      </c>
      <c r="C1762" s="18" t="str">
        <f>"张灵奇"</f>
        <v>张灵奇</v>
      </c>
      <c r="D1762" s="18" t="str">
        <f t="shared" si="154"/>
        <v>男</v>
      </c>
      <c r="E1762" s="18" t="str">
        <f>"2022014413"</f>
        <v>2022014413</v>
      </c>
      <c r="F1762" s="18">
        <v>91.5</v>
      </c>
      <c r="G1762" s="18">
        <v>3</v>
      </c>
      <c r="H1762" s="18"/>
      <c r="I1762" s="18" t="s">
        <v>12</v>
      </c>
    </row>
    <row r="1763" s="1" customFormat="1" customHeight="1" spans="1:9">
      <c r="A1763" s="18" t="str">
        <f t="shared" si="153"/>
        <v>B7F</v>
      </c>
      <c r="B1763" s="19" t="s">
        <v>58</v>
      </c>
      <c r="C1763" s="18" t="str">
        <f>"王君"</f>
        <v>王君</v>
      </c>
      <c r="D1763" s="18" t="str">
        <f t="shared" si="154"/>
        <v>男</v>
      </c>
      <c r="E1763" s="18" t="str">
        <f>"2022014404"</f>
        <v>2022014404</v>
      </c>
      <c r="F1763" s="18">
        <v>91</v>
      </c>
      <c r="G1763" s="18">
        <v>4</v>
      </c>
      <c r="H1763" s="18"/>
      <c r="I1763" s="18" t="s">
        <v>12</v>
      </c>
    </row>
    <row r="1764" s="1" customFormat="1" customHeight="1" spans="1:9">
      <c r="A1764" s="18" t="str">
        <f t="shared" si="153"/>
        <v>B7F</v>
      </c>
      <c r="B1764" s="19" t="s">
        <v>58</v>
      </c>
      <c r="C1764" s="18" t="str">
        <f>"韩小龙"</f>
        <v>韩小龙</v>
      </c>
      <c r="D1764" s="18" t="str">
        <f t="shared" si="154"/>
        <v>男</v>
      </c>
      <c r="E1764" s="18" t="str">
        <f>"2022014402"</f>
        <v>2022014402</v>
      </c>
      <c r="F1764" s="18">
        <v>90</v>
      </c>
      <c r="G1764" s="18">
        <v>5</v>
      </c>
      <c r="H1764" s="18"/>
      <c r="I1764" s="18" t="s">
        <v>12</v>
      </c>
    </row>
    <row r="1765" s="1" customFormat="1" customHeight="1" spans="1:9">
      <c r="A1765" s="18" t="str">
        <f t="shared" si="153"/>
        <v>B7F</v>
      </c>
      <c r="B1765" s="19" t="s">
        <v>58</v>
      </c>
      <c r="C1765" s="18" t="str">
        <f>"肖岩松"</f>
        <v>肖岩松</v>
      </c>
      <c r="D1765" s="18" t="str">
        <f t="shared" si="154"/>
        <v>男</v>
      </c>
      <c r="E1765" s="18" t="str">
        <f>"2022014409"</f>
        <v>2022014409</v>
      </c>
      <c r="F1765" s="18">
        <v>90</v>
      </c>
      <c r="G1765" s="18">
        <v>5</v>
      </c>
      <c r="H1765" s="18"/>
      <c r="I1765" s="18" t="s">
        <v>12</v>
      </c>
    </row>
    <row r="1766" s="1" customFormat="1" customHeight="1" spans="1:9">
      <c r="A1766" s="18" t="str">
        <f t="shared" si="153"/>
        <v>B7F</v>
      </c>
      <c r="B1766" s="19" t="s">
        <v>58</v>
      </c>
      <c r="C1766" s="18" t="str">
        <f>"李磊彬"</f>
        <v>李磊彬</v>
      </c>
      <c r="D1766" s="18" t="str">
        <f t="shared" si="154"/>
        <v>男</v>
      </c>
      <c r="E1766" s="18" t="str">
        <f>"2022014412"</f>
        <v>2022014412</v>
      </c>
      <c r="F1766" s="18">
        <v>90</v>
      </c>
      <c r="G1766" s="18">
        <v>5</v>
      </c>
      <c r="H1766" s="18"/>
      <c r="I1766" s="18" t="s">
        <v>12</v>
      </c>
    </row>
    <row r="1767" s="1" customFormat="1" customHeight="1" spans="1:9">
      <c r="A1767" s="18" t="str">
        <f t="shared" si="153"/>
        <v>B7F</v>
      </c>
      <c r="B1767" s="19" t="s">
        <v>58</v>
      </c>
      <c r="C1767" s="18" t="str">
        <f>"贺江海"</f>
        <v>贺江海</v>
      </c>
      <c r="D1767" s="18" t="str">
        <f t="shared" si="154"/>
        <v>男</v>
      </c>
      <c r="E1767" s="18" t="str">
        <f>"2022014407"</f>
        <v>2022014407</v>
      </c>
      <c r="F1767" s="18">
        <v>89</v>
      </c>
      <c r="G1767" s="18">
        <v>8</v>
      </c>
      <c r="H1767" s="18"/>
      <c r="I1767" s="18" t="s">
        <v>12</v>
      </c>
    </row>
    <row r="1768" s="1" customFormat="1" customHeight="1" spans="1:9">
      <c r="A1768" s="18" t="str">
        <f t="shared" si="153"/>
        <v>B7F</v>
      </c>
      <c r="B1768" s="19" t="s">
        <v>58</v>
      </c>
      <c r="C1768" s="18" t="str">
        <f>"刘畅"</f>
        <v>刘畅</v>
      </c>
      <c r="D1768" s="18" t="str">
        <f t="shared" si="154"/>
        <v>男</v>
      </c>
      <c r="E1768" s="18" t="str">
        <f>"2022014405"</f>
        <v>2022014405</v>
      </c>
      <c r="F1768" s="18">
        <v>86.5</v>
      </c>
      <c r="G1768" s="18">
        <v>9</v>
      </c>
      <c r="H1768" s="18"/>
      <c r="I1768" s="18" t="s">
        <v>12</v>
      </c>
    </row>
    <row r="1769" s="1" customFormat="1" customHeight="1" spans="1:9">
      <c r="A1769" s="18" t="str">
        <f t="shared" si="153"/>
        <v>B7F</v>
      </c>
      <c r="B1769" s="19" t="s">
        <v>58</v>
      </c>
      <c r="C1769" s="18" t="str">
        <f>"肖骞"</f>
        <v>肖骞</v>
      </c>
      <c r="D1769" s="18" t="str">
        <f t="shared" si="154"/>
        <v>男</v>
      </c>
      <c r="E1769" s="18" t="str">
        <f>"2022014411"</f>
        <v>2022014411</v>
      </c>
      <c r="F1769" s="18">
        <v>76</v>
      </c>
      <c r="G1769" s="18">
        <v>10</v>
      </c>
      <c r="H1769" s="18"/>
      <c r="I1769" s="18" t="s">
        <v>12</v>
      </c>
    </row>
    <row r="1770" s="1" customFormat="1" customHeight="1" spans="1:9">
      <c r="A1770" s="18" t="str">
        <f t="shared" si="153"/>
        <v>B7F</v>
      </c>
      <c r="B1770" s="19" t="s">
        <v>58</v>
      </c>
      <c r="C1770" s="18" t="str">
        <f>"李和元"</f>
        <v>李和元</v>
      </c>
      <c r="D1770" s="18" t="str">
        <f t="shared" si="154"/>
        <v>男</v>
      </c>
      <c r="E1770" s="18" t="str">
        <f>"2022014403"</f>
        <v>2022014403</v>
      </c>
      <c r="F1770" s="18">
        <v>0</v>
      </c>
      <c r="G1770" s="18">
        <v>11</v>
      </c>
      <c r="H1770" s="18" t="s">
        <v>13</v>
      </c>
      <c r="I1770" s="18" t="s">
        <v>12</v>
      </c>
    </row>
    <row r="1771" s="1" customFormat="1" customHeight="1" spans="1:9">
      <c r="A1771" s="18" t="str">
        <f t="shared" si="153"/>
        <v>B7F</v>
      </c>
      <c r="B1771" s="19" t="s">
        <v>58</v>
      </c>
      <c r="C1771" s="18" t="str">
        <f>"刘明洋"</f>
        <v>刘明洋</v>
      </c>
      <c r="D1771" s="18" t="str">
        <f t="shared" si="154"/>
        <v>男</v>
      </c>
      <c r="E1771" s="18" t="str">
        <f>"2022014408"</f>
        <v>2022014408</v>
      </c>
      <c r="F1771" s="18">
        <v>0</v>
      </c>
      <c r="G1771" s="18">
        <v>11</v>
      </c>
      <c r="H1771" s="18" t="s">
        <v>13</v>
      </c>
      <c r="I1771" s="18" t="s">
        <v>12</v>
      </c>
    </row>
    <row r="1772" s="1" customFormat="1" customHeight="1" spans="1:9">
      <c r="A1772" s="18" t="str">
        <f t="shared" si="153"/>
        <v>B7F</v>
      </c>
      <c r="B1772" s="19" t="s">
        <v>58</v>
      </c>
      <c r="C1772" s="18" t="str">
        <f>"陈应兵"</f>
        <v>陈应兵</v>
      </c>
      <c r="D1772" s="18" t="str">
        <f t="shared" si="154"/>
        <v>男</v>
      </c>
      <c r="E1772" s="18" t="str">
        <f>"2022014410"</f>
        <v>2022014410</v>
      </c>
      <c r="F1772" s="18">
        <v>0</v>
      </c>
      <c r="G1772" s="18">
        <v>11</v>
      </c>
      <c r="H1772" s="18" t="s">
        <v>13</v>
      </c>
      <c r="I1772" s="18" t="s">
        <v>12</v>
      </c>
    </row>
    <row r="1773" s="1" customFormat="1" customHeight="1" spans="1:9">
      <c r="A1773" s="18" t="str">
        <f t="shared" ref="A1773:A1778" si="155">"B7G"</f>
        <v>B7G</v>
      </c>
      <c r="B1773" s="19" t="s">
        <v>59</v>
      </c>
      <c r="C1773" s="18" t="str">
        <f>"戴杭"</f>
        <v>戴杭</v>
      </c>
      <c r="D1773" s="18" t="str">
        <f t="shared" si="154"/>
        <v>男</v>
      </c>
      <c r="E1773" s="18" t="str">
        <f>"2022014417"</f>
        <v>2022014417</v>
      </c>
      <c r="F1773" s="18">
        <v>94.5</v>
      </c>
      <c r="G1773" s="18">
        <v>1</v>
      </c>
      <c r="H1773" s="18"/>
      <c r="I1773" s="28" t="s">
        <v>11</v>
      </c>
    </row>
    <row r="1774" s="1" customFormat="1" customHeight="1" spans="1:9">
      <c r="A1774" s="18" t="str">
        <f t="shared" si="155"/>
        <v>B7G</v>
      </c>
      <c r="B1774" s="19" t="s">
        <v>59</v>
      </c>
      <c r="C1774" s="18" t="str">
        <f>"程琪"</f>
        <v>程琪</v>
      </c>
      <c r="D1774" s="18" t="str">
        <f t="shared" si="154"/>
        <v>男</v>
      </c>
      <c r="E1774" s="18" t="str">
        <f>"2022014415"</f>
        <v>2022014415</v>
      </c>
      <c r="F1774" s="18">
        <v>94</v>
      </c>
      <c r="G1774" s="18">
        <v>2</v>
      </c>
      <c r="H1774" s="18"/>
      <c r="I1774" s="28" t="s">
        <v>11</v>
      </c>
    </row>
    <row r="1775" s="1" customFormat="1" customHeight="1" spans="1:9">
      <c r="A1775" s="18" t="str">
        <f t="shared" si="155"/>
        <v>B7G</v>
      </c>
      <c r="B1775" s="19" t="s">
        <v>59</v>
      </c>
      <c r="C1775" s="18" t="str">
        <f>"刘明烨"</f>
        <v>刘明烨</v>
      </c>
      <c r="D1775" s="18" t="str">
        <f t="shared" si="154"/>
        <v>男</v>
      </c>
      <c r="E1775" s="18" t="str">
        <f>"2022014419"</f>
        <v>2022014419</v>
      </c>
      <c r="F1775" s="18">
        <v>93</v>
      </c>
      <c r="G1775" s="18">
        <v>3</v>
      </c>
      <c r="H1775" s="18"/>
      <c r="I1775" s="18" t="s">
        <v>12</v>
      </c>
    </row>
    <row r="1776" s="1" customFormat="1" customHeight="1" spans="1:9">
      <c r="A1776" s="18" t="str">
        <f t="shared" si="155"/>
        <v>B7G</v>
      </c>
      <c r="B1776" s="19" t="s">
        <v>59</v>
      </c>
      <c r="C1776" s="18" t="str">
        <f>"汪锦岚"</f>
        <v>汪锦岚</v>
      </c>
      <c r="D1776" s="18" t="str">
        <f t="shared" si="154"/>
        <v>男</v>
      </c>
      <c r="E1776" s="18" t="str">
        <f>"2022014418"</f>
        <v>2022014418</v>
      </c>
      <c r="F1776" s="18">
        <v>92</v>
      </c>
      <c r="G1776" s="18">
        <v>4</v>
      </c>
      <c r="H1776" s="18"/>
      <c r="I1776" s="18" t="s">
        <v>12</v>
      </c>
    </row>
    <row r="1777" s="1" customFormat="1" customHeight="1" spans="1:9">
      <c r="A1777" s="18" t="str">
        <f t="shared" si="155"/>
        <v>B7G</v>
      </c>
      <c r="B1777" s="19" t="s">
        <v>59</v>
      </c>
      <c r="C1777" s="18" t="str">
        <f>"周易咸"</f>
        <v>周易咸</v>
      </c>
      <c r="D1777" s="18" t="str">
        <f t="shared" si="154"/>
        <v>男</v>
      </c>
      <c r="E1777" s="18" t="str">
        <f>"2022014414"</f>
        <v>2022014414</v>
      </c>
      <c r="F1777" s="18">
        <v>0</v>
      </c>
      <c r="G1777" s="18">
        <v>5</v>
      </c>
      <c r="H1777" s="18" t="s">
        <v>13</v>
      </c>
      <c r="I1777" s="18" t="s">
        <v>12</v>
      </c>
    </row>
    <row r="1778" s="1" customFormat="1" customHeight="1" spans="1:9">
      <c r="A1778" s="18" t="str">
        <f t="shared" si="155"/>
        <v>B7G</v>
      </c>
      <c r="B1778" s="19" t="s">
        <v>59</v>
      </c>
      <c r="C1778" s="18" t="str">
        <f>"宋奕锋"</f>
        <v>宋奕锋</v>
      </c>
      <c r="D1778" s="18" t="str">
        <f t="shared" si="154"/>
        <v>男</v>
      </c>
      <c r="E1778" s="18" t="str">
        <f>"2022014416"</f>
        <v>2022014416</v>
      </c>
      <c r="F1778" s="18">
        <v>0</v>
      </c>
      <c r="G1778" s="18">
        <v>5</v>
      </c>
      <c r="H1778" s="18" t="s">
        <v>13</v>
      </c>
      <c r="I1778" s="18" t="s">
        <v>12</v>
      </c>
    </row>
    <row r="1779" s="1" customFormat="1" customHeight="1" spans="1:9">
      <c r="A1779" s="18" t="str">
        <f t="shared" ref="A1779:A1842" si="156">"B8F"</f>
        <v>B8F</v>
      </c>
      <c r="B1779" s="19" t="s">
        <v>60</v>
      </c>
      <c r="C1779" s="18" t="str">
        <f>"唐春燕"</f>
        <v>唐春燕</v>
      </c>
      <c r="D1779" s="18" t="str">
        <f t="shared" ref="D1779:D1842" si="157">"女"</f>
        <v>女</v>
      </c>
      <c r="E1779" s="18" t="str">
        <f>"2022014610"</f>
        <v>2022014610</v>
      </c>
      <c r="F1779" s="18">
        <v>99</v>
      </c>
      <c r="G1779" s="18">
        <v>1</v>
      </c>
      <c r="H1779" s="18"/>
      <c r="I1779" s="28" t="s">
        <v>11</v>
      </c>
    </row>
    <row r="1780" s="1" customFormat="1" customHeight="1" spans="1:9">
      <c r="A1780" s="18" t="str">
        <f t="shared" si="156"/>
        <v>B8F</v>
      </c>
      <c r="B1780" s="19" t="s">
        <v>60</v>
      </c>
      <c r="C1780" s="18" t="str">
        <f>"黄秀红"</f>
        <v>黄秀红</v>
      </c>
      <c r="D1780" s="18" t="str">
        <f t="shared" si="157"/>
        <v>女</v>
      </c>
      <c r="E1780" s="18" t="str">
        <f>"2022014515"</f>
        <v>2022014515</v>
      </c>
      <c r="F1780" s="18">
        <v>97.5</v>
      </c>
      <c r="G1780" s="18">
        <v>2</v>
      </c>
      <c r="H1780" s="18"/>
      <c r="I1780" s="28" t="s">
        <v>11</v>
      </c>
    </row>
    <row r="1781" s="1" customFormat="1" customHeight="1" spans="1:9">
      <c r="A1781" s="18" t="str">
        <f t="shared" si="156"/>
        <v>B8F</v>
      </c>
      <c r="B1781" s="19" t="s">
        <v>60</v>
      </c>
      <c r="C1781" s="18" t="str">
        <f>"李深"</f>
        <v>李深</v>
      </c>
      <c r="D1781" s="18" t="str">
        <f t="shared" si="157"/>
        <v>女</v>
      </c>
      <c r="E1781" s="18" t="str">
        <f>"2022014523"</f>
        <v>2022014523</v>
      </c>
      <c r="F1781" s="18">
        <v>97</v>
      </c>
      <c r="G1781" s="18">
        <v>3</v>
      </c>
      <c r="H1781" s="18"/>
      <c r="I1781" s="18" t="s">
        <v>12</v>
      </c>
    </row>
    <row r="1782" s="1" customFormat="1" customHeight="1" spans="1:9">
      <c r="A1782" s="18" t="str">
        <f t="shared" si="156"/>
        <v>B8F</v>
      </c>
      <c r="B1782" s="19" t="s">
        <v>60</v>
      </c>
      <c r="C1782" s="18" t="str">
        <f>"肖秋红"</f>
        <v>肖秋红</v>
      </c>
      <c r="D1782" s="18" t="str">
        <f t="shared" si="157"/>
        <v>女</v>
      </c>
      <c r="E1782" s="18" t="str">
        <f>"2022014614"</f>
        <v>2022014614</v>
      </c>
      <c r="F1782" s="18">
        <v>96.5</v>
      </c>
      <c r="G1782" s="18">
        <v>4</v>
      </c>
      <c r="H1782" s="18"/>
      <c r="I1782" s="18" t="s">
        <v>12</v>
      </c>
    </row>
    <row r="1783" s="1" customFormat="1" customHeight="1" spans="1:9">
      <c r="A1783" s="18" t="str">
        <f t="shared" si="156"/>
        <v>B8F</v>
      </c>
      <c r="B1783" s="19" t="s">
        <v>60</v>
      </c>
      <c r="C1783" s="18" t="str">
        <f>"毛群"</f>
        <v>毛群</v>
      </c>
      <c r="D1783" s="18" t="str">
        <f t="shared" si="157"/>
        <v>女</v>
      </c>
      <c r="E1783" s="18" t="str">
        <f>"2022014520"</f>
        <v>2022014520</v>
      </c>
      <c r="F1783" s="18">
        <v>96</v>
      </c>
      <c r="G1783" s="18">
        <v>5</v>
      </c>
      <c r="H1783" s="18"/>
      <c r="I1783" s="18" t="s">
        <v>12</v>
      </c>
    </row>
    <row r="1784" s="1" customFormat="1" customHeight="1" spans="1:9">
      <c r="A1784" s="18" t="str">
        <f t="shared" si="156"/>
        <v>B8F</v>
      </c>
      <c r="B1784" s="19" t="s">
        <v>60</v>
      </c>
      <c r="C1784" s="18" t="str">
        <f>"邓小妹"</f>
        <v>邓小妹</v>
      </c>
      <c r="D1784" s="18" t="str">
        <f t="shared" si="157"/>
        <v>女</v>
      </c>
      <c r="E1784" s="18" t="str">
        <f>"2022014605"</f>
        <v>2022014605</v>
      </c>
      <c r="F1784" s="18">
        <v>95</v>
      </c>
      <c r="G1784" s="18">
        <v>6</v>
      </c>
      <c r="H1784" s="18"/>
      <c r="I1784" s="18" t="s">
        <v>12</v>
      </c>
    </row>
    <row r="1785" s="1" customFormat="1" customHeight="1" spans="1:9">
      <c r="A1785" s="18" t="str">
        <f t="shared" si="156"/>
        <v>B8F</v>
      </c>
      <c r="B1785" s="19" t="s">
        <v>60</v>
      </c>
      <c r="C1785" s="18" t="str">
        <f>"李超文"</f>
        <v>李超文</v>
      </c>
      <c r="D1785" s="18" t="str">
        <f t="shared" si="157"/>
        <v>女</v>
      </c>
      <c r="E1785" s="18" t="str">
        <f>"2022014617"</f>
        <v>2022014617</v>
      </c>
      <c r="F1785" s="18">
        <v>95</v>
      </c>
      <c r="G1785" s="18">
        <v>6</v>
      </c>
      <c r="H1785" s="18"/>
      <c r="I1785" s="18" t="s">
        <v>12</v>
      </c>
    </row>
    <row r="1786" s="1" customFormat="1" customHeight="1" spans="1:9">
      <c r="A1786" s="18" t="str">
        <f t="shared" si="156"/>
        <v>B8F</v>
      </c>
      <c r="B1786" s="19" t="s">
        <v>60</v>
      </c>
      <c r="C1786" s="18" t="str">
        <f>"黄雪婷"</f>
        <v>黄雪婷</v>
      </c>
      <c r="D1786" s="18" t="str">
        <f t="shared" si="157"/>
        <v>女</v>
      </c>
      <c r="E1786" s="18" t="str">
        <f>"2022014521"</f>
        <v>2022014521</v>
      </c>
      <c r="F1786" s="18">
        <v>94</v>
      </c>
      <c r="G1786" s="18">
        <v>8</v>
      </c>
      <c r="H1786" s="18"/>
      <c r="I1786" s="18" t="s">
        <v>12</v>
      </c>
    </row>
    <row r="1787" s="1" customFormat="1" customHeight="1" spans="1:9">
      <c r="A1787" s="18" t="str">
        <f t="shared" si="156"/>
        <v>B8F</v>
      </c>
      <c r="B1787" s="19" t="s">
        <v>60</v>
      </c>
      <c r="C1787" s="18" t="str">
        <f>"肖佳玲"</f>
        <v>肖佳玲</v>
      </c>
      <c r="D1787" s="18" t="str">
        <f t="shared" si="157"/>
        <v>女</v>
      </c>
      <c r="E1787" s="18" t="str">
        <f>"2022014607"</f>
        <v>2022014607</v>
      </c>
      <c r="F1787" s="18">
        <v>94</v>
      </c>
      <c r="G1787" s="18">
        <v>8</v>
      </c>
      <c r="H1787" s="18"/>
      <c r="I1787" s="18" t="s">
        <v>12</v>
      </c>
    </row>
    <row r="1788" s="1" customFormat="1" customHeight="1" spans="1:9">
      <c r="A1788" s="18" t="str">
        <f t="shared" si="156"/>
        <v>B8F</v>
      </c>
      <c r="B1788" s="19" t="s">
        <v>60</v>
      </c>
      <c r="C1788" s="18" t="str">
        <f>"刘立慧"</f>
        <v>刘立慧</v>
      </c>
      <c r="D1788" s="18" t="str">
        <f t="shared" si="157"/>
        <v>女</v>
      </c>
      <c r="E1788" s="18" t="str">
        <f>"2022014608"</f>
        <v>2022014608</v>
      </c>
      <c r="F1788" s="18">
        <v>94</v>
      </c>
      <c r="G1788" s="18">
        <v>8</v>
      </c>
      <c r="H1788" s="18"/>
      <c r="I1788" s="18" t="s">
        <v>12</v>
      </c>
    </row>
    <row r="1789" s="1" customFormat="1" customHeight="1" spans="1:9">
      <c r="A1789" s="18" t="str">
        <f t="shared" si="156"/>
        <v>B8F</v>
      </c>
      <c r="B1789" s="19" t="s">
        <v>60</v>
      </c>
      <c r="C1789" s="18" t="str">
        <f>"彭子慧"</f>
        <v>彭子慧</v>
      </c>
      <c r="D1789" s="18" t="str">
        <f t="shared" si="157"/>
        <v>女</v>
      </c>
      <c r="E1789" s="18" t="str">
        <f>"2022014425"</f>
        <v>2022014425</v>
      </c>
      <c r="F1789" s="18">
        <v>93</v>
      </c>
      <c r="G1789" s="18">
        <v>11</v>
      </c>
      <c r="H1789" s="18"/>
      <c r="I1789" s="18" t="s">
        <v>12</v>
      </c>
    </row>
    <row r="1790" s="1" customFormat="1" customHeight="1" spans="1:9">
      <c r="A1790" s="18" t="str">
        <f t="shared" si="156"/>
        <v>B8F</v>
      </c>
      <c r="B1790" s="19" t="s">
        <v>60</v>
      </c>
      <c r="C1790" s="18" t="str">
        <f>"杨时蕊"</f>
        <v>杨时蕊</v>
      </c>
      <c r="D1790" s="18" t="str">
        <f t="shared" si="157"/>
        <v>女</v>
      </c>
      <c r="E1790" s="18" t="str">
        <f>"2022014428"</f>
        <v>2022014428</v>
      </c>
      <c r="F1790" s="18">
        <v>93</v>
      </c>
      <c r="G1790" s="18">
        <v>11</v>
      </c>
      <c r="H1790" s="18"/>
      <c r="I1790" s="18" t="s">
        <v>12</v>
      </c>
    </row>
    <row r="1791" s="1" customFormat="1" customHeight="1" spans="1:9">
      <c r="A1791" s="18" t="str">
        <f t="shared" si="156"/>
        <v>B8F</v>
      </c>
      <c r="B1791" s="19" t="s">
        <v>60</v>
      </c>
      <c r="C1791" s="18" t="str">
        <f>"龙桃欣"</f>
        <v>龙桃欣</v>
      </c>
      <c r="D1791" s="18" t="str">
        <f t="shared" si="157"/>
        <v>女</v>
      </c>
      <c r="E1791" s="18" t="str">
        <f>"2022014431"</f>
        <v>2022014431</v>
      </c>
      <c r="F1791" s="18">
        <v>93</v>
      </c>
      <c r="G1791" s="18">
        <v>11</v>
      </c>
      <c r="H1791" s="18"/>
      <c r="I1791" s="18" t="s">
        <v>12</v>
      </c>
    </row>
    <row r="1792" s="1" customFormat="1" customHeight="1" spans="1:9">
      <c r="A1792" s="18" t="str">
        <f t="shared" si="156"/>
        <v>B8F</v>
      </c>
      <c r="B1792" s="19" t="s">
        <v>60</v>
      </c>
      <c r="C1792" s="18" t="str">
        <f>"周玲"</f>
        <v>周玲</v>
      </c>
      <c r="D1792" s="18" t="str">
        <f t="shared" si="157"/>
        <v>女</v>
      </c>
      <c r="E1792" s="18" t="str">
        <f>"2022014508"</f>
        <v>2022014508</v>
      </c>
      <c r="F1792" s="18">
        <v>93</v>
      </c>
      <c r="G1792" s="18">
        <v>11</v>
      </c>
      <c r="H1792" s="18"/>
      <c r="I1792" s="18" t="s">
        <v>12</v>
      </c>
    </row>
    <row r="1793" s="1" customFormat="1" customHeight="1" spans="1:9">
      <c r="A1793" s="18" t="str">
        <f t="shared" si="156"/>
        <v>B8F</v>
      </c>
      <c r="B1793" s="19" t="s">
        <v>60</v>
      </c>
      <c r="C1793" s="18" t="str">
        <f>"周婧铃"</f>
        <v>周婧铃</v>
      </c>
      <c r="D1793" s="18" t="str">
        <f t="shared" si="157"/>
        <v>女</v>
      </c>
      <c r="E1793" s="18" t="str">
        <f>"2022014513"</f>
        <v>2022014513</v>
      </c>
      <c r="F1793" s="18">
        <v>93</v>
      </c>
      <c r="G1793" s="18">
        <v>11</v>
      </c>
      <c r="H1793" s="18"/>
      <c r="I1793" s="18" t="s">
        <v>12</v>
      </c>
    </row>
    <row r="1794" s="1" customFormat="1" customHeight="1" spans="1:9">
      <c r="A1794" s="18" t="str">
        <f t="shared" si="156"/>
        <v>B8F</v>
      </c>
      <c r="B1794" s="19" t="s">
        <v>60</v>
      </c>
      <c r="C1794" s="18" t="str">
        <f>"戴金珠"</f>
        <v>戴金珠</v>
      </c>
      <c r="D1794" s="18" t="str">
        <f t="shared" si="157"/>
        <v>女</v>
      </c>
      <c r="E1794" s="18" t="str">
        <f>"2022014518"</f>
        <v>2022014518</v>
      </c>
      <c r="F1794" s="18">
        <v>93</v>
      </c>
      <c r="G1794" s="18">
        <v>11</v>
      </c>
      <c r="H1794" s="18"/>
      <c r="I1794" s="18" t="s">
        <v>12</v>
      </c>
    </row>
    <row r="1795" s="1" customFormat="1" customHeight="1" spans="1:9">
      <c r="A1795" s="18" t="str">
        <f t="shared" si="156"/>
        <v>B8F</v>
      </c>
      <c r="B1795" s="19" t="s">
        <v>60</v>
      </c>
      <c r="C1795" s="18" t="str">
        <f>"戴玲"</f>
        <v>戴玲</v>
      </c>
      <c r="D1795" s="18" t="str">
        <f t="shared" si="157"/>
        <v>女</v>
      </c>
      <c r="E1795" s="18" t="str">
        <f>"2022014603"</f>
        <v>2022014603</v>
      </c>
      <c r="F1795" s="18">
        <v>93</v>
      </c>
      <c r="G1795" s="18">
        <v>11</v>
      </c>
      <c r="H1795" s="18"/>
      <c r="I1795" s="18" t="s">
        <v>12</v>
      </c>
    </row>
    <row r="1796" s="1" customFormat="1" customHeight="1" spans="1:9">
      <c r="A1796" s="18" t="str">
        <f t="shared" si="156"/>
        <v>B8F</v>
      </c>
      <c r="B1796" s="19" t="s">
        <v>60</v>
      </c>
      <c r="C1796" s="18" t="str">
        <f>"李聪"</f>
        <v>李聪</v>
      </c>
      <c r="D1796" s="18" t="str">
        <f t="shared" si="157"/>
        <v>女</v>
      </c>
      <c r="E1796" s="18" t="str">
        <f>"2022014426"</f>
        <v>2022014426</v>
      </c>
      <c r="F1796" s="18">
        <v>92</v>
      </c>
      <c r="G1796" s="18">
        <v>18</v>
      </c>
      <c r="H1796" s="18"/>
      <c r="I1796" s="18" t="s">
        <v>12</v>
      </c>
    </row>
    <row r="1797" s="1" customFormat="1" customHeight="1" spans="1:9">
      <c r="A1797" s="18" t="str">
        <f t="shared" si="156"/>
        <v>B8F</v>
      </c>
      <c r="B1797" s="19" t="s">
        <v>60</v>
      </c>
      <c r="C1797" s="18" t="str">
        <f>"匡雯"</f>
        <v>匡雯</v>
      </c>
      <c r="D1797" s="18" t="str">
        <f t="shared" si="157"/>
        <v>女</v>
      </c>
      <c r="E1797" s="18" t="str">
        <f>"2022014504"</f>
        <v>2022014504</v>
      </c>
      <c r="F1797" s="18">
        <v>92</v>
      </c>
      <c r="G1797" s="18">
        <v>18</v>
      </c>
      <c r="H1797" s="18"/>
      <c r="I1797" s="18" t="s">
        <v>12</v>
      </c>
    </row>
    <row r="1798" s="1" customFormat="1" customHeight="1" spans="1:9">
      <c r="A1798" s="18" t="str">
        <f t="shared" si="156"/>
        <v>B8F</v>
      </c>
      <c r="B1798" s="19" t="s">
        <v>60</v>
      </c>
      <c r="C1798" s="18" t="str">
        <f>"杨柳元"</f>
        <v>杨柳元</v>
      </c>
      <c r="D1798" s="18" t="str">
        <f t="shared" si="157"/>
        <v>女</v>
      </c>
      <c r="E1798" s="18" t="str">
        <f>"2022014511"</f>
        <v>2022014511</v>
      </c>
      <c r="F1798" s="18">
        <v>92</v>
      </c>
      <c r="G1798" s="18">
        <v>18</v>
      </c>
      <c r="H1798" s="18"/>
      <c r="I1798" s="18" t="s">
        <v>12</v>
      </c>
    </row>
    <row r="1799" s="1" customFormat="1" customHeight="1" spans="1:9">
      <c r="A1799" s="18" t="str">
        <f t="shared" si="156"/>
        <v>B8F</v>
      </c>
      <c r="B1799" s="19" t="s">
        <v>60</v>
      </c>
      <c r="C1799" s="18" t="str">
        <f>"易能文"</f>
        <v>易能文</v>
      </c>
      <c r="D1799" s="18" t="str">
        <f t="shared" si="157"/>
        <v>女</v>
      </c>
      <c r="E1799" s="18" t="str">
        <f>"2022014522"</f>
        <v>2022014522</v>
      </c>
      <c r="F1799" s="18">
        <v>92</v>
      </c>
      <c r="G1799" s="18">
        <v>18</v>
      </c>
      <c r="H1799" s="18"/>
      <c r="I1799" s="18" t="s">
        <v>12</v>
      </c>
    </row>
    <row r="1800" s="1" customFormat="1" customHeight="1" spans="1:9">
      <c r="A1800" s="18" t="str">
        <f t="shared" si="156"/>
        <v>B8F</v>
      </c>
      <c r="B1800" s="19" t="s">
        <v>60</v>
      </c>
      <c r="C1800" s="18" t="str">
        <f>"梁雅婷"</f>
        <v>梁雅婷</v>
      </c>
      <c r="D1800" s="18" t="str">
        <f t="shared" si="157"/>
        <v>女</v>
      </c>
      <c r="E1800" s="18" t="str">
        <f>"2022014519"</f>
        <v>2022014519</v>
      </c>
      <c r="F1800" s="18">
        <v>91</v>
      </c>
      <c r="G1800" s="18">
        <v>22</v>
      </c>
      <c r="H1800" s="18"/>
      <c r="I1800" s="18" t="s">
        <v>12</v>
      </c>
    </row>
    <row r="1801" s="1" customFormat="1" customHeight="1" spans="1:9">
      <c r="A1801" s="18" t="str">
        <f t="shared" si="156"/>
        <v>B8F</v>
      </c>
      <c r="B1801" s="19" t="s">
        <v>60</v>
      </c>
      <c r="C1801" s="18" t="str">
        <f>"李雨洁"</f>
        <v>李雨洁</v>
      </c>
      <c r="D1801" s="18" t="str">
        <f t="shared" si="157"/>
        <v>女</v>
      </c>
      <c r="E1801" s="18" t="str">
        <f>"2022014602"</f>
        <v>2022014602</v>
      </c>
      <c r="F1801" s="18">
        <v>91</v>
      </c>
      <c r="G1801" s="18">
        <v>22</v>
      </c>
      <c r="H1801" s="18"/>
      <c r="I1801" s="18" t="s">
        <v>12</v>
      </c>
    </row>
    <row r="1802" s="1" customFormat="1" customHeight="1" spans="1:9">
      <c r="A1802" s="18" t="str">
        <f t="shared" si="156"/>
        <v>B8F</v>
      </c>
      <c r="B1802" s="19" t="s">
        <v>60</v>
      </c>
      <c r="C1802" s="18" t="str">
        <f>"兰娟"</f>
        <v>兰娟</v>
      </c>
      <c r="D1802" s="18" t="str">
        <f t="shared" si="157"/>
        <v>女</v>
      </c>
      <c r="E1802" s="18" t="str">
        <f>"2022014616"</f>
        <v>2022014616</v>
      </c>
      <c r="F1802" s="18">
        <v>91</v>
      </c>
      <c r="G1802" s="18">
        <v>22</v>
      </c>
      <c r="H1802" s="18"/>
      <c r="I1802" s="18" t="s">
        <v>12</v>
      </c>
    </row>
    <row r="1803" s="1" customFormat="1" customHeight="1" spans="1:9">
      <c r="A1803" s="18" t="str">
        <f t="shared" si="156"/>
        <v>B8F</v>
      </c>
      <c r="B1803" s="19" t="s">
        <v>60</v>
      </c>
      <c r="C1803" s="18" t="str">
        <f>"周娴"</f>
        <v>周娴</v>
      </c>
      <c r="D1803" s="18" t="str">
        <f t="shared" si="157"/>
        <v>女</v>
      </c>
      <c r="E1803" s="18" t="str">
        <f>"2022014514"</f>
        <v>2022014514</v>
      </c>
      <c r="F1803" s="18">
        <v>90</v>
      </c>
      <c r="G1803" s="18">
        <v>25</v>
      </c>
      <c r="H1803" s="18"/>
      <c r="I1803" s="18" t="s">
        <v>12</v>
      </c>
    </row>
    <row r="1804" s="1" customFormat="1" customHeight="1" spans="1:9">
      <c r="A1804" s="18" t="str">
        <f t="shared" si="156"/>
        <v>B8F</v>
      </c>
      <c r="B1804" s="19" t="s">
        <v>60</v>
      </c>
      <c r="C1804" s="18" t="str">
        <f>"马丽萍"</f>
        <v>马丽萍</v>
      </c>
      <c r="D1804" s="18" t="str">
        <f t="shared" si="157"/>
        <v>女</v>
      </c>
      <c r="E1804" s="18" t="str">
        <f>"2022014516"</f>
        <v>2022014516</v>
      </c>
      <c r="F1804" s="18">
        <v>89</v>
      </c>
      <c r="G1804" s="18">
        <v>26</v>
      </c>
      <c r="H1804" s="18"/>
      <c r="I1804" s="18" t="s">
        <v>12</v>
      </c>
    </row>
    <row r="1805" s="1" customFormat="1" customHeight="1" spans="1:9">
      <c r="A1805" s="18" t="str">
        <f t="shared" si="156"/>
        <v>B8F</v>
      </c>
      <c r="B1805" s="19" t="s">
        <v>60</v>
      </c>
      <c r="C1805" s="18" t="str">
        <f>"戴钰妮"</f>
        <v>戴钰妮</v>
      </c>
      <c r="D1805" s="18" t="str">
        <f t="shared" si="157"/>
        <v>女</v>
      </c>
      <c r="E1805" s="18" t="str">
        <f>"2022014604"</f>
        <v>2022014604</v>
      </c>
      <c r="F1805" s="18">
        <v>89</v>
      </c>
      <c r="G1805" s="18">
        <v>26</v>
      </c>
      <c r="H1805" s="18"/>
      <c r="I1805" s="18" t="s">
        <v>12</v>
      </c>
    </row>
    <row r="1806" s="1" customFormat="1" customHeight="1" spans="1:9">
      <c r="A1806" s="18" t="str">
        <f t="shared" si="156"/>
        <v>B8F</v>
      </c>
      <c r="B1806" s="19" t="s">
        <v>60</v>
      </c>
      <c r="C1806" s="18" t="str">
        <f>"肖菲菲"</f>
        <v>肖菲菲</v>
      </c>
      <c r="D1806" s="18" t="str">
        <f t="shared" si="157"/>
        <v>女</v>
      </c>
      <c r="E1806" s="18" t="str">
        <f>"2022014609"</f>
        <v>2022014609</v>
      </c>
      <c r="F1806" s="18">
        <v>89</v>
      </c>
      <c r="G1806" s="18">
        <v>26</v>
      </c>
      <c r="H1806" s="18"/>
      <c r="I1806" s="18" t="s">
        <v>12</v>
      </c>
    </row>
    <row r="1807" s="1" customFormat="1" customHeight="1" spans="1:9">
      <c r="A1807" s="18" t="str">
        <f t="shared" si="156"/>
        <v>B8F</v>
      </c>
      <c r="B1807" s="19" t="s">
        <v>60</v>
      </c>
      <c r="C1807" s="18" t="str">
        <f>"刘雨晴"</f>
        <v>刘雨晴</v>
      </c>
      <c r="D1807" s="18" t="str">
        <f t="shared" si="157"/>
        <v>女</v>
      </c>
      <c r="E1807" s="18" t="str">
        <f>"2022014420"</f>
        <v>2022014420</v>
      </c>
      <c r="F1807" s="18">
        <v>88</v>
      </c>
      <c r="G1807" s="18">
        <v>29</v>
      </c>
      <c r="H1807" s="18"/>
      <c r="I1807" s="18" t="s">
        <v>12</v>
      </c>
    </row>
    <row r="1808" s="1" customFormat="1" customHeight="1" spans="1:9">
      <c r="A1808" s="18" t="str">
        <f t="shared" si="156"/>
        <v>B8F</v>
      </c>
      <c r="B1808" s="19" t="s">
        <v>60</v>
      </c>
      <c r="C1808" s="18" t="str">
        <f>"陈琦"</f>
        <v>陈琦</v>
      </c>
      <c r="D1808" s="18" t="str">
        <f t="shared" si="157"/>
        <v>女</v>
      </c>
      <c r="E1808" s="18" t="str">
        <f>"2022014433"</f>
        <v>2022014433</v>
      </c>
      <c r="F1808" s="18">
        <v>88</v>
      </c>
      <c r="G1808" s="18">
        <v>29</v>
      </c>
      <c r="H1808" s="18"/>
      <c r="I1808" s="18" t="s">
        <v>12</v>
      </c>
    </row>
    <row r="1809" s="1" customFormat="1" customHeight="1" spans="1:9">
      <c r="A1809" s="18" t="str">
        <f t="shared" si="156"/>
        <v>B8F</v>
      </c>
      <c r="B1809" s="19" t="s">
        <v>60</v>
      </c>
      <c r="C1809" s="18" t="str">
        <f>"彭红"</f>
        <v>彭红</v>
      </c>
      <c r="D1809" s="18" t="str">
        <f t="shared" si="157"/>
        <v>女</v>
      </c>
      <c r="E1809" s="18" t="str">
        <f>"2022014506"</f>
        <v>2022014506</v>
      </c>
      <c r="F1809" s="18">
        <v>88</v>
      </c>
      <c r="G1809" s="18">
        <v>29</v>
      </c>
      <c r="H1809" s="18"/>
      <c r="I1809" s="18" t="s">
        <v>12</v>
      </c>
    </row>
    <row r="1810" s="1" customFormat="1" customHeight="1" spans="1:9">
      <c r="A1810" s="18" t="str">
        <f t="shared" si="156"/>
        <v>B8F</v>
      </c>
      <c r="B1810" s="19" t="s">
        <v>60</v>
      </c>
      <c r="C1810" s="18" t="str">
        <f>"杨园"</f>
        <v>杨园</v>
      </c>
      <c r="D1810" s="18" t="str">
        <f t="shared" si="157"/>
        <v>女</v>
      </c>
      <c r="E1810" s="18" t="str">
        <f>"2022014524"</f>
        <v>2022014524</v>
      </c>
      <c r="F1810" s="18">
        <v>88</v>
      </c>
      <c r="G1810" s="18">
        <v>29</v>
      </c>
      <c r="H1810" s="18"/>
      <c r="I1810" s="18" t="s">
        <v>12</v>
      </c>
    </row>
    <row r="1811" s="1" customFormat="1" customHeight="1" spans="1:9">
      <c r="A1811" s="18" t="str">
        <f t="shared" si="156"/>
        <v>B8F</v>
      </c>
      <c r="B1811" s="19" t="s">
        <v>60</v>
      </c>
      <c r="C1811" s="18" t="str">
        <f>"曾玉玲"</f>
        <v>曾玉玲</v>
      </c>
      <c r="D1811" s="18" t="str">
        <f t="shared" si="157"/>
        <v>女</v>
      </c>
      <c r="E1811" s="18" t="str">
        <f>"2022014615"</f>
        <v>2022014615</v>
      </c>
      <c r="F1811" s="18">
        <v>88</v>
      </c>
      <c r="G1811" s="18">
        <v>29</v>
      </c>
      <c r="H1811" s="18"/>
      <c r="I1811" s="18" t="s">
        <v>12</v>
      </c>
    </row>
    <row r="1812" s="1" customFormat="1" customHeight="1" spans="1:9">
      <c r="A1812" s="18" t="str">
        <f t="shared" si="156"/>
        <v>B8F</v>
      </c>
      <c r="B1812" s="19" t="s">
        <v>60</v>
      </c>
      <c r="C1812" s="18" t="str">
        <f>"熊永青"</f>
        <v>熊永青</v>
      </c>
      <c r="D1812" s="18" t="str">
        <f t="shared" si="157"/>
        <v>女</v>
      </c>
      <c r="E1812" s="18" t="str">
        <f>"2022014531"</f>
        <v>2022014531</v>
      </c>
      <c r="F1812" s="18">
        <v>87</v>
      </c>
      <c r="G1812" s="18">
        <v>34</v>
      </c>
      <c r="H1812" s="18"/>
      <c r="I1812" s="18" t="s">
        <v>12</v>
      </c>
    </row>
    <row r="1813" s="1" customFormat="1" customHeight="1" spans="1:9">
      <c r="A1813" s="18" t="str">
        <f t="shared" si="156"/>
        <v>B8F</v>
      </c>
      <c r="B1813" s="19" t="s">
        <v>60</v>
      </c>
      <c r="C1813" s="18" t="str">
        <f>"刘丽萍"</f>
        <v>刘丽萍</v>
      </c>
      <c r="D1813" s="18" t="str">
        <f t="shared" si="157"/>
        <v>女</v>
      </c>
      <c r="E1813" s="18" t="str">
        <f>"2022014429"</f>
        <v>2022014429</v>
      </c>
      <c r="F1813" s="18">
        <v>86</v>
      </c>
      <c r="G1813" s="18">
        <v>35</v>
      </c>
      <c r="H1813" s="18"/>
      <c r="I1813" s="18" t="s">
        <v>12</v>
      </c>
    </row>
    <row r="1814" s="1" customFormat="1" customHeight="1" spans="1:9">
      <c r="A1814" s="18" t="str">
        <f t="shared" si="156"/>
        <v>B8F</v>
      </c>
      <c r="B1814" s="19" t="s">
        <v>60</v>
      </c>
      <c r="C1814" s="18" t="str">
        <f>"罗婷"</f>
        <v>罗婷</v>
      </c>
      <c r="D1814" s="18" t="str">
        <f t="shared" si="157"/>
        <v>女</v>
      </c>
      <c r="E1814" s="18" t="str">
        <f>"2022014502"</f>
        <v>2022014502</v>
      </c>
      <c r="F1814" s="18">
        <v>86</v>
      </c>
      <c r="G1814" s="18">
        <v>35</v>
      </c>
      <c r="H1814" s="18"/>
      <c r="I1814" s="18" t="s">
        <v>12</v>
      </c>
    </row>
    <row r="1815" s="1" customFormat="1" customHeight="1" spans="1:9">
      <c r="A1815" s="18" t="str">
        <f t="shared" si="156"/>
        <v>B8F</v>
      </c>
      <c r="B1815" s="19" t="s">
        <v>60</v>
      </c>
      <c r="C1815" s="18" t="str">
        <f>"陈雨微"</f>
        <v>陈雨微</v>
      </c>
      <c r="D1815" s="18" t="str">
        <f t="shared" si="157"/>
        <v>女</v>
      </c>
      <c r="E1815" s="18" t="str">
        <f>"2022014529"</f>
        <v>2022014529</v>
      </c>
      <c r="F1815" s="18">
        <v>86</v>
      </c>
      <c r="G1815" s="18">
        <v>35</v>
      </c>
      <c r="H1815" s="18"/>
      <c r="I1815" s="18" t="s">
        <v>12</v>
      </c>
    </row>
    <row r="1816" s="1" customFormat="1" customHeight="1" spans="1:9">
      <c r="A1816" s="18" t="str">
        <f t="shared" si="156"/>
        <v>B8F</v>
      </c>
      <c r="B1816" s="19" t="s">
        <v>60</v>
      </c>
      <c r="C1816" s="18" t="str">
        <f>"周菁"</f>
        <v>周菁</v>
      </c>
      <c r="D1816" s="18" t="str">
        <f t="shared" si="157"/>
        <v>女</v>
      </c>
      <c r="E1816" s="18" t="str">
        <f>"2022014421"</f>
        <v>2022014421</v>
      </c>
      <c r="F1816" s="18">
        <v>84</v>
      </c>
      <c r="G1816" s="18">
        <v>38</v>
      </c>
      <c r="H1816" s="18"/>
      <c r="I1816" s="18" t="s">
        <v>12</v>
      </c>
    </row>
    <row r="1817" s="1" customFormat="1" customHeight="1" spans="1:9">
      <c r="A1817" s="18" t="str">
        <f t="shared" si="156"/>
        <v>B8F</v>
      </c>
      <c r="B1817" s="19" t="s">
        <v>60</v>
      </c>
      <c r="C1817" s="18" t="str">
        <f>"唐洁"</f>
        <v>唐洁</v>
      </c>
      <c r="D1817" s="18" t="str">
        <f t="shared" si="157"/>
        <v>女</v>
      </c>
      <c r="E1817" s="18" t="str">
        <f>"2022014424"</f>
        <v>2022014424</v>
      </c>
      <c r="F1817" s="18">
        <v>84</v>
      </c>
      <c r="G1817" s="18">
        <v>38</v>
      </c>
      <c r="H1817" s="18"/>
      <c r="I1817" s="18" t="s">
        <v>12</v>
      </c>
    </row>
    <row r="1818" s="1" customFormat="1" customHeight="1" spans="1:9">
      <c r="A1818" s="18" t="str">
        <f t="shared" si="156"/>
        <v>B8F</v>
      </c>
      <c r="B1818" s="19" t="s">
        <v>60</v>
      </c>
      <c r="C1818" s="18" t="str">
        <f>"刘林凤"</f>
        <v>刘林凤</v>
      </c>
      <c r="D1818" s="18" t="str">
        <f t="shared" si="157"/>
        <v>女</v>
      </c>
      <c r="E1818" s="18" t="str">
        <f>"2022014527"</f>
        <v>2022014527</v>
      </c>
      <c r="F1818" s="18">
        <v>84</v>
      </c>
      <c r="G1818" s="18">
        <v>38</v>
      </c>
      <c r="H1818" s="18"/>
      <c r="I1818" s="18" t="s">
        <v>12</v>
      </c>
    </row>
    <row r="1819" s="1" customFormat="1" customHeight="1" spans="1:9">
      <c r="A1819" s="18" t="str">
        <f t="shared" si="156"/>
        <v>B8F</v>
      </c>
      <c r="B1819" s="19" t="s">
        <v>60</v>
      </c>
      <c r="C1819" s="18" t="str">
        <f>"刘叶林"</f>
        <v>刘叶林</v>
      </c>
      <c r="D1819" s="18" t="str">
        <f t="shared" si="157"/>
        <v>女</v>
      </c>
      <c r="E1819" s="18" t="str">
        <f>"2022014530"</f>
        <v>2022014530</v>
      </c>
      <c r="F1819" s="18">
        <v>84</v>
      </c>
      <c r="G1819" s="18">
        <v>38</v>
      </c>
      <c r="H1819" s="18"/>
      <c r="I1819" s="18" t="s">
        <v>12</v>
      </c>
    </row>
    <row r="1820" s="1" customFormat="1" customHeight="1" spans="1:9">
      <c r="A1820" s="18" t="str">
        <f t="shared" si="156"/>
        <v>B8F</v>
      </c>
      <c r="B1820" s="19" t="s">
        <v>60</v>
      </c>
      <c r="C1820" s="18" t="str">
        <f>"兰仙湖"</f>
        <v>兰仙湖</v>
      </c>
      <c r="D1820" s="18" t="str">
        <f t="shared" si="157"/>
        <v>女</v>
      </c>
      <c r="E1820" s="18" t="str">
        <f>"2022014509"</f>
        <v>2022014509</v>
      </c>
      <c r="F1820" s="18">
        <v>82</v>
      </c>
      <c r="G1820" s="18">
        <v>42</v>
      </c>
      <c r="H1820" s="18"/>
      <c r="I1820" s="18" t="s">
        <v>12</v>
      </c>
    </row>
    <row r="1821" s="1" customFormat="1" customHeight="1" spans="1:9">
      <c r="A1821" s="18" t="str">
        <f t="shared" si="156"/>
        <v>B8F</v>
      </c>
      <c r="B1821" s="19" t="s">
        <v>60</v>
      </c>
      <c r="C1821" s="18" t="str">
        <f>"刘金叶"</f>
        <v>刘金叶</v>
      </c>
      <c r="D1821" s="18" t="str">
        <f t="shared" si="157"/>
        <v>女</v>
      </c>
      <c r="E1821" s="18" t="str">
        <f>"2022014512"</f>
        <v>2022014512</v>
      </c>
      <c r="F1821" s="18">
        <v>82</v>
      </c>
      <c r="G1821" s="18">
        <v>42</v>
      </c>
      <c r="H1821" s="18"/>
      <c r="I1821" s="18" t="s">
        <v>12</v>
      </c>
    </row>
    <row r="1822" s="1" customFormat="1" customHeight="1" spans="1:9">
      <c r="A1822" s="18" t="str">
        <f t="shared" si="156"/>
        <v>B8F</v>
      </c>
      <c r="B1822" s="19" t="s">
        <v>60</v>
      </c>
      <c r="C1822" s="18" t="str">
        <f>"陈佩鑫"</f>
        <v>陈佩鑫</v>
      </c>
      <c r="D1822" s="18" t="str">
        <f t="shared" si="157"/>
        <v>女</v>
      </c>
      <c r="E1822" s="18" t="str">
        <f>"2022014532"</f>
        <v>2022014532</v>
      </c>
      <c r="F1822" s="18">
        <v>81</v>
      </c>
      <c r="G1822" s="18">
        <v>44</v>
      </c>
      <c r="H1822" s="18"/>
      <c r="I1822" s="18" t="s">
        <v>12</v>
      </c>
    </row>
    <row r="1823" s="1" customFormat="1" customHeight="1" spans="1:9">
      <c r="A1823" s="18" t="str">
        <f t="shared" si="156"/>
        <v>B8F</v>
      </c>
      <c r="B1823" s="19" t="s">
        <v>60</v>
      </c>
      <c r="C1823" s="18" t="str">
        <f>"林娟"</f>
        <v>林娟</v>
      </c>
      <c r="D1823" s="18" t="str">
        <f t="shared" si="157"/>
        <v>女</v>
      </c>
      <c r="E1823" s="18" t="str">
        <f>"2022014533"</f>
        <v>2022014533</v>
      </c>
      <c r="F1823" s="18">
        <v>81</v>
      </c>
      <c r="G1823" s="18">
        <v>44</v>
      </c>
      <c r="H1823" s="18"/>
      <c r="I1823" s="18" t="s">
        <v>12</v>
      </c>
    </row>
    <row r="1824" s="1" customFormat="1" customHeight="1" spans="1:9">
      <c r="A1824" s="18" t="str">
        <f t="shared" si="156"/>
        <v>B8F</v>
      </c>
      <c r="B1824" s="19" t="s">
        <v>60</v>
      </c>
      <c r="C1824" s="18" t="str">
        <f>"付金辉"</f>
        <v>付金辉</v>
      </c>
      <c r="D1824" s="18" t="str">
        <f t="shared" si="157"/>
        <v>女</v>
      </c>
      <c r="E1824" s="18" t="str">
        <f>"2022014503"</f>
        <v>2022014503</v>
      </c>
      <c r="F1824" s="18">
        <v>74</v>
      </c>
      <c r="G1824" s="18">
        <v>46</v>
      </c>
      <c r="H1824" s="18"/>
      <c r="I1824" s="18" t="s">
        <v>12</v>
      </c>
    </row>
    <row r="1825" s="1" customFormat="1" customHeight="1" spans="1:9">
      <c r="A1825" s="18" t="str">
        <f t="shared" si="156"/>
        <v>B8F</v>
      </c>
      <c r="B1825" s="19" t="s">
        <v>60</v>
      </c>
      <c r="C1825" s="18" t="str">
        <f>"王娟"</f>
        <v>王娟</v>
      </c>
      <c r="D1825" s="18" t="str">
        <f t="shared" si="157"/>
        <v>女</v>
      </c>
      <c r="E1825" s="18" t="str">
        <f>"2022014510"</f>
        <v>2022014510</v>
      </c>
      <c r="F1825" s="18">
        <v>63</v>
      </c>
      <c r="G1825" s="18">
        <v>47</v>
      </c>
      <c r="H1825" s="18"/>
      <c r="I1825" s="18" t="s">
        <v>12</v>
      </c>
    </row>
    <row r="1826" s="1" customFormat="1" customHeight="1" spans="1:9">
      <c r="A1826" s="18" t="str">
        <f t="shared" si="156"/>
        <v>B8F</v>
      </c>
      <c r="B1826" s="19" t="s">
        <v>60</v>
      </c>
      <c r="C1826" s="18" t="str">
        <f>"朱玲平"</f>
        <v>朱玲平</v>
      </c>
      <c r="D1826" s="18" t="str">
        <f t="shared" si="157"/>
        <v>女</v>
      </c>
      <c r="E1826" s="18" t="str">
        <f>"2022014422"</f>
        <v>2022014422</v>
      </c>
      <c r="F1826" s="18">
        <v>0</v>
      </c>
      <c r="G1826" s="18">
        <v>48</v>
      </c>
      <c r="H1826" s="18" t="s">
        <v>13</v>
      </c>
      <c r="I1826" s="18" t="s">
        <v>12</v>
      </c>
    </row>
    <row r="1827" s="1" customFormat="1" customHeight="1" spans="1:9">
      <c r="A1827" s="18" t="str">
        <f t="shared" si="156"/>
        <v>B8F</v>
      </c>
      <c r="B1827" s="19" t="s">
        <v>60</v>
      </c>
      <c r="C1827" s="18" t="str">
        <f>"谢盈"</f>
        <v>谢盈</v>
      </c>
      <c r="D1827" s="18" t="str">
        <f t="shared" si="157"/>
        <v>女</v>
      </c>
      <c r="E1827" s="18" t="str">
        <f>"2022014423"</f>
        <v>2022014423</v>
      </c>
      <c r="F1827" s="18">
        <v>0</v>
      </c>
      <c r="G1827" s="18">
        <v>48</v>
      </c>
      <c r="H1827" s="18" t="s">
        <v>13</v>
      </c>
      <c r="I1827" s="18" t="s">
        <v>12</v>
      </c>
    </row>
    <row r="1828" s="1" customFormat="1" customHeight="1" spans="1:9">
      <c r="A1828" s="18" t="str">
        <f t="shared" si="156"/>
        <v>B8F</v>
      </c>
      <c r="B1828" s="19" t="s">
        <v>60</v>
      </c>
      <c r="C1828" s="18" t="str">
        <f>"刘其意"</f>
        <v>刘其意</v>
      </c>
      <c r="D1828" s="18" t="str">
        <f t="shared" si="157"/>
        <v>女</v>
      </c>
      <c r="E1828" s="18" t="str">
        <f>"2022014427"</f>
        <v>2022014427</v>
      </c>
      <c r="F1828" s="18">
        <v>0</v>
      </c>
      <c r="G1828" s="18">
        <v>48</v>
      </c>
      <c r="H1828" s="18" t="s">
        <v>13</v>
      </c>
      <c r="I1828" s="18" t="s">
        <v>12</v>
      </c>
    </row>
    <row r="1829" s="1" customFormat="1" customHeight="1" spans="1:9">
      <c r="A1829" s="18" t="str">
        <f t="shared" si="156"/>
        <v>B8F</v>
      </c>
      <c r="B1829" s="19" t="s">
        <v>60</v>
      </c>
      <c r="C1829" s="18" t="str">
        <f>"黄迎"</f>
        <v>黄迎</v>
      </c>
      <c r="D1829" s="18" t="str">
        <f t="shared" si="157"/>
        <v>女</v>
      </c>
      <c r="E1829" s="18" t="str">
        <f>"2022014430"</f>
        <v>2022014430</v>
      </c>
      <c r="F1829" s="18">
        <v>0</v>
      </c>
      <c r="G1829" s="18">
        <v>48</v>
      </c>
      <c r="H1829" s="18" t="s">
        <v>13</v>
      </c>
      <c r="I1829" s="18" t="s">
        <v>12</v>
      </c>
    </row>
    <row r="1830" s="1" customFormat="1" customHeight="1" spans="1:9">
      <c r="A1830" s="18" t="str">
        <f t="shared" si="156"/>
        <v>B8F</v>
      </c>
      <c r="B1830" s="19" t="s">
        <v>60</v>
      </c>
      <c r="C1830" s="18" t="str">
        <f>"冉甜"</f>
        <v>冉甜</v>
      </c>
      <c r="D1830" s="18" t="str">
        <f t="shared" si="157"/>
        <v>女</v>
      </c>
      <c r="E1830" s="18" t="str">
        <f>"2022014432"</f>
        <v>2022014432</v>
      </c>
      <c r="F1830" s="18">
        <v>0</v>
      </c>
      <c r="G1830" s="18">
        <v>48</v>
      </c>
      <c r="H1830" s="18" t="s">
        <v>13</v>
      </c>
      <c r="I1830" s="18" t="s">
        <v>12</v>
      </c>
    </row>
    <row r="1831" s="1" customFormat="1" customHeight="1" spans="1:9">
      <c r="A1831" s="18" t="str">
        <f t="shared" si="156"/>
        <v>B8F</v>
      </c>
      <c r="B1831" s="19" t="s">
        <v>60</v>
      </c>
      <c r="C1831" s="18" t="str">
        <f>"陈爽"</f>
        <v>陈爽</v>
      </c>
      <c r="D1831" s="18" t="str">
        <f t="shared" si="157"/>
        <v>女</v>
      </c>
      <c r="E1831" s="18" t="str">
        <f>"2022014501"</f>
        <v>2022014501</v>
      </c>
      <c r="F1831" s="18">
        <v>0</v>
      </c>
      <c r="G1831" s="18">
        <v>48</v>
      </c>
      <c r="H1831" s="18" t="s">
        <v>13</v>
      </c>
      <c r="I1831" s="18" t="s">
        <v>12</v>
      </c>
    </row>
    <row r="1832" s="1" customFormat="1" customHeight="1" spans="1:9">
      <c r="A1832" s="18" t="str">
        <f t="shared" si="156"/>
        <v>B8F</v>
      </c>
      <c r="B1832" s="19" t="s">
        <v>60</v>
      </c>
      <c r="C1832" s="18" t="str">
        <f>"周梦宁"</f>
        <v>周梦宁</v>
      </c>
      <c r="D1832" s="18" t="str">
        <f t="shared" si="157"/>
        <v>女</v>
      </c>
      <c r="E1832" s="18" t="str">
        <f>"2022014505"</f>
        <v>2022014505</v>
      </c>
      <c r="F1832" s="18">
        <v>0</v>
      </c>
      <c r="G1832" s="18">
        <v>48</v>
      </c>
      <c r="H1832" s="18" t="s">
        <v>13</v>
      </c>
      <c r="I1832" s="18" t="s">
        <v>12</v>
      </c>
    </row>
    <row r="1833" s="1" customFormat="1" customHeight="1" spans="1:9">
      <c r="A1833" s="18" t="str">
        <f t="shared" si="156"/>
        <v>B8F</v>
      </c>
      <c r="B1833" s="19" t="s">
        <v>60</v>
      </c>
      <c r="C1833" s="18" t="str">
        <f>"伍东芳"</f>
        <v>伍东芳</v>
      </c>
      <c r="D1833" s="18" t="str">
        <f t="shared" si="157"/>
        <v>女</v>
      </c>
      <c r="E1833" s="18" t="str">
        <f>"2022014507"</f>
        <v>2022014507</v>
      </c>
      <c r="F1833" s="18">
        <v>0</v>
      </c>
      <c r="G1833" s="18">
        <v>48</v>
      </c>
      <c r="H1833" s="18" t="s">
        <v>13</v>
      </c>
      <c r="I1833" s="18" t="s">
        <v>12</v>
      </c>
    </row>
    <row r="1834" s="1" customFormat="1" customHeight="1" spans="1:9">
      <c r="A1834" s="18" t="str">
        <f t="shared" si="156"/>
        <v>B8F</v>
      </c>
      <c r="B1834" s="19" t="s">
        <v>60</v>
      </c>
      <c r="C1834" s="18" t="str">
        <f>"付奇彩"</f>
        <v>付奇彩</v>
      </c>
      <c r="D1834" s="18" t="str">
        <f t="shared" si="157"/>
        <v>女</v>
      </c>
      <c r="E1834" s="18" t="str">
        <f>"2022014517"</f>
        <v>2022014517</v>
      </c>
      <c r="F1834" s="18">
        <v>0</v>
      </c>
      <c r="G1834" s="18">
        <v>48</v>
      </c>
      <c r="H1834" s="18" t="s">
        <v>13</v>
      </c>
      <c r="I1834" s="18" t="s">
        <v>12</v>
      </c>
    </row>
    <row r="1835" s="1" customFormat="1" customHeight="1" spans="1:9">
      <c r="A1835" s="18" t="str">
        <f t="shared" si="156"/>
        <v>B8F</v>
      </c>
      <c r="B1835" s="19" t="s">
        <v>60</v>
      </c>
      <c r="C1835" s="18" t="str">
        <f>"罗海红"</f>
        <v>罗海红</v>
      </c>
      <c r="D1835" s="18" t="str">
        <f t="shared" si="157"/>
        <v>女</v>
      </c>
      <c r="E1835" s="18" t="str">
        <f>"2022014525"</f>
        <v>2022014525</v>
      </c>
      <c r="F1835" s="18">
        <v>0</v>
      </c>
      <c r="G1835" s="18">
        <v>48</v>
      </c>
      <c r="H1835" s="18" t="s">
        <v>13</v>
      </c>
      <c r="I1835" s="18" t="s">
        <v>12</v>
      </c>
    </row>
    <row r="1836" s="1" customFormat="1" customHeight="1" spans="1:9">
      <c r="A1836" s="18" t="str">
        <f t="shared" si="156"/>
        <v>B8F</v>
      </c>
      <c r="B1836" s="19" t="s">
        <v>60</v>
      </c>
      <c r="C1836" s="18" t="str">
        <f>"周莎"</f>
        <v>周莎</v>
      </c>
      <c r="D1836" s="18" t="str">
        <f t="shared" si="157"/>
        <v>女</v>
      </c>
      <c r="E1836" s="18" t="str">
        <f>"2022014526"</f>
        <v>2022014526</v>
      </c>
      <c r="F1836" s="18">
        <v>0</v>
      </c>
      <c r="G1836" s="18">
        <v>48</v>
      </c>
      <c r="H1836" s="18" t="s">
        <v>13</v>
      </c>
      <c r="I1836" s="18" t="s">
        <v>12</v>
      </c>
    </row>
    <row r="1837" s="1" customFormat="1" customHeight="1" spans="1:9">
      <c r="A1837" s="18" t="str">
        <f t="shared" si="156"/>
        <v>B8F</v>
      </c>
      <c r="B1837" s="19" t="s">
        <v>60</v>
      </c>
      <c r="C1837" s="18" t="str">
        <f>"吴妍珏"</f>
        <v>吴妍珏</v>
      </c>
      <c r="D1837" s="18" t="str">
        <f t="shared" si="157"/>
        <v>女</v>
      </c>
      <c r="E1837" s="18" t="str">
        <f>"2022014528"</f>
        <v>2022014528</v>
      </c>
      <c r="F1837" s="18">
        <v>0</v>
      </c>
      <c r="G1837" s="18">
        <v>48</v>
      </c>
      <c r="H1837" s="18" t="s">
        <v>13</v>
      </c>
      <c r="I1837" s="18" t="s">
        <v>12</v>
      </c>
    </row>
    <row r="1838" s="1" customFormat="1" customHeight="1" spans="1:9">
      <c r="A1838" s="18" t="str">
        <f t="shared" si="156"/>
        <v>B8F</v>
      </c>
      <c r="B1838" s="19" t="s">
        <v>60</v>
      </c>
      <c r="C1838" s="18" t="str">
        <f>"李雪梅"</f>
        <v>李雪梅</v>
      </c>
      <c r="D1838" s="18" t="str">
        <f t="shared" si="157"/>
        <v>女</v>
      </c>
      <c r="E1838" s="18" t="str">
        <f>"2022014601"</f>
        <v>2022014601</v>
      </c>
      <c r="F1838" s="18">
        <v>0</v>
      </c>
      <c r="G1838" s="18">
        <v>48</v>
      </c>
      <c r="H1838" s="18" t="s">
        <v>13</v>
      </c>
      <c r="I1838" s="18" t="s">
        <v>12</v>
      </c>
    </row>
    <row r="1839" s="1" customFormat="1" customHeight="1" spans="1:9">
      <c r="A1839" s="18" t="str">
        <f t="shared" si="156"/>
        <v>B8F</v>
      </c>
      <c r="B1839" s="19" t="s">
        <v>60</v>
      </c>
      <c r="C1839" s="18" t="str">
        <f>"张雪坤"</f>
        <v>张雪坤</v>
      </c>
      <c r="D1839" s="18" t="str">
        <f t="shared" si="157"/>
        <v>女</v>
      </c>
      <c r="E1839" s="18" t="str">
        <f>"2022014606"</f>
        <v>2022014606</v>
      </c>
      <c r="F1839" s="18">
        <v>0</v>
      </c>
      <c r="G1839" s="18">
        <v>48</v>
      </c>
      <c r="H1839" s="18" t="s">
        <v>13</v>
      </c>
      <c r="I1839" s="18" t="s">
        <v>12</v>
      </c>
    </row>
    <row r="1840" s="1" customFormat="1" customHeight="1" spans="1:9">
      <c r="A1840" s="18" t="str">
        <f t="shared" si="156"/>
        <v>B8F</v>
      </c>
      <c r="B1840" s="19" t="s">
        <v>60</v>
      </c>
      <c r="C1840" s="18" t="str">
        <f>"艾蓉"</f>
        <v>艾蓉</v>
      </c>
      <c r="D1840" s="18" t="str">
        <f t="shared" si="157"/>
        <v>女</v>
      </c>
      <c r="E1840" s="18" t="str">
        <f>"2022014611"</f>
        <v>2022014611</v>
      </c>
      <c r="F1840" s="18">
        <v>0</v>
      </c>
      <c r="G1840" s="18">
        <v>48</v>
      </c>
      <c r="H1840" s="18" t="s">
        <v>13</v>
      </c>
      <c r="I1840" s="18" t="s">
        <v>12</v>
      </c>
    </row>
    <row r="1841" s="1" customFormat="1" customHeight="1" spans="1:9">
      <c r="A1841" s="18" t="str">
        <f t="shared" si="156"/>
        <v>B8F</v>
      </c>
      <c r="B1841" s="19" t="s">
        <v>60</v>
      </c>
      <c r="C1841" s="18" t="str">
        <f>"邓娟"</f>
        <v>邓娟</v>
      </c>
      <c r="D1841" s="18" t="str">
        <f t="shared" si="157"/>
        <v>女</v>
      </c>
      <c r="E1841" s="18" t="str">
        <f>"2022014612"</f>
        <v>2022014612</v>
      </c>
      <c r="F1841" s="18">
        <v>0</v>
      </c>
      <c r="G1841" s="18">
        <v>48</v>
      </c>
      <c r="H1841" s="18" t="s">
        <v>13</v>
      </c>
      <c r="I1841" s="18" t="s">
        <v>12</v>
      </c>
    </row>
    <row r="1842" s="1" customFormat="1" customHeight="1" spans="1:9">
      <c r="A1842" s="18" t="str">
        <f t="shared" si="156"/>
        <v>B8F</v>
      </c>
      <c r="B1842" s="19" t="s">
        <v>60</v>
      </c>
      <c r="C1842" s="18" t="str">
        <f>"罗湘丽"</f>
        <v>罗湘丽</v>
      </c>
      <c r="D1842" s="18" t="str">
        <f t="shared" si="157"/>
        <v>女</v>
      </c>
      <c r="E1842" s="18" t="str">
        <f>"2022014613"</f>
        <v>2022014613</v>
      </c>
      <c r="F1842" s="18">
        <v>0</v>
      </c>
      <c r="G1842" s="18">
        <v>48</v>
      </c>
      <c r="H1842" s="18" t="s">
        <v>13</v>
      </c>
      <c r="I1842" s="18" t="s">
        <v>12</v>
      </c>
    </row>
    <row r="1843" s="1" customFormat="1" customHeight="1" spans="1:9">
      <c r="A1843" s="18" t="str">
        <f t="shared" ref="A1843:A1892" si="158">"B8G"</f>
        <v>B8G</v>
      </c>
      <c r="B1843" s="19" t="s">
        <v>61</v>
      </c>
      <c r="C1843" s="18" t="str">
        <f>"夏素华"</f>
        <v>夏素华</v>
      </c>
      <c r="D1843" s="18" t="str">
        <f t="shared" ref="D1843:D1893" si="159">"女"</f>
        <v>女</v>
      </c>
      <c r="E1843" s="18" t="str">
        <f>"2022014725"</f>
        <v>2022014725</v>
      </c>
      <c r="F1843" s="18">
        <v>97</v>
      </c>
      <c r="G1843" s="18">
        <v>1</v>
      </c>
      <c r="H1843" s="18"/>
      <c r="I1843" s="28" t="s">
        <v>11</v>
      </c>
    </row>
    <row r="1844" s="1" customFormat="1" customHeight="1" spans="1:9">
      <c r="A1844" s="18" t="str">
        <f t="shared" si="158"/>
        <v>B8G</v>
      </c>
      <c r="B1844" s="19" t="s">
        <v>61</v>
      </c>
      <c r="C1844" s="18" t="str">
        <f>"于宗水"</f>
        <v>于宗水</v>
      </c>
      <c r="D1844" s="18" t="str">
        <f t="shared" si="159"/>
        <v>女</v>
      </c>
      <c r="E1844" s="18" t="str">
        <f>"2022014711"</f>
        <v>2022014711</v>
      </c>
      <c r="F1844" s="18">
        <v>96</v>
      </c>
      <c r="G1844" s="18">
        <v>2</v>
      </c>
      <c r="H1844" s="18"/>
      <c r="I1844" s="28" t="s">
        <v>11</v>
      </c>
    </row>
    <row r="1845" s="1" customFormat="1" customHeight="1" spans="1:9">
      <c r="A1845" s="18" t="str">
        <f t="shared" si="158"/>
        <v>B8G</v>
      </c>
      <c r="B1845" s="19" t="s">
        <v>61</v>
      </c>
      <c r="C1845" s="18" t="str">
        <f>"唐君"</f>
        <v>唐君</v>
      </c>
      <c r="D1845" s="18" t="str">
        <f t="shared" si="159"/>
        <v>女</v>
      </c>
      <c r="E1845" s="18" t="str">
        <f>"2022014722"</f>
        <v>2022014722</v>
      </c>
      <c r="F1845" s="18">
        <v>96</v>
      </c>
      <c r="G1845" s="18">
        <v>2</v>
      </c>
      <c r="H1845" s="18"/>
      <c r="I1845" s="28" t="s">
        <v>11</v>
      </c>
    </row>
    <row r="1846" s="1" customFormat="1" customHeight="1" spans="1:9">
      <c r="A1846" s="18" t="str">
        <f t="shared" si="158"/>
        <v>B8G</v>
      </c>
      <c r="B1846" s="19" t="s">
        <v>61</v>
      </c>
      <c r="C1846" s="18" t="str">
        <f>"陈敏"</f>
        <v>陈敏</v>
      </c>
      <c r="D1846" s="18" t="str">
        <f t="shared" si="159"/>
        <v>女</v>
      </c>
      <c r="E1846" s="18" t="str">
        <f>"2022014620"</f>
        <v>2022014620</v>
      </c>
      <c r="F1846" s="18">
        <v>95</v>
      </c>
      <c r="G1846" s="18">
        <v>4</v>
      </c>
      <c r="H1846" s="18"/>
      <c r="I1846" s="18" t="s">
        <v>12</v>
      </c>
    </row>
    <row r="1847" s="1" customFormat="1" customHeight="1" spans="1:9">
      <c r="A1847" s="18" t="str">
        <f t="shared" si="158"/>
        <v>B8G</v>
      </c>
      <c r="B1847" s="19" t="s">
        <v>61</v>
      </c>
      <c r="C1847" s="18" t="str">
        <f>"戴春含"</f>
        <v>戴春含</v>
      </c>
      <c r="D1847" s="18" t="str">
        <f t="shared" si="159"/>
        <v>女</v>
      </c>
      <c r="E1847" s="18" t="str">
        <f>"2022014623"</f>
        <v>2022014623</v>
      </c>
      <c r="F1847" s="18">
        <v>95</v>
      </c>
      <c r="G1847" s="18">
        <v>4</v>
      </c>
      <c r="H1847" s="18"/>
      <c r="I1847" s="18" t="s">
        <v>12</v>
      </c>
    </row>
    <row r="1848" s="1" customFormat="1" customHeight="1" spans="1:9">
      <c r="A1848" s="18" t="str">
        <f t="shared" si="158"/>
        <v>B8G</v>
      </c>
      <c r="B1848" s="19" t="s">
        <v>61</v>
      </c>
      <c r="C1848" s="18" t="str">
        <f>"肖艳红"</f>
        <v>肖艳红</v>
      </c>
      <c r="D1848" s="18" t="str">
        <f t="shared" si="159"/>
        <v>女</v>
      </c>
      <c r="E1848" s="18" t="str">
        <f>"2022014716"</f>
        <v>2022014716</v>
      </c>
      <c r="F1848" s="18">
        <v>95</v>
      </c>
      <c r="G1848" s="18">
        <v>4</v>
      </c>
      <c r="H1848" s="18"/>
      <c r="I1848" s="18" t="s">
        <v>12</v>
      </c>
    </row>
    <row r="1849" s="1" customFormat="1" customHeight="1" spans="1:9">
      <c r="A1849" s="18" t="str">
        <f t="shared" si="158"/>
        <v>B8G</v>
      </c>
      <c r="B1849" s="19" t="s">
        <v>61</v>
      </c>
      <c r="C1849" s="18" t="str">
        <f>"唐梦婷"</f>
        <v>唐梦婷</v>
      </c>
      <c r="D1849" s="18" t="str">
        <f t="shared" si="159"/>
        <v>女</v>
      </c>
      <c r="E1849" s="18" t="str">
        <f>"2022014701"</f>
        <v>2022014701</v>
      </c>
      <c r="F1849" s="18">
        <v>94</v>
      </c>
      <c r="G1849" s="18">
        <v>7</v>
      </c>
      <c r="H1849" s="18"/>
      <c r="I1849" s="18" t="s">
        <v>12</v>
      </c>
    </row>
    <row r="1850" s="1" customFormat="1" customHeight="1" spans="1:9">
      <c r="A1850" s="18" t="str">
        <f t="shared" si="158"/>
        <v>B8G</v>
      </c>
      <c r="B1850" s="19" t="s">
        <v>61</v>
      </c>
      <c r="C1850" s="18" t="str">
        <f>"许洁"</f>
        <v>许洁</v>
      </c>
      <c r="D1850" s="18" t="str">
        <f t="shared" si="159"/>
        <v>女</v>
      </c>
      <c r="E1850" s="18" t="str">
        <f>"2022014720"</f>
        <v>2022014720</v>
      </c>
      <c r="F1850" s="18">
        <v>93</v>
      </c>
      <c r="G1850" s="18">
        <v>8</v>
      </c>
      <c r="H1850" s="18"/>
      <c r="I1850" s="18" t="s">
        <v>12</v>
      </c>
    </row>
    <row r="1851" s="1" customFormat="1" customHeight="1" spans="1:9">
      <c r="A1851" s="18" t="str">
        <f t="shared" si="158"/>
        <v>B8G</v>
      </c>
      <c r="B1851" s="19" t="s">
        <v>61</v>
      </c>
      <c r="C1851" s="18" t="str">
        <f>"陈海晶"</f>
        <v>陈海晶</v>
      </c>
      <c r="D1851" s="18" t="str">
        <f t="shared" si="159"/>
        <v>女</v>
      </c>
      <c r="E1851" s="18" t="str">
        <f>"2022014723"</f>
        <v>2022014723</v>
      </c>
      <c r="F1851" s="18">
        <v>93</v>
      </c>
      <c r="G1851" s="18">
        <v>8</v>
      </c>
      <c r="H1851" s="18"/>
      <c r="I1851" s="18" t="s">
        <v>12</v>
      </c>
    </row>
    <row r="1852" s="1" customFormat="1" customHeight="1" spans="1:9">
      <c r="A1852" s="18" t="str">
        <f t="shared" si="158"/>
        <v>B8G</v>
      </c>
      <c r="B1852" s="19" t="s">
        <v>61</v>
      </c>
      <c r="C1852" s="18" t="str">
        <f>"杨晨"</f>
        <v>杨晨</v>
      </c>
      <c r="D1852" s="18" t="str">
        <f t="shared" si="159"/>
        <v>女</v>
      </c>
      <c r="E1852" s="18" t="str">
        <f>"2022014715"</f>
        <v>2022014715</v>
      </c>
      <c r="F1852" s="18">
        <v>92</v>
      </c>
      <c r="G1852" s="18">
        <v>10</v>
      </c>
      <c r="H1852" s="18"/>
      <c r="I1852" s="18" t="s">
        <v>12</v>
      </c>
    </row>
    <row r="1853" s="1" customFormat="1" customHeight="1" spans="1:9">
      <c r="A1853" s="18" t="str">
        <f t="shared" si="158"/>
        <v>B8G</v>
      </c>
      <c r="B1853" s="19" t="s">
        <v>61</v>
      </c>
      <c r="C1853" s="18" t="str">
        <f>"唐一蕾"</f>
        <v>唐一蕾</v>
      </c>
      <c r="D1853" s="18" t="str">
        <f t="shared" si="159"/>
        <v>女</v>
      </c>
      <c r="E1853" s="18" t="str">
        <f>"2022014717"</f>
        <v>2022014717</v>
      </c>
      <c r="F1853" s="18">
        <v>92</v>
      </c>
      <c r="G1853" s="18">
        <v>10</v>
      </c>
      <c r="H1853" s="18"/>
      <c r="I1853" s="18" t="s">
        <v>12</v>
      </c>
    </row>
    <row r="1854" s="1" customFormat="1" customHeight="1" spans="1:9">
      <c r="A1854" s="18" t="str">
        <f t="shared" si="158"/>
        <v>B8G</v>
      </c>
      <c r="B1854" s="19" t="s">
        <v>61</v>
      </c>
      <c r="C1854" s="18" t="str">
        <f>"顾美莲"</f>
        <v>顾美莲</v>
      </c>
      <c r="D1854" s="18" t="str">
        <f t="shared" si="159"/>
        <v>女</v>
      </c>
      <c r="E1854" s="18" t="str">
        <f>"2022014625"</f>
        <v>2022014625</v>
      </c>
      <c r="F1854" s="18">
        <v>91</v>
      </c>
      <c r="G1854" s="18">
        <v>12</v>
      </c>
      <c r="H1854" s="18"/>
      <c r="I1854" s="18" t="s">
        <v>12</v>
      </c>
    </row>
    <row r="1855" s="1" customFormat="1" customHeight="1" spans="1:9">
      <c r="A1855" s="18" t="str">
        <f t="shared" si="158"/>
        <v>B8G</v>
      </c>
      <c r="B1855" s="19" t="s">
        <v>61</v>
      </c>
      <c r="C1855" s="18" t="str">
        <f>"张涛"</f>
        <v>张涛</v>
      </c>
      <c r="D1855" s="18" t="str">
        <f t="shared" si="159"/>
        <v>女</v>
      </c>
      <c r="E1855" s="18" t="str">
        <f>"2022014633"</f>
        <v>2022014633</v>
      </c>
      <c r="F1855" s="18">
        <v>91</v>
      </c>
      <c r="G1855" s="18">
        <v>12</v>
      </c>
      <c r="H1855" s="18"/>
      <c r="I1855" s="18" t="s">
        <v>12</v>
      </c>
    </row>
    <row r="1856" s="1" customFormat="1" customHeight="1" spans="1:9">
      <c r="A1856" s="18" t="str">
        <f t="shared" si="158"/>
        <v>B8G</v>
      </c>
      <c r="B1856" s="19" t="s">
        <v>61</v>
      </c>
      <c r="C1856" s="18" t="str">
        <f>"李珍"</f>
        <v>李珍</v>
      </c>
      <c r="D1856" s="18" t="str">
        <f t="shared" si="159"/>
        <v>女</v>
      </c>
      <c r="E1856" s="18" t="str">
        <f>"2022014630"</f>
        <v>2022014630</v>
      </c>
      <c r="F1856" s="18">
        <v>89</v>
      </c>
      <c r="G1856" s="18">
        <v>14</v>
      </c>
      <c r="H1856" s="18"/>
      <c r="I1856" s="18" t="s">
        <v>12</v>
      </c>
    </row>
    <row r="1857" s="1" customFormat="1" customHeight="1" spans="1:9">
      <c r="A1857" s="18" t="str">
        <f t="shared" si="158"/>
        <v>B8G</v>
      </c>
      <c r="B1857" s="19" t="s">
        <v>61</v>
      </c>
      <c r="C1857" s="18" t="str">
        <f>"周栎"</f>
        <v>周栎</v>
      </c>
      <c r="D1857" s="18" t="str">
        <f t="shared" si="159"/>
        <v>女</v>
      </c>
      <c r="E1857" s="18" t="str">
        <f>"2022014618"</f>
        <v>2022014618</v>
      </c>
      <c r="F1857" s="18">
        <v>88</v>
      </c>
      <c r="G1857" s="18">
        <v>15</v>
      </c>
      <c r="H1857" s="18"/>
      <c r="I1857" s="18" t="s">
        <v>12</v>
      </c>
    </row>
    <row r="1858" s="1" customFormat="1" customHeight="1" spans="1:9">
      <c r="A1858" s="18" t="str">
        <f t="shared" si="158"/>
        <v>B8G</v>
      </c>
      <c r="B1858" s="19" t="s">
        <v>61</v>
      </c>
      <c r="C1858" s="18" t="str">
        <f>"陈佳慧"</f>
        <v>陈佳慧</v>
      </c>
      <c r="D1858" s="18" t="str">
        <f t="shared" si="159"/>
        <v>女</v>
      </c>
      <c r="E1858" s="18" t="str">
        <f>"2022014619"</f>
        <v>2022014619</v>
      </c>
      <c r="F1858" s="18">
        <v>88</v>
      </c>
      <c r="G1858" s="18">
        <v>15</v>
      </c>
      <c r="H1858" s="18"/>
      <c r="I1858" s="18" t="s">
        <v>12</v>
      </c>
    </row>
    <row r="1859" s="1" customFormat="1" customHeight="1" spans="1:9">
      <c r="A1859" s="18" t="str">
        <f t="shared" si="158"/>
        <v>B8G</v>
      </c>
      <c r="B1859" s="19" t="s">
        <v>61</v>
      </c>
      <c r="C1859" s="18" t="str">
        <f>"杨四芳"</f>
        <v>杨四芳</v>
      </c>
      <c r="D1859" s="18" t="str">
        <f t="shared" si="159"/>
        <v>女</v>
      </c>
      <c r="E1859" s="18" t="str">
        <f>"2022014721"</f>
        <v>2022014721</v>
      </c>
      <c r="F1859" s="18">
        <v>88</v>
      </c>
      <c r="G1859" s="18">
        <v>15</v>
      </c>
      <c r="H1859" s="18"/>
      <c r="I1859" s="18" t="s">
        <v>12</v>
      </c>
    </row>
    <row r="1860" s="1" customFormat="1" customHeight="1" spans="1:9">
      <c r="A1860" s="18" t="str">
        <f t="shared" si="158"/>
        <v>B8G</v>
      </c>
      <c r="B1860" s="19" t="s">
        <v>61</v>
      </c>
      <c r="C1860" s="18" t="str">
        <f>"杨慧赟"</f>
        <v>杨慧赟</v>
      </c>
      <c r="D1860" s="18" t="str">
        <f t="shared" si="159"/>
        <v>女</v>
      </c>
      <c r="E1860" s="18" t="str">
        <f>"2022014724"</f>
        <v>2022014724</v>
      </c>
      <c r="F1860" s="18">
        <v>88</v>
      </c>
      <c r="G1860" s="18">
        <v>15</v>
      </c>
      <c r="H1860" s="18"/>
      <c r="I1860" s="18" t="s">
        <v>12</v>
      </c>
    </row>
    <row r="1861" s="1" customFormat="1" customHeight="1" spans="1:9">
      <c r="A1861" s="18" t="str">
        <f t="shared" si="158"/>
        <v>B8G</v>
      </c>
      <c r="B1861" s="19" t="s">
        <v>61</v>
      </c>
      <c r="C1861" s="18" t="str">
        <f>"朱林华"</f>
        <v>朱林华</v>
      </c>
      <c r="D1861" s="18" t="str">
        <f t="shared" si="159"/>
        <v>女</v>
      </c>
      <c r="E1861" s="18" t="str">
        <f>"2022014726"</f>
        <v>2022014726</v>
      </c>
      <c r="F1861" s="18">
        <v>88</v>
      </c>
      <c r="G1861" s="18">
        <v>15</v>
      </c>
      <c r="H1861" s="18"/>
      <c r="I1861" s="18" t="s">
        <v>12</v>
      </c>
    </row>
    <row r="1862" s="1" customFormat="1" customHeight="1" spans="1:9">
      <c r="A1862" s="18" t="str">
        <f t="shared" si="158"/>
        <v>B8G</v>
      </c>
      <c r="B1862" s="19" t="s">
        <v>61</v>
      </c>
      <c r="C1862" s="18" t="str">
        <f>"杨婧"</f>
        <v>杨婧</v>
      </c>
      <c r="D1862" s="18" t="str">
        <f t="shared" si="159"/>
        <v>女</v>
      </c>
      <c r="E1862" s="18" t="str">
        <f>"2022014632"</f>
        <v>2022014632</v>
      </c>
      <c r="F1862" s="18">
        <v>86</v>
      </c>
      <c r="G1862" s="18">
        <v>20</v>
      </c>
      <c r="H1862" s="18"/>
      <c r="I1862" s="18" t="s">
        <v>12</v>
      </c>
    </row>
    <row r="1863" s="1" customFormat="1" customHeight="1" spans="1:9">
      <c r="A1863" s="18" t="str">
        <f t="shared" si="158"/>
        <v>B8G</v>
      </c>
      <c r="B1863" s="19" t="s">
        <v>61</v>
      </c>
      <c r="C1863" s="18" t="str">
        <f>"刘敏"</f>
        <v>刘敏</v>
      </c>
      <c r="D1863" s="18" t="str">
        <f t="shared" si="159"/>
        <v>女</v>
      </c>
      <c r="E1863" s="18" t="str">
        <f>"2022014709"</f>
        <v>2022014709</v>
      </c>
      <c r="F1863" s="18">
        <v>86</v>
      </c>
      <c r="G1863" s="18">
        <v>20</v>
      </c>
      <c r="H1863" s="18"/>
      <c r="I1863" s="18" t="s">
        <v>12</v>
      </c>
    </row>
    <row r="1864" s="1" customFormat="1" customHeight="1" spans="1:9">
      <c r="A1864" s="18" t="str">
        <f t="shared" si="158"/>
        <v>B8G</v>
      </c>
      <c r="B1864" s="19" t="s">
        <v>61</v>
      </c>
      <c r="C1864" s="18" t="str">
        <f>"李海芳"</f>
        <v>李海芳</v>
      </c>
      <c r="D1864" s="18" t="str">
        <f t="shared" si="159"/>
        <v>女</v>
      </c>
      <c r="E1864" s="18" t="str">
        <f>"2022014631"</f>
        <v>2022014631</v>
      </c>
      <c r="F1864" s="18">
        <v>85</v>
      </c>
      <c r="G1864" s="18">
        <v>22</v>
      </c>
      <c r="H1864" s="18"/>
      <c r="I1864" s="18" t="s">
        <v>12</v>
      </c>
    </row>
    <row r="1865" s="1" customFormat="1" customHeight="1" spans="1:9">
      <c r="A1865" s="18" t="str">
        <f t="shared" si="158"/>
        <v>B8G</v>
      </c>
      <c r="B1865" s="19" t="s">
        <v>61</v>
      </c>
      <c r="C1865" s="18" t="str">
        <f>"易红灵"</f>
        <v>易红灵</v>
      </c>
      <c r="D1865" s="18" t="str">
        <f t="shared" si="159"/>
        <v>女</v>
      </c>
      <c r="E1865" s="18" t="str">
        <f>"2022014704"</f>
        <v>2022014704</v>
      </c>
      <c r="F1865" s="18">
        <v>85</v>
      </c>
      <c r="G1865" s="18">
        <v>22</v>
      </c>
      <c r="H1865" s="18"/>
      <c r="I1865" s="18" t="s">
        <v>12</v>
      </c>
    </row>
    <row r="1866" s="1" customFormat="1" customHeight="1" spans="1:9">
      <c r="A1866" s="18" t="str">
        <f t="shared" si="158"/>
        <v>B8G</v>
      </c>
      <c r="B1866" s="19" t="s">
        <v>61</v>
      </c>
      <c r="C1866" s="18" t="str">
        <f>"喻嘉琳"</f>
        <v>喻嘉琳</v>
      </c>
      <c r="D1866" s="18" t="str">
        <f t="shared" si="159"/>
        <v>女</v>
      </c>
      <c r="E1866" s="18" t="str">
        <f>"2022014734"</f>
        <v>2022014734</v>
      </c>
      <c r="F1866" s="18">
        <v>85</v>
      </c>
      <c r="G1866" s="18">
        <v>22</v>
      </c>
      <c r="H1866" s="18"/>
      <c r="I1866" s="18" t="s">
        <v>12</v>
      </c>
    </row>
    <row r="1867" s="1" customFormat="1" customHeight="1" spans="1:9">
      <c r="A1867" s="18" t="str">
        <f t="shared" si="158"/>
        <v>B8G</v>
      </c>
      <c r="B1867" s="19" t="s">
        <v>61</v>
      </c>
      <c r="C1867" s="18" t="str">
        <f>"林尹欣"</f>
        <v>林尹欣</v>
      </c>
      <c r="D1867" s="18" t="str">
        <f t="shared" si="159"/>
        <v>女</v>
      </c>
      <c r="E1867" s="18" t="str">
        <f>"2022014706"</f>
        <v>2022014706</v>
      </c>
      <c r="F1867" s="18">
        <v>83</v>
      </c>
      <c r="G1867" s="18">
        <v>25</v>
      </c>
      <c r="H1867" s="18"/>
      <c r="I1867" s="18" t="s">
        <v>12</v>
      </c>
    </row>
    <row r="1868" s="1" customFormat="1" customHeight="1" spans="1:9">
      <c r="A1868" s="18" t="str">
        <f t="shared" si="158"/>
        <v>B8G</v>
      </c>
      <c r="B1868" s="19" t="s">
        <v>61</v>
      </c>
      <c r="C1868" s="18" t="str">
        <f>"肖美倩"</f>
        <v>肖美倩</v>
      </c>
      <c r="D1868" s="18" t="str">
        <f t="shared" si="159"/>
        <v>女</v>
      </c>
      <c r="E1868" s="18" t="str">
        <f>"2022014707"</f>
        <v>2022014707</v>
      </c>
      <c r="F1868" s="18">
        <v>83</v>
      </c>
      <c r="G1868" s="18">
        <v>25</v>
      </c>
      <c r="H1868" s="18"/>
      <c r="I1868" s="18" t="s">
        <v>12</v>
      </c>
    </row>
    <row r="1869" s="1" customFormat="1" customHeight="1" spans="1:9">
      <c r="A1869" s="18" t="str">
        <f t="shared" si="158"/>
        <v>B8G</v>
      </c>
      <c r="B1869" s="19" t="s">
        <v>61</v>
      </c>
      <c r="C1869" s="18" t="str">
        <f>"阮立娜"</f>
        <v>阮立娜</v>
      </c>
      <c r="D1869" s="18" t="str">
        <f t="shared" si="159"/>
        <v>女</v>
      </c>
      <c r="E1869" s="18" t="str">
        <f>"2022014713"</f>
        <v>2022014713</v>
      </c>
      <c r="F1869" s="18">
        <v>83</v>
      </c>
      <c r="G1869" s="18">
        <v>25</v>
      </c>
      <c r="H1869" s="18"/>
      <c r="I1869" s="18" t="s">
        <v>12</v>
      </c>
    </row>
    <row r="1870" s="1" customFormat="1" customHeight="1" spans="1:9">
      <c r="A1870" s="18" t="str">
        <f t="shared" si="158"/>
        <v>B8G</v>
      </c>
      <c r="B1870" s="19" t="s">
        <v>61</v>
      </c>
      <c r="C1870" s="18" t="str">
        <f>"孙雅芝"</f>
        <v>孙雅芝</v>
      </c>
      <c r="D1870" s="18" t="str">
        <f t="shared" si="159"/>
        <v>女</v>
      </c>
      <c r="E1870" s="18" t="str">
        <f>"2022014710"</f>
        <v>2022014710</v>
      </c>
      <c r="F1870" s="18">
        <v>82</v>
      </c>
      <c r="G1870" s="18">
        <v>28</v>
      </c>
      <c r="H1870" s="18"/>
      <c r="I1870" s="18" t="s">
        <v>12</v>
      </c>
    </row>
    <row r="1871" s="1" customFormat="1" customHeight="1" spans="1:9">
      <c r="A1871" s="18" t="str">
        <f t="shared" si="158"/>
        <v>B8G</v>
      </c>
      <c r="B1871" s="19" t="s">
        <v>61</v>
      </c>
      <c r="C1871" s="18" t="str">
        <f>"粟小苗"</f>
        <v>粟小苗</v>
      </c>
      <c r="D1871" s="18" t="str">
        <f t="shared" si="159"/>
        <v>女</v>
      </c>
      <c r="E1871" s="18" t="str">
        <f>"2022014624"</f>
        <v>2022014624</v>
      </c>
      <c r="F1871" s="18">
        <v>80</v>
      </c>
      <c r="G1871" s="18">
        <v>29</v>
      </c>
      <c r="H1871" s="18"/>
      <c r="I1871" s="18" t="s">
        <v>12</v>
      </c>
    </row>
    <row r="1872" s="1" customFormat="1" customHeight="1" spans="1:9">
      <c r="A1872" s="18" t="str">
        <f t="shared" si="158"/>
        <v>B8G</v>
      </c>
      <c r="B1872" s="19" t="s">
        <v>61</v>
      </c>
      <c r="C1872" s="18" t="str">
        <f>"祝怡婕"</f>
        <v>祝怡婕</v>
      </c>
      <c r="D1872" s="18" t="str">
        <f t="shared" si="159"/>
        <v>女</v>
      </c>
      <c r="E1872" s="18" t="str">
        <f>"2022014730"</f>
        <v>2022014730</v>
      </c>
      <c r="F1872" s="18">
        <v>80</v>
      </c>
      <c r="G1872" s="18">
        <v>29</v>
      </c>
      <c r="H1872" s="18"/>
      <c r="I1872" s="18" t="s">
        <v>12</v>
      </c>
    </row>
    <row r="1873" s="1" customFormat="1" customHeight="1" spans="1:9">
      <c r="A1873" s="18" t="str">
        <f t="shared" si="158"/>
        <v>B8G</v>
      </c>
      <c r="B1873" s="19" t="s">
        <v>61</v>
      </c>
      <c r="C1873" s="18" t="str">
        <f>"马冬香"</f>
        <v>马冬香</v>
      </c>
      <c r="D1873" s="18" t="str">
        <f t="shared" si="159"/>
        <v>女</v>
      </c>
      <c r="E1873" s="18" t="str">
        <f>"2022014702"</f>
        <v>2022014702</v>
      </c>
      <c r="F1873" s="18">
        <v>79</v>
      </c>
      <c r="G1873" s="18">
        <v>31</v>
      </c>
      <c r="H1873" s="18"/>
      <c r="I1873" s="18" t="s">
        <v>12</v>
      </c>
    </row>
    <row r="1874" s="1" customFormat="1" customHeight="1" spans="1:9">
      <c r="A1874" s="18" t="str">
        <f t="shared" si="158"/>
        <v>B8G</v>
      </c>
      <c r="B1874" s="19" t="s">
        <v>61</v>
      </c>
      <c r="C1874" s="18" t="str">
        <f>"谭爱鲜"</f>
        <v>谭爱鲜</v>
      </c>
      <c r="D1874" s="18" t="str">
        <f t="shared" si="159"/>
        <v>女</v>
      </c>
      <c r="E1874" s="18" t="str">
        <f>"2022014719"</f>
        <v>2022014719</v>
      </c>
      <c r="F1874" s="18">
        <v>78</v>
      </c>
      <c r="G1874" s="18">
        <v>32</v>
      </c>
      <c r="H1874" s="18"/>
      <c r="I1874" s="18" t="s">
        <v>12</v>
      </c>
    </row>
    <row r="1875" s="1" customFormat="1" customHeight="1" spans="1:9">
      <c r="A1875" s="18" t="str">
        <f t="shared" si="158"/>
        <v>B8G</v>
      </c>
      <c r="B1875" s="19" t="s">
        <v>61</v>
      </c>
      <c r="C1875" s="18" t="str">
        <f>"刘雅婷"</f>
        <v>刘雅婷</v>
      </c>
      <c r="D1875" s="18" t="str">
        <f t="shared" si="159"/>
        <v>女</v>
      </c>
      <c r="E1875" s="18" t="str">
        <f>"2022014733"</f>
        <v>2022014733</v>
      </c>
      <c r="F1875" s="18">
        <v>78</v>
      </c>
      <c r="G1875" s="18">
        <v>32</v>
      </c>
      <c r="H1875" s="18"/>
      <c r="I1875" s="18" t="s">
        <v>12</v>
      </c>
    </row>
    <row r="1876" s="1" customFormat="1" customHeight="1" spans="1:9">
      <c r="A1876" s="18" t="str">
        <f t="shared" si="158"/>
        <v>B8G</v>
      </c>
      <c r="B1876" s="19" t="s">
        <v>61</v>
      </c>
      <c r="C1876" s="18" t="str">
        <f>"何学敏"</f>
        <v>何学敏</v>
      </c>
      <c r="D1876" s="18" t="str">
        <f t="shared" si="159"/>
        <v>女</v>
      </c>
      <c r="E1876" s="18" t="str">
        <f>"2022014627"</f>
        <v>2022014627</v>
      </c>
      <c r="F1876" s="18">
        <v>77</v>
      </c>
      <c r="G1876" s="18">
        <v>34</v>
      </c>
      <c r="H1876" s="18"/>
      <c r="I1876" s="18" t="s">
        <v>12</v>
      </c>
    </row>
    <row r="1877" s="1" customFormat="1" customHeight="1" spans="1:9">
      <c r="A1877" s="18" t="str">
        <f t="shared" si="158"/>
        <v>B8G</v>
      </c>
      <c r="B1877" s="19" t="s">
        <v>61</v>
      </c>
      <c r="C1877" s="18" t="str">
        <f>"王静"</f>
        <v>王静</v>
      </c>
      <c r="D1877" s="18" t="str">
        <f t="shared" si="159"/>
        <v>女</v>
      </c>
      <c r="E1877" s="18" t="str">
        <f>"2022014729"</f>
        <v>2022014729</v>
      </c>
      <c r="F1877" s="18">
        <v>73</v>
      </c>
      <c r="G1877" s="18">
        <v>35</v>
      </c>
      <c r="H1877" s="18"/>
      <c r="I1877" s="18" t="s">
        <v>12</v>
      </c>
    </row>
    <row r="1878" s="1" customFormat="1" customHeight="1" spans="1:9">
      <c r="A1878" s="18" t="str">
        <f t="shared" si="158"/>
        <v>B8G</v>
      </c>
      <c r="B1878" s="19" t="s">
        <v>61</v>
      </c>
      <c r="C1878" s="18" t="str">
        <f>"于湘阳"</f>
        <v>于湘阳</v>
      </c>
      <c r="D1878" s="18" t="str">
        <f t="shared" si="159"/>
        <v>女</v>
      </c>
      <c r="E1878" s="18" t="str">
        <f>"2022014712"</f>
        <v>2022014712</v>
      </c>
      <c r="F1878" s="18">
        <v>72</v>
      </c>
      <c r="G1878" s="18">
        <v>36</v>
      </c>
      <c r="H1878" s="18"/>
      <c r="I1878" s="18" t="s">
        <v>12</v>
      </c>
    </row>
    <row r="1879" s="1" customFormat="1" customHeight="1" spans="1:9">
      <c r="A1879" s="18" t="str">
        <f t="shared" si="158"/>
        <v>B8G</v>
      </c>
      <c r="B1879" s="19" t="s">
        <v>61</v>
      </c>
      <c r="C1879" s="18" t="str">
        <f>"岳璐"</f>
        <v>岳璐</v>
      </c>
      <c r="D1879" s="18" t="str">
        <f t="shared" si="159"/>
        <v>女</v>
      </c>
      <c r="E1879" s="18" t="str">
        <f>"2022014727"</f>
        <v>2022014727</v>
      </c>
      <c r="F1879" s="18">
        <v>69</v>
      </c>
      <c r="G1879" s="18">
        <v>37</v>
      </c>
      <c r="H1879" s="18"/>
      <c r="I1879" s="18" t="s">
        <v>12</v>
      </c>
    </row>
    <row r="1880" s="1" customFormat="1" customHeight="1" spans="1:9">
      <c r="A1880" s="18" t="str">
        <f t="shared" si="158"/>
        <v>B8G</v>
      </c>
      <c r="B1880" s="19" t="s">
        <v>61</v>
      </c>
      <c r="C1880" s="18" t="str">
        <f>"刘莉"</f>
        <v>刘莉</v>
      </c>
      <c r="D1880" s="18" t="str">
        <f t="shared" si="159"/>
        <v>女</v>
      </c>
      <c r="E1880" s="18" t="str">
        <f>"2022014621"</f>
        <v>2022014621</v>
      </c>
      <c r="F1880" s="18">
        <v>0</v>
      </c>
      <c r="G1880" s="18">
        <v>38</v>
      </c>
      <c r="H1880" s="18" t="s">
        <v>13</v>
      </c>
      <c r="I1880" s="18" t="s">
        <v>12</v>
      </c>
    </row>
    <row r="1881" s="1" customFormat="1" customHeight="1" spans="1:9">
      <c r="A1881" s="18" t="str">
        <f t="shared" si="158"/>
        <v>B8G</v>
      </c>
      <c r="B1881" s="19" t="s">
        <v>61</v>
      </c>
      <c r="C1881" s="18" t="str">
        <f>"陈夜琴"</f>
        <v>陈夜琴</v>
      </c>
      <c r="D1881" s="18" t="str">
        <f t="shared" si="159"/>
        <v>女</v>
      </c>
      <c r="E1881" s="18" t="str">
        <f>"2022014622"</f>
        <v>2022014622</v>
      </c>
      <c r="F1881" s="18">
        <v>0</v>
      </c>
      <c r="G1881" s="18">
        <v>38</v>
      </c>
      <c r="H1881" s="18" t="s">
        <v>13</v>
      </c>
      <c r="I1881" s="18" t="s">
        <v>12</v>
      </c>
    </row>
    <row r="1882" s="1" customFormat="1" customHeight="1" spans="1:9">
      <c r="A1882" s="18" t="str">
        <f t="shared" si="158"/>
        <v>B8G</v>
      </c>
      <c r="B1882" s="19" t="s">
        <v>61</v>
      </c>
      <c r="C1882" s="18" t="str">
        <f>"刘佩淋"</f>
        <v>刘佩淋</v>
      </c>
      <c r="D1882" s="18" t="str">
        <f t="shared" si="159"/>
        <v>女</v>
      </c>
      <c r="E1882" s="18" t="str">
        <f>"2022014626"</f>
        <v>2022014626</v>
      </c>
      <c r="F1882" s="18">
        <v>0</v>
      </c>
      <c r="G1882" s="18">
        <v>38</v>
      </c>
      <c r="H1882" s="18" t="s">
        <v>13</v>
      </c>
      <c r="I1882" s="18" t="s">
        <v>12</v>
      </c>
    </row>
    <row r="1883" s="1" customFormat="1" customHeight="1" spans="1:9">
      <c r="A1883" s="18" t="str">
        <f t="shared" si="158"/>
        <v>B8G</v>
      </c>
      <c r="B1883" s="19" t="s">
        <v>61</v>
      </c>
      <c r="C1883" s="18" t="str">
        <f>"李鑫"</f>
        <v>李鑫</v>
      </c>
      <c r="D1883" s="18" t="str">
        <f t="shared" si="159"/>
        <v>女</v>
      </c>
      <c r="E1883" s="18" t="str">
        <f>"2022014628"</f>
        <v>2022014628</v>
      </c>
      <c r="F1883" s="18">
        <v>0</v>
      </c>
      <c r="G1883" s="18">
        <v>38</v>
      </c>
      <c r="H1883" s="18" t="s">
        <v>13</v>
      </c>
      <c r="I1883" s="18" t="s">
        <v>12</v>
      </c>
    </row>
    <row r="1884" s="1" customFormat="1" customHeight="1" spans="1:9">
      <c r="A1884" s="18" t="str">
        <f t="shared" si="158"/>
        <v>B8G</v>
      </c>
      <c r="B1884" s="19" t="s">
        <v>61</v>
      </c>
      <c r="C1884" s="18" t="str">
        <f>"潘燕娟"</f>
        <v>潘燕娟</v>
      </c>
      <c r="D1884" s="18" t="str">
        <f t="shared" si="159"/>
        <v>女</v>
      </c>
      <c r="E1884" s="18" t="str">
        <f>"2022014629"</f>
        <v>2022014629</v>
      </c>
      <c r="F1884" s="18">
        <v>0</v>
      </c>
      <c r="G1884" s="18">
        <v>38</v>
      </c>
      <c r="H1884" s="18" t="s">
        <v>13</v>
      </c>
      <c r="I1884" s="18" t="s">
        <v>12</v>
      </c>
    </row>
    <row r="1885" s="1" customFormat="1" customHeight="1" spans="1:9">
      <c r="A1885" s="18" t="str">
        <f t="shared" si="158"/>
        <v>B8G</v>
      </c>
      <c r="B1885" s="19" t="s">
        <v>61</v>
      </c>
      <c r="C1885" s="18" t="str">
        <f>"李晶"</f>
        <v>李晶</v>
      </c>
      <c r="D1885" s="18" t="str">
        <f t="shared" si="159"/>
        <v>女</v>
      </c>
      <c r="E1885" s="18" t="str">
        <f>"2022014703"</f>
        <v>2022014703</v>
      </c>
      <c r="F1885" s="18">
        <v>0</v>
      </c>
      <c r="G1885" s="18">
        <v>38</v>
      </c>
      <c r="H1885" s="18" t="s">
        <v>13</v>
      </c>
      <c r="I1885" s="18" t="s">
        <v>12</v>
      </c>
    </row>
    <row r="1886" s="1" customFormat="1" customHeight="1" spans="1:9">
      <c r="A1886" s="18" t="str">
        <f t="shared" si="158"/>
        <v>B8G</v>
      </c>
      <c r="B1886" s="19" t="s">
        <v>61</v>
      </c>
      <c r="C1886" s="18" t="str">
        <f>"赵玲君"</f>
        <v>赵玲君</v>
      </c>
      <c r="D1886" s="18" t="str">
        <f t="shared" si="159"/>
        <v>女</v>
      </c>
      <c r="E1886" s="18" t="str">
        <f>"2022014705"</f>
        <v>2022014705</v>
      </c>
      <c r="F1886" s="18">
        <v>0</v>
      </c>
      <c r="G1886" s="18">
        <v>38</v>
      </c>
      <c r="H1886" s="18" t="s">
        <v>13</v>
      </c>
      <c r="I1886" s="18" t="s">
        <v>12</v>
      </c>
    </row>
    <row r="1887" s="1" customFormat="1" customHeight="1" spans="1:9">
      <c r="A1887" s="18" t="str">
        <f t="shared" si="158"/>
        <v>B8G</v>
      </c>
      <c r="B1887" s="19" t="s">
        <v>61</v>
      </c>
      <c r="C1887" s="18" t="str">
        <f>"黄丽"</f>
        <v>黄丽</v>
      </c>
      <c r="D1887" s="18" t="str">
        <f t="shared" si="159"/>
        <v>女</v>
      </c>
      <c r="E1887" s="18" t="str">
        <f>"2022014708"</f>
        <v>2022014708</v>
      </c>
      <c r="F1887" s="18">
        <v>0</v>
      </c>
      <c r="G1887" s="18">
        <v>38</v>
      </c>
      <c r="H1887" s="18" t="s">
        <v>13</v>
      </c>
      <c r="I1887" s="18" t="s">
        <v>12</v>
      </c>
    </row>
    <row r="1888" s="1" customFormat="1" customHeight="1" spans="1:9">
      <c r="A1888" s="18" t="str">
        <f t="shared" si="158"/>
        <v>B8G</v>
      </c>
      <c r="B1888" s="19" t="s">
        <v>61</v>
      </c>
      <c r="C1888" s="18" t="str">
        <f>"陈美"</f>
        <v>陈美</v>
      </c>
      <c r="D1888" s="18" t="str">
        <f t="shared" si="159"/>
        <v>女</v>
      </c>
      <c r="E1888" s="18" t="str">
        <f>"2022014714"</f>
        <v>2022014714</v>
      </c>
      <c r="F1888" s="18">
        <v>0</v>
      </c>
      <c r="G1888" s="18">
        <v>38</v>
      </c>
      <c r="H1888" s="18" t="s">
        <v>13</v>
      </c>
      <c r="I1888" s="18" t="s">
        <v>12</v>
      </c>
    </row>
    <row r="1889" s="1" customFormat="1" customHeight="1" spans="1:9">
      <c r="A1889" s="18" t="str">
        <f t="shared" si="158"/>
        <v>B8G</v>
      </c>
      <c r="B1889" s="19" t="s">
        <v>61</v>
      </c>
      <c r="C1889" s="18" t="str">
        <f>"田春艳"</f>
        <v>田春艳</v>
      </c>
      <c r="D1889" s="18" t="str">
        <f t="shared" si="159"/>
        <v>女</v>
      </c>
      <c r="E1889" s="18" t="str">
        <f>"2022014718"</f>
        <v>2022014718</v>
      </c>
      <c r="F1889" s="18">
        <v>0</v>
      </c>
      <c r="G1889" s="18">
        <v>38</v>
      </c>
      <c r="H1889" s="18" t="s">
        <v>13</v>
      </c>
      <c r="I1889" s="18" t="s">
        <v>12</v>
      </c>
    </row>
    <row r="1890" s="1" customFormat="1" customHeight="1" spans="1:9">
      <c r="A1890" s="18" t="str">
        <f t="shared" si="158"/>
        <v>B8G</v>
      </c>
      <c r="B1890" s="19" t="s">
        <v>61</v>
      </c>
      <c r="C1890" s="18" t="str">
        <f>"罗敏"</f>
        <v>罗敏</v>
      </c>
      <c r="D1890" s="18" t="str">
        <f t="shared" si="159"/>
        <v>女</v>
      </c>
      <c r="E1890" s="18" t="str">
        <f>"2022014728"</f>
        <v>2022014728</v>
      </c>
      <c r="F1890" s="18">
        <v>0</v>
      </c>
      <c r="G1890" s="18">
        <v>38</v>
      </c>
      <c r="H1890" s="18" t="s">
        <v>13</v>
      </c>
      <c r="I1890" s="18" t="s">
        <v>12</v>
      </c>
    </row>
    <row r="1891" s="1" customFormat="1" customHeight="1" spans="1:9">
      <c r="A1891" s="18" t="str">
        <f t="shared" si="158"/>
        <v>B8G</v>
      </c>
      <c r="B1891" s="19" t="s">
        <v>61</v>
      </c>
      <c r="C1891" s="18" t="str">
        <f>"邱媛媛"</f>
        <v>邱媛媛</v>
      </c>
      <c r="D1891" s="18" t="str">
        <f t="shared" si="159"/>
        <v>女</v>
      </c>
      <c r="E1891" s="18" t="str">
        <f>"2022014731"</f>
        <v>2022014731</v>
      </c>
      <c r="F1891" s="18">
        <v>0</v>
      </c>
      <c r="G1891" s="18">
        <v>38</v>
      </c>
      <c r="H1891" s="18" t="s">
        <v>13</v>
      </c>
      <c r="I1891" s="18" t="s">
        <v>12</v>
      </c>
    </row>
    <row r="1892" s="1" customFormat="1" customHeight="1" spans="1:9">
      <c r="A1892" s="18" t="str">
        <f t="shared" si="158"/>
        <v>B8G</v>
      </c>
      <c r="B1892" s="19" t="s">
        <v>61</v>
      </c>
      <c r="C1892" s="18" t="str">
        <f>"秦源嫔"</f>
        <v>秦源嫔</v>
      </c>
      <c r="D1892" s="18" t="str">
        <f t="shared" si="159"/>
        <v>女</v>
      </c>
      <c r="E1892" s="18" t="str">
        <f>"2022014732"</f>
        <v>2022014732</v>
      </c>
      <c r="F1892" s="18">
        <v>0</v>
      </c>
      <c r="G1892" s="18">
        <v>38</v>
      </c>
      <c r="H1892" s="18" t="s">
        <v>13</v>
      </c>
      <c r="I1892" s="18" t="s">
        <v>12</v>
      </c>
    </row>
    <row r="1893" s="1" customFormat="1" customHeight="1" spans="1:9">
      <c r="A1893" s="18" t="str">
        <f t="shared" ref="A1893:A1922" si="160">"B9F"</f>
        <v>B9F</v>
      </c>
      <c r="B1893" s="19" t="s">
        <v>62</v>
      </c>
      <c r="C1893" s="18" t="str">
        <f>"肖晔"</f>
        <v>肖晔</v>
      </c>
      <c r="D1893" s="18" t="str">
        <f t="shared" si="159"/>
        <v>女</v>
      </c>
      <c r="E1893" s="18" t="str">
        <f>"2022014819"</f>
        <v>2022014819</v>
      </c>
      <c r="F1893" s="24">
        <v>86.8</v>
      </c>
      <c r="G1893" s="24">
        <v>1</v>
      </c>
      <c r="H1893" s="18"/>
      <c r="I1893" s="28" t="s">
        <v>11</v>
      </c>
    </row>
    <row r="1894" s="1" customFormat="1" customHeight="1" spans="1:9">
      <c r="A1894" s="18" t="str">
        <f t="shared" si="160"/>
        <v>B9F</v>
      </c>
      <c r="B1894" s="19" t="s">
        <v>62</v>
      </c>
      <c r="C1894" s="18" t="str">
        <f>"龙运华"</f>
        <v>龙运华</v>
      </c>
      <c r="D1894" s="18" t="str">
        <f t="shared" ref="D1894:D1902" si="161">"男"</f>
        <v>男</v>
      </c>
      <c r="E1894" s="18" t="str">
        <f>"2022014805"</f>
        <v>2022014805</v>
      </c>
      <c r="F1894" s="24">
        <v>84</v>
      </c>
      <c r="G1894" s="24">
        <v>2</v>
      </c>
      <c r="H1894" s="18"/>
      <c r="I1894" s="28" t="s">
        <v>11</v>
      </c>
    </row>
    <row r="1895" s="1" customFormat="1" customHeight="1" spans="1:9">
      <c r="A1895" s="18" t="str">
        <f t="shared" si="160"/>
        <v>B9F</v>
      </c>
      <c r="B1895" s="19" t="s">
        <v>62</v>
      </c>
      <c r="C1895" s="18" t="str">
        <f>"李艳明"</f>
        <v>李艳明</v>
      </c>
      <c r="D1895" s="18" t="str">
        <f>"女"</f>
        <v>女</v>
      </c>
      <c r="E1895" s="18" t="str">
        <f>"2022014801"</f>
        <v>2022014801</v>
      </c>
      <c r="F1895" s="25">
        <v>76.7</v>
      </c>
      <c r="G1895" s="24">
        <v>3</v>
      </c>
      <c r="H1895" s="26"/>
      <c r="I1895" s="28" t="s">
        <v>11</v>
      </c>
    </row>
    <row r="1896" s="1" customFormat="1" customHeight="1" spans="1:9">
      <c r="A1896" s="18" t="str">
        <f t="shared" si="160"/>
        <v>B9F</v>
      </c>
      <c r="B1896" s="19" t="s">
        <v>62</v>
      </c>
      <c r="C1896" s="18" t="str">
        <f>"李成仕"</f>
        <v>李成仕</v>
      </c>
      <c r="D1896" s="18" t="str">
        <f t="shared" si="161"/>
        <v>男</v>
      </c>
      <c r="E1896" s="18" t="str">
        <f>"2022014812"</f>
        <v>2022014812</v>
      </c>
      <c r="F1896" s="18">
        <v>76.3</v>
      </c>
      <c r="G1896" s="24">
        <v>4</v>
      </c>
      <c r="H1896" s="18"/>
      <c r="I1896" s="28" t="s">
        <v>11</v>
      </c>
    </row>
    <row r="1897" s="1" customFormat="1" customHeight="1" spans="1:9">
      <c r="A1897" s="18" t="str">
        <f t="shared" si="160"/>
        <v>B9F</v>
      </c>
      <c r="B1897" s="19" t="s">
        <v>62</v>
      </c>
      <c r="C1897" s="18" t="str">
        <f>"肖焱晶"</f>
        <v>肖焱晶</v>
      </c>
      <c r="D1897" s="18" t="str">
        <f>"女"</f>
        <v>女</v>
      </c>
      <c r="E1897" s="18" t="str">
        <f>"2022014807"</f>
        <v>2022014807</v>
      </c>
      <c r="F1897" s="22">
        <v>75.9</v>
      </c>
      <c r="G1897" s="24">
        <v>5</v>
      </c>
      <c r="H1897" s="23"/>
      <c r="I1897" s="18" t="s">
        <v>12</v>
      </c>
    </row>
    <row r="1898" s="1" customFormat="1" customHeight="1" spans="1:9">
      <c r="A1898" s="18" t="str">
        <f t="shared" si="160"/>
        <v>B9F</v>
      </c>
      <c r="B1898" s="19" t="s">
        <v>62</v>
      </c>
      <c r="C1898" s="18" t="str">
        <f>"龚伟志"</f>
        <v>龚伟志</v>
      </c>
      <c r="D1898" s="18" t="str">
        <f t="shared" si="161"/>
        <v>男</v>
      </c>
      <c r="E1898" s="18" t="str">
        <f>"2022014816"</f>
        <v>2022014816</v>
      </c>
      <c r="F1898" s="24">
        <v>75</v>
      </c>
      <c r="G1898" s="24">
        <v>6</v>
      </c>
      <c r="H1898" s="18"/>
      <c r="I1898" s="18" t="s">
        <v>12</v>
      </c>
    </row>
    <row r="1899" s="1" customFormat="1" customHeight="1" spans="1:9">
      <c r="A1899" s="18" t="str">
        <f t="shared" si="160"/>
        <v>B9F</v>
      </c>
      <c r="B1899" s="19" t="s">
        <v>62</v>
      </c>
      <c r="C1899" s="18" t="str">
        <f>"毛文颖"</f>
        <v>毛文颖</v>
      </c>
      <c r="D1899" s="18" t="str">
        <f t="shared" si="161"/>
        <v>男</v>
      </c>
      <c r="E1899" s="18" t="str">
        <f>"2022014802"</f>
        <v>2022014802</v>
      </c>
      <c r="F1899" s="25">
        <v>74.2</v>
      </c>
      <c r="G1899" s="24">
        <v>7</v>
      </c>
      <c r="H1899" s="26"/>
      <c r="I1899" s="18" t="s">
        <v>12</v>
      </c>
    </row>
    <row r="1900" s="1" customFormat="1" customHeight="1" spans="1:9">
      <c r="A1900" s="18" t="str">
        <f t="shared" si="160"/>
        <v>B9F</v>
      </c>
      <c r="B1900" s="19" t="s">
        <v>62</v>
      </c>
      <c r="C1900" s="18" t="str">
        <f>"王波"</f>
        <v>王波</v>
      </c>
      <c r="D1900" s="18" t="str">
        <f t="shared" si="161"/>
        <v>男</v>
      </c>
      <c r="E1900" s="18" t="str">
        <f>"2022014806"</f>
        <v>2022014806</v>
      </c>
      <c r="F1900" s="18">
        <v>73.6</v>
      </c>
      <c r="G1900" s="24">
        <v>8</v>
      </c>
      <c r="H1900" s="18"/>
      <c r="I1900" s="18" t="s">
        <v>12</v>
      </c>
    </row>
    <row r="1901" s="1" customFormat="1" customHeight="1" spans="1:9">
      <c r="A1901" s="18" t="str">
        <f t="shared" si="160"/>
        <v>B9F</v>
      </c>
      <c r="B1901" s="19" t="s">
        <v>62</v>
      </c>
      <c r="C1901" s="18" t="str">
        <f>"李由甲"</f>
        <v>李由甲</v>
      </c>
      <c r="D1901" s="18" t="str">
        <f t="shared" si="161"/>
        <v>男</v>
      </c>
      <c r="E1901" s="18" t="str">
        <f>"2022014823"</f>
        <v>2022014823</v>
      </c>
      <c r="F1901" s="20">
        <v>71.9</v>
      </c>
      <c r="G1901" s="24">
        <v>9</v>
      </c>
      <c r="H1901" s="21"/>
      <c r="I1901" s="18" t="s">
        <v>12</v>
      </c>
    </row>
    <row r="1902" s="1" customFormat="1" customHeight="1" spans="1:9">
      <c r="A1902" s="18" t="str">
        <f t="shared" si="160"/>
        <v>B9F</v>
      </c>
      <c r="B1902" s="19" t="s">
        <v>62</v>
      </c>
      <c r="C1902" s="18" t="str">
        <f>"晏韬 "</f>
        <v>晏韬 </v>
      </c>
      <c r="D1902" s="18" t="str">
        <f t="shared" si="161"/>
        <v>男</v>
      </c>
      <c r="E1902" s="18" t="str">
        <f>"2022014826"</f>
        <v>2022014826</v>
      </c>
      <c r="F1902" s="18">
        <v>71.8</v>
      </c>
      <c r="G1902" s="24">
        <v>10</v>
      </c>
      <c r="H1902" s="18"/>
      <c r="I1902" s="18" t="s">
        <v>12</v>
      </c>
    </row>
    <row r="1903" s="1" customFormat="1" customHeight="1" spans="1:9">
      <c r="A1903" s="18" t="str">
        <f t="shared" si="160"/>
        <v>B9F</v>
      </c>
      <c r="B1903" s="19" t="s">
        <v>62</v>
      </c>
      <c r="C1903" s="18" t="str">
        <f>"陈淼芳"</f>
        <v>陈淼芳</v>
      </c>
      <c r="D1903" s="18" t="str">
        <f t="shared" ref="D1903:D1908" si="162">"女"</f>
        <v>女</v>
      </c>
      <c r="E1903" s="18" t="str">
        <f>"2022014809"</f>
        <v>2022014809</v>
      </c>
      <c r="F1903" s="22">
        <v>70.1</v>
      </c>
      <c r="G1903" s="24">
        <v>11</v>
      </c>
      <c r="H1903" s="23"/>
      <c r="I1903" s="18" t="s">
        <v>12</v>
      </c>
    </row>
    <row r="1904" s="1" customFormat="1" customHeight="1" spans="1:9">
      <c r="A1904" s="18" t="str">
        <f t="shared" si="160"/>
        <v>B9F</v>
      </c>
      <c r="B1904" s="19" t="s">
        <v>62</v>
      </c>
      <c r="C1904" s="18" t="str">
        <f>"刘锶锶"</f>
        <v>刘锶锶</v>
      </c>
      <c r="D1904" s="18" t="str">
        <f t="shared" si="162"/>
        <v>女</v>
      </c>
      <c r="E1904" s="18" t="str">
        <f>"2022014817"</f>
        <v>2022014817</v>
      </c>
      <c r="F1904" s="24">
        <v>69.9</v>
      </c>
      <c r="G1904" s="24">
        <v>12</v>
      </c>
      <c r="H1904" s="18"/>
      <c r="I1904" s="18" t="s">
        <v>12</v>
      </c>
    </row>
    <row r="1905" s="1" customFormat="1" customHeight="1" spans="1:9">
      <c r="A1905" s="18" t="str">
        <f t="shared" si="160"/>
        <v>B9F</v>
      </c>
      <c r="B1905" s="19" t="s">
        <v>62</v>
      </c>
      <c r="C1905" s="18" t="str">
        <f>"唐晶"</f>
        <v>唐晶</v>
      </c>
      <c r="D1905" s="18" t="str">
        <f t="shared" si="162"/>
        <v>女</v>
      </c>
      <c r="E1905" s="18" t="str">
        <f>"2022014820"</f>
        <v>2022014820</v>
      </c>
      <c r="F1905" s="24">
        <v>68.8</v>
      </c>
      <c r="G1905" s="24">
        <v>13</v>
      </c>
      <c r="H1905" s="18"/>
      <c r="I1905" s="18" t="s">
        <v>12</v>
      </c>
    </row>
    <row r="1906" s="1" customFormat="1" customHeight="1" spans="1:9">
      <c r="A1906" s="18" t="str">
        <f t="shared" si="160"/>
        <v>B9F</v>
      </c>
      <c r="B1906" s="19" t="s">
        <v>62</v>
      </c>
      <c r="C1906" s="18" t="str">
        <f>"刘元园"</f>
        <v>刘元园</v>
      </c>
      <c r="D1906" s="18" t="str">
        <f t="shared" si="162"/>
        <v>女</v>
      </c>
      <c r="E1906" s="18" t="str">
        <f>"2022014821"</f>
        <v>2022014821</v>
      </c>
      <c r="F1906" s="25">
        <v>68.3</v>
      </c>
      <c r="G1906" s="24">
        <v>14</v>
      </c>
      <c r="H1906" s="26"/>
      <c r="I1906" s="18" t="s">
        <v>12</v>
      </c>
    </row>
    <row r="1907" s="1" customFormat="1" customHeight="1" spans="1:9">
      <c r="A1907" s="18" t="str">
        <f t="shared" si="160"/>
        <v>B9F</v>
      </c>
      <c r="B1907" s="19" t="s">
        <v>62</v>
      </c>
      <c r="C1907" s="18" t="str">
        <f>"曾江虹"</f>
        <v>曾江虹</v>
      </c>
      <c r="D1907" s="18" t="str">
        <f t="shared" si="162"/>
        <v>女</v>
      </c>
      <c r="E1907" s="18" t="str">
        <f>"2022014818"</f>
        <v>2022014818</v>
      </c>
      <c r="F1907" s="18">
        <v>68.1</v>
      </c>
      <c r="G1907" s="24">
        <v>15</v>
      </c>
      <c r="H1907" s="18"/>
      <c r="I1907" s="18" t="s">
        <v>12</v>
      </c>
    </row>
    <row r="1908" s="1" customFormat="1" customHeight="1" spans="1:9">
      <c r="A1908" s="18" t="str">
        <f t="shared" si="160"/>
        <v>B9F</v>
      </c>
      <c r="B1908" s="19" t="s">
        <v>62</v>
      </c>
      <c r="C1908" s="18" t="str">
        <f>"肖秋平"</f>
        <v>肖秋平</v>
      </c>
      <c r="D1908" s="18" t="str">
        <f t="shared" si="162"/>
        <v>女</v>
      </c>
      <c r="E1908" s="18" t="str">
        <f>"2022014811"</f>
        <v>2022014811</v>
      </c>
      <c r="F1908" s="22">
        <v>67.9</v>
      </c>
      <c r="G1908" s="24">
        <v>16</v>
      </c>
      <c r="H1908" s="23"/>
      <c r="I1908" s="18" t="s">
        <v>12</v>
      </c>
    </row>
    <row r="1909" s="1" customFormat="1" customHeight="1" spans="1:9">
      <c r="A1909" s="18" t="str">
        <f t="shared" si="160"/>
        <v>B9F</v>
      </c>
      <c r="B1909" s="19" t="s">
        <v>62</v>
      </c>
      <c r="C1909" s="18" t="str">
        <f>"聂东豪"</f>
        <v>聂东豪</v>
      </c>
      <c r="D1909" s="18" t="str">
        <f t="shared" ref="D1909:D1912" si="163">"男"</f>
        <v>男</v>
      </c>
      <c r="E1909" s="18" t="str">
        <f>"2022014814"</f>
        <v>2022014814</v>
      </c>
      <c r="F1909" s="24">
        <v>67.7</v>
      </c>
      <c r="G1909" s="24">
        <v>17</v>
      </c>
      <c r="H1909" s="18"/>
      <c r="I1909" s="18" t="s">
        <v>12</v>
      </c>
    </row>
    <row r="1910" s="1" customFormat="1" customHeight="1" spans="1:9">
      <c r="A1910" s="18" t="str">
        <f t="shared" si="160"/>
        <v>B9F</v>
      </c>
      <c r="B1910" s="19" t="s">
        <v>62</v>
      </c>
      <c r="C1910" s="18" t="str">
        <f>"伍湘锦"</f>
        <v>伍湘锦</v>
      </c>
      <c r="D1910" s="18" t="str">
        <f t="shared" ref="D1910:D1915" si="164">"女"</f>
        <v>女</v>
      </c>
      <c r="E1910" s="18" t="str">
        <f>"2022014803"</f>
        <v>2022014803</v>
      </c>
      <c r="F1910" s="24">
        <v>66.1</v>
      </c>
      <c r="G1910" s="24">
        <v>18</v>
      </c>
      <c r="H1910" s="18"/>
      <c r="I1910" s="18" t="s">
        <v>12</v>
      </c>
    </row>
    <row r="1911" s="1" customFormat="1" customHeight="1" spans="1:9">
      <c r="A1911" s="18" t="str">
        <f t="shared" si="160"/>
        <v>B9F</v>
      </c>
      <c r="B1911" s="19" t="s">
        <v>62</v>
      </c>
      <c r="C1911" s="18" t="str">
        <f>"向春泉"</f>
        <v>向春泉</v>
      </c>
      <c r="D1911" s="18" t="str">
        <f t="shared" si="163"/>
        <v>男</v>
      </c>
      <c r="E1911" s="18" t="str">
        <f>"2022014828"</f>
        <v>2022014828</v>
      </c>
      <c r="F1911" s="24">
        <v>65.4</v>
      </c>
      <c r="G1911" s="24">
        <v>19</v>
      </c>
      <c r="H1911" s="18"/>
      <c r="I1911" s="18" t="s">
        <v>12</v>
      </c>
    </row>
    <row r="1912" s="1" customFormat="1" customHeight="1" spans="1:9">
      <c r="A1912" s="18" t="str">
        <f t="shared" si="160"/>
        <v>B9F</v>
      </c>
      <c r="B1912" s="19" t="s">
        <v>62</v>
      </c>
      <c r="C1912" s="18" t="str">
        <f>"曾立勇"</f>
        <v>曾立勇</v>
      </c>
      <c r="D1912" s="18" t="str">
        <f t="shared" si="163"/>
        <v>男</v>
      </c>
      <c r="E1912" s="18" t="str">
        <f>"2022014830"</f>
        <v>2022014830</v>
      </c>
      <c r="F1912" s="24">
        <v>65</v>
      </c>
      <c r="G1912" s="24">
        <v>20</v>
      </c>
      <c r="H1912" s="18"/>
      <c r="I1912" s="18" t="s">
        <v>12</v>
      </c>
    </row>
    <row r="1913" s="1" customFormat="1" customHeight="1" spans="1:9">
      <c r="A1913" s="18" t="str">
        <f t="shared" si="160"/>
        <v>B9F</v>
      </c>
      <c r="B1913" s="19" t="s">
        <v>62</v>
      </c>
      <c r="C1913" s="18" t="str">
        <f>"刘莉颖"</f>
        <v>刘莉颖</v>
      </c>
      <c r="D1913" s="18" t="str">
        <f t="shared" si="164"/>
        <v>女</v>
      </c>
      <c r="E1913" s="18" t="str">
        <f>"2022014822"</f>
        <v>2022014822</v>
      </c>
      <c r="F1913" s="24">
        <v>63.8</v>
      </c>
      <c r="G1913" s="24">
        <v>21</v>
      </c>
      <c r="H1913" s="18"/>
      <c r="I1913" s="18" t="s">
        <v>12</v>
      </c>
    </row>
    <row r="1914" s="1" customFormat="1" customHeight="1" spans="1:9">
      <c r="A1914" s="18" t="str">
        <f t="shared" si="160"/>
        <v>B9F</v>
      </c>
      <c r="B1914" s="19" t="s">
        <v>62</v>
      </c>
      <c r="C1914" s="18" t="str">
        <f>"马昆凤"</f>
        <v>马昆凤</v>
      </c>
      <c r="D1914" s="18" t="str">
        <f t="shared" si="164"/>
        <v>女</v>
      </c>
      <c r="E1914" s="18" t="str">
        <f>"2022014813"</f>
        <v>2022014813</v>
      </c>
      <c r="F1914" s="24">
        <v>60.7</v>
      </c>
      <c r="G1914" s="24">
        <v>22</v>
      </c>
      <c r="H1914" s="18"/>
      <c r="I1914" s="18" t="s">
        <v>12</v>
      </c>
    </row>
    <row r="1915" s="1" customFormat="1" customHeight="1" spans="1:9">
      <c r="A1915" s="18" t="str">
        <f t="shared" si="160"/>
        <v>B9F</v>
      </c>
      <c r="B1915" s="19" t="s">
        <v>62</v>
      </c>
      <c r="C1915" s="18" t="str">
        <f>"向瑞梅"</f>
        <v>向瑞梅</v>
      </c>
      <c r="D1915" s="18" t="str">
        <f t="shared" si="164"/>
        <v>女</v>
      </c>
      <c r="E1915" s="18" t="str">
        <f>"2022014829"</f>
        <v>2022014829</v>
      </c>
      <c r="F1915" s="25">
        <v>48.8</v>
      </c>
      <c r="G1915" s="24">
        <v>23</v>
      </c>
      <c r="H1915" s="26"/>
      <c r="I1915" s="18" t="s">
        <v>12</v>
      </c>
    </row>
    <row r="1916" s="1" customFormat="1" customHeight="1" spans="1:9">
      <c r="A1916" s="18" t="str">
        <f t="shared" si="160"/>
        <v>B9F</v>
      </c>
      <c r="B1916" s="19" t="s">
        <v>62</v>
      </c>
      <c r="C1916" s="18" t="str">
        <f>"尹永兵"</f>
        <v>尹永兵</v>
      </c>
      <c r="D1916" s="18" t="str">
        <f>"男"</f>
        <v>男</v>
      </c>
      <c r="E1916" s="18" t="str">
        <f>"2022014804"</f>
        <v>2022014804</v>
      </c>
      <c r="F1916" s="18">
        <v>0</v>
      </c>
      <c r="G1916" s="24">
        <v>24</v>
      </c>
      <c r="H1916" s="18" t="s">
        <v>13</v>
      </c>
      <c r="I1916" s="18" t="s">
        <v>12</v>
      </c>
    </row>
    <row r="1917" s="1" customFormat="1" customHeight="1" spans="1:9">
      <c r="A1917" s="18" t="str">
        <f t="shared" si="160"/>
        <v>B9F</v>
      </c>
      <c r="B1917" s="19" t="s">
        <v>62</v>
      </c>
      <c r="C1917" s="18" t="str">
        <f>"邓银平"</f>
        <v>邓银平</v>
      </c>
      <c r="D1917" s="18" t="str">
        <f t="shared" ref="D1917:D1922" si="165">"女"</f>
        <v>女</v>
      </c>
      <c r="E1917" s="18" t="str">
        <f>"2022014808"</f>
        <v>2022014808</v>
      </c>
      <c r="F1917" s="18">
        <v>0</v>
      </c>
      <c r="G1917" s="24">
        <v>24</v>
      </c>
      <c r="H1917" s="18" t="s">
        <v>13</v>
      </c>
      <c r="I1917" s="18" t="s">
        <v>12</v>
      </c>
    </row>
    <row r="1918" s="1" customFormat="1" customHeight="1" spans="1:9">
      <c r="A1918" s="18" t="str">
        <f t="shared" si="160"/>
        <v>B9F</v>
      </c>
      <c r="B1918" s="19" t="s">
        <v>62</v>
      </c>
      <c r="C1918" s="18" t="str">
        <f>"周翔"</f>
        <v>周翔</v>
      </c>
      <c r="D1918" s="18" t="str">
        <f>"男"</f>
        <v>男</v>
      </c>
      <c r="E1918" s="18" t="str">
        <f>"2022014810"</f>
        <v>2022014810</v>
      </c>
      <c r="F1918" s="20">
        <v>0</v>
      </c>
      <c r="G1918" s="24">
        <v>24</v>
      </c>
      <c r="H1918" s="21" t="s">
        <v>13</v>
      </c>
      <c r="I1918" s="18" t="s">
        <v>12</v>
      </c>
    </row>
    <row r="1919" s="1" customFormat="1" customHeight="1" spans="1:9">
      <c r="A1919" s="18" t="str">
        <f t="shared" si="160"/>
        <v>B9F</v>
      </c>
      <c r="B1919" s="19" t="s">
        <v>62</v>
      </c>
      <c r="C1919" s="18" t="str">
        <f>"徐利梅"</f>
        <v>徐利梅</v>
      </c>
      <c r="D1919" s="18" t="str">
        <f t="shared" si="165"/>
        <v>女</v>
      </c>
      <c r="E1919" s="18" t="str">
        <f>"2022014815"</f>
        <v>2022014815</v>
      </c>
      <c r="F1919" s="18">
        <v>0</v>
      </c>
      <c r="G1919" s="24">
        <v>24</v>
      </c>
      <c r="H1919" s="18" t="s">
        <v>13</v>
      </c>
      <c r="I1919" s="18" t="s">
        <v>12</v>
      </c>
    </row>
    <row r="1920" s="1" customFormat="1" customHeight="1" spans="1:9">
      <c r="A1920" s="18" t="str">
        <f t="shared" si="160"/>
        <v>B9F</v>
      </c>
      <c r="B1920" s="19" t="s">
        <v>62</v>
      </c>
      <c r="C1920" s="18" t="str">
        <f>"袁颖"</f>
        <v>袁颖</v>
      </c>
      <c r="D1920" s="18" t="str">
        <f t="shared" si="165"/>
        <v>女</v>
      </c>
      <c r="E1920" s="18" t="str">
        <f>"2022014824"</f>
        <v>2022014824</v>
      </c>
      <c r="F1920" s="22">
        <v>0</v>
      </c>
      <c r="G1920" s="24">
        <v>24</v>
      </c>
      <c r="H1920" s="23" t="s">
        <v>13</v>
      </c>
      <c r="I1920" s="18" t="s">
        <v>12</v>
      </c>
    </row>
    <row r="1921" s="1" customFormat="1" customHeight="1" spans="1:9">
      <c r="A1921" s="18" t="str">
        <f t="shared" si="160"/>
        <v>B9F</v>
      </c>
      <c r="B1921" s="19" t="s">
        <v>62</v>
      </c>
      <c r="C1921" s="18" t="str">
        <f>"刘艳姣"</f>
        <v>刘艳姣</v>
      </c>
      <c r="D1921" s="18" t="str">
        <f t="shared" si="165"/>
        <v>女</v>
      </c>
      <c r="E1921" s="18" t="str">
        <f>"2022014825"</f>
        <v>2022014825</v>
      </c>
      <c r="F1921" s="24">
        <v>0</v>
      </c>
      <c r="G1921" s="24">
        <v>24</v>
      </c>
      <c r="H1921" s="18" t="s">
        <v>13</v>
      </c>
      <c r="I1921" s="18" t="s">
        <v>12</v>
      </c>
    </row>
    <row r="1922" s="1" customFormat="1" customHeight="1" spans="1:9">
      <c r="A1922" s="18" t="str">
        <f t="shared" si="160"/>
        <v>B9F</v>
      </c>
      <c r="B1922" s="19" t="s">
        <v>62</v>
      </c>
      <c r="C1922" s="18" t="str">
        <f>"刘熊"</f>
        <v>刘熊</v>
      </c>
      <c r="D1922" s="18" t="str">
        <f t="shared" si="165"/>
        <v>女</v>
      </c>
      <c r="E1922" s="18" t="str">
        <f>"2022014827"</f>
        <v>2022014827</v>
      </c>
      <c r="F1922" s="24">
        <v>0</v>
      </c>
      <c r="G1922" s="24">
        <v>24</v>
      </c>
      <c r="H1922" s="18" t="s">
        <v>13</v>
      </c>
      <c r="I1922" s="18" t="s">
        <v>12</v>
      </c>
    </row>
    <row r="1923" s="1" customFormat="1" customHeight="1" spans="1:9">
      <c r="A1923" s="18" t="str">
        <f t="shared" ref="A1923:A1931" si="166">"B9G"</f>
        <v>B9G</v>
      </c>
      <c r="B1923" s="19" t="s">
        <v>63</v>
      </c>
      <c r="C1923" s="18" t="str">
        <f>"姜泽丞"</f>
        <v>姜泽丞</v>
      </c>
      <c r="D1923" s="18" t="str">
        <f>"男"</f>
        <v>男</v>
      </c>
      <c r="E1923" s="18" t="str">
        <f>"2022014901"</f>
        <v>2022014901</v>
      </c>
      <c r="F1923" s="24">
        <v>83.1</v>
      </c>
      <c r="G1923" s="24">
        <v>1</v>
      </c>
      <c r="H1923" s="18"/>
      <c r="I1923" s="28" t="s">
        <v>11</v>
      </c>
    </row>
    <row r="1924" s="1" customFormat="1" customHeight="1" spans="1:9">
      <c r="A1924" s="18" t="str">
        <f t="shared" si="166"/>
        <v>B9G</v>
      </c>
      <c r="B1924" s="19" t="s">
        <v>63</v>
      </c>
      <c r="C1924" s="18" t="str">
        <f>"吕婷"</f>
        <v>吕婷</v>
      </c>
      <c r="D1924" s="18" t="str">
        <f t="shared" ref="D1924:D1930" si="167">"女"</f>
        <v>女</v>
      </c>
      <c r="E1924" s="18" t="str">
        <f>"2022014903"</f>
        <v>2022014903</v>
      </c>
      <c r="F1924" s="24">
        <v>79</v>
      </c>
      <c r="G1924" s="24">
        <v>2</v>
      </c>
      <c r="H1924" s="18"/>
      <c r="I1924" s="28" t="s">
        <v>11</v>
      </c>
    </row>
    <row r="1925" s="1" customFormat="1" customHeight="1" spans="1:9">
      <c r="A1925" s="18" t="str">
        <f t="shared" si="166"/>
        <v>B9G</v>
      </c>
      <c r="B1925" s="19" t="s">
        <v>63</v>
      </c>
      <c r="C1925" s="18" t="str">
        <f>"戴君"</f>
        <v>戴君</v>
      </c>
      <c r="D1925" s="18" t="str">
        <f t="shared" si="167"/>
        <v>女</v>
      </c>
      <c r="E1925" s="18" t="str">
        <f>"2022014907"</f>
        <v>2022014907</v>
      </c>
      <c r="F1925" s="25">
        <v>75.9</v>
      </c>
      <c r="G1925" s="24">
        <v>3</v>
      </c>
      <c r="H1925" s="26"/>
      <c r="I1925" s="18" t="s">
        <v>12</v>
      </c>
    </row>
    <row r="1926" s="1" customFormat="1" customHeight="1" spans="1:9">
      <c r="A1926" s="18" t="str">
        <f t="shared" si="166"/>
        <v>B9G</v>
      </c>
      <c r="B1926" s="19" t="s">
        <v>63</v>
      </c>
      <c r="C1926" s="18" t="str">
        <f>"黄盼"</f>
        <v>黄盼</v>
      </c>
      <c r="D1926" s="18" t="str">
        <f t="shared" si="167"/>
        <v>女</v>
      </c>
      <c r="E1926" s="18" t="str">
        <f>"2022014902"</f>
        <v>2022014902</v>
      </c>
      <c r="F1926" s="18">
        <v>75</v>
      </c>
      <c r="G1926" s="24">
        <v>4</v>
      </c>
      <c r="H1926" s="18"/>
      <c r="I1926" s="18" t="s">
        <v>12</v>
      </c>
    </row>
    <row r="1927" s="1" customFormat="1" customHeight="1" spans="1:9">
      <c r="A1927" s="18" t="str">
        <f t="shared" si="166"/>
        <v>B9G</v>
      </c>
      <c r="B1927" s="19" t="s">
        <v>63</v>
      </c>
      <c r="C1927" s="18" t="str">
        <f>"熊钰"</f>
        <v>熊钰</v>
      </c>
      <c r="D1927" s="18" t="str">
        <f t="shared" si="167"/>
        <v>女</v>
      </c>
      <c r="E1927" s="18" t="str">
        <f>"2022014909"</f>
        <v>2022014909</v>
      </c>
      <c r="F1927" s="22">
        <v>73.8</v>
      </c>
      <c r="G1927" s="24">
        <v>5</v>
      </c>
      <c r="H1927" s="23"/>
      <c r="I1927" s="18" t="s">
        <v>12</v>
      </c>
    </row>
    <row r="1928" s="1" customFormat="1" customHeight="1" spans="1:9">
      <c r="A1928" s="18" t="str">
        <f t="shared" si="166"/>
        <v>B9G</v>
      </c>
      <c r="B1928" s="19" t="s">
        <v>63</v>
      </c>
      <c r="C1928" s="18" t="str">
        <f>"曾婉奇"</f>
        <v>曾婉奇</v>
      </c>
      <c r="D1928" s="18" t="str">
        <f t="shared" si="167"/>
        <v>女</v>
      </c>
      <c r="E1928" s="18" t="str">
        <f>"2022014905"</f>
        <v>2022014905</v>
      </c>
      <c r="F1928" s="24">
        <v>69.6</v>
      </c>
      <c r="G1928" s="24">
        <v>6</v>
      </c>
      <c r="H1928" s="18"/>
      <c r="I1928" s="18" t="s">
        <v>12</v>
      </c>
    </row>
    <row r="1929" s="1" customFormat="1" customHeight="1" spans="1:9">
      <c r="A1929" s="18" t="str">
        <f t="shared" si="166"/>
        <v>B9G</v>
      </c>
      <c r="B1929" s="19" t="s">
        <v>63</v>
      </c>
      <c r="C1929" s="18" t="str">
        <f>"黄薇"</f>
        <v>黄薇</v>
      </c>
      <c r="D1929" s="18" t="str">
        <f t="shared" si="167"/>
        <v>女</v>
      </c>
      <c r="E1929" s="18" t="str">
        <f>"2022014908"</f>
        <v>2022014908</v>
      </c>
      <c r="F1929" s="24">
        <v>68.1</v>
      </c>
      <c r="G1929" s="24">
        <v>7</v>
      </c>
      <c r="H1929" s="18"/>
      <c r="I1929" s="18" t="s">
        <v>12</v>
      </c>
    </row>
    <row r="1930" s="1" customFormat="1" customHeight="1" spans="1:9">
      <c r="A1930" s="18" t="str">
        <f t="shared" si="166"/>
        <v>B9G</v>
      </c>
      <c r="B1930" s="19" t="s">
        <v>63</v>
      </c>
      <c r="C1930" s="18" t="str">
        <f>"陈红"</f>
        <v>陈红</v>
      </c>
      <c r="D1930" s="18" t="str">
        <f t="shared" si="167"/>
        <v>女</v>
      </c>
      <c r="E1930" s="18" t="str">
        <f>"2022014906"</f>
        <v>2022014906</v>
      </c>
      <c r="F1930" s="24">
        <v>67.8</v>
      </c>
      <c r="G1930" s="24">
        <v>8</v>
      </c>
      <c r="H1930" s="18"/>
      <c r="I1930" s="18" t="s">
        <v>12</v>
      </c>
    </row>
    <row r="1931" s="1" customFormat="1" customHeight="1" spans="1:9">
      <c r="A1931" s="18" t="str">
        <f t="shared" si="166"/>
        <v>B9G</v>
      </c>
      <c r="B1931" s="19" t="s">
        <v>63</v>
      </c>
      <c r="C1931" s="18" t="str">
        <f>"周纯锐"</f>
        <v>周纯锐</v>
      </c>
      <c r="D1931" s="18" t="str">
        <f>"男"</f>
        <v>男</v>
      </c>
      <c r="E1931" s="18" t="str">
        <f>"2022014904"</f>
        <v>2022014904</v>
      </c>
      <c r="F1931" s="24">
        <v>0</v>
      </c>
      <c r="G1931" s="24">
        <v>9</v>
      </c>
      <c r="H1931" s="18" t="s">
        <v>13</v>
      </c>
      <c r="I1931" s="18" t="s">
        <v>12</v>
      </c>
    </row>
    <row r="1932" s="1" customFormat="1" customHeight="1" spans="1:9">
      <c r="A1932" s="18" t="str">
        <f t="shared" ref="A1932:A1950" si="168">"C1G"</f>
        <v>C1G</v>
      </c>
      <c r="B1932" s="19" t="s">
        <v>64</v>
      </c>
      <c r="C1932" s="18" t="str">
        <f>"刘长荣"</f>
        <v>刘长荣</v>
      </c>
      <c r="D1932" s="18" t="str">
        <f>"男"</f>
        <v>男</v>
      </c>
      <c r="E1932" s="18" t="str">
        <f>"2022012423"</f>
        <v>2022012423</v>
      </c>
      <c r="F1932" s="24">
        <v>88.5</v>
      </c>
      <c r="G1932" s="24">
        <v>1</v>
      </c>
      <c r="H1932" s="18"/>
      <c r="I1932" s="28" t="s">
        <v>11</v>
      </c>
    </row>
    <row r="1933" s="1" customFormat="1" customHeight="1" spans="1:9">
      <c r="A1933" s="18" t="str">
        <f t="shared" si="168"/>
        <v>C1G</v>
      </c>
      <c r="B1933" s="19" t="s">
        <v>64</v>
      </c>
      <c r="C1933" s="18" t="str">
        <f>"段姝哲"</f>
        <v>段姝哲</v>
      </c>
      <c r="D1933" s="18" t="str">
        <f t="shared" ref="D1933:D1953" si="169">"女"</f>
        <v>女</v>
      </c>
      <c r="E1933" s="18" t="str">
        <f>"2022012413"</f>
        <v>2022012413</v>
      </c>
      <c r="F1933" s="24">
        <v>84.9</v>
      </c>
      <c r="G1933" s="24">
        <v>2</v>
      </c>
      <c r="H1933" s="18"/>
      <c r="I1933" s="28" t="s">
        <v>11</v>
      </c>
    </row>
    <row r="1934" s="1" customFormat="1" customHeight="1" spans="1:9">
      <c r="A1934" s="18" t="str">
        <f t="shared" si="168"/>
        <v>C1G</v>
      </c>
      <c r="B1934" s="19" t="s">
        <v>64</v>
      </c>
      <c r="C1934" s="18" t="str">
        <f>"张洁帆"</f>
        <v>张洁帆</v>
      </c>
      <c r="D1934" s="18" t="str">
        <f t="shared" si="169"/>
        <v>女</v>
      </c>
      <c r="E1934" s="18" t="str">
        <f>"2022012419"</f>
        <v>2022012419</v>
      </c>
      <c r="F1934" s="24">
        <v>84.2</v>
      </c>
      <c r="G1934" s="24">
        <v>3</v>
      </c>
      <c r="H1934" s="18"/>
      <c r="I1934" s="18" t="s">
        <v>12</v>
      </c>
    </row>
    <row r="1935" s="1" customFormat="1" customHeight="1" spans="1:9">
      <c r="A1935" s="18" t="str">
        <f t="shared" si="168"/>
        <v>C1G</v>
      </c>
      <c r="B1935" s="19" t="s">
        <v>64</v>
      </c>
      <c r="C1935" s="18" t="str">
        <f>"刘玉洁"</f>
        <v>刘玉洁</v>
      </c>
      <c r="D1935" s="18" t="str">
        <f t="shared" si="169"/>
        <v>女</v>
      </c>
      <c r="E1935" s="18" t="str">
        <f>"2022012414"</f>
        <v>2022012414</v>
      </c>
      <c r="F1935" s="24">
        <v>83</v>
      </c>
      <c r="G1935" s="24">
        <v>4</v>
      </c>
      <c r="H1935" s="18"/>
      <c r="I1935" s="18" t="s">
        <v>12</v>
      </c>
    </row>
    <row r="1936" s="1" customFormat="1" customHeight="1" spans="1:9">
      <c r="A1936" s="18" t="str">
        <f t="shared" si="168"/>
        <v>C1G</v>
      </c>
      <c r="B1936" s="19" t="s">
        <v>64</v>
      </c>
      <c r="C1936" s="18" t="str">
        <f>"朱宇捷"</f>
        <v>朱宇捷</v>
      </c>
      <c r="D1936" s="18" t="str">
        <f t="shared" si="169"/>
        <v>女</v>
      </c>
      <c r="E1936" s="18" t="str">
        <f>"2022012421"</f>
        <v>2022012421</v>
      </c>
      <c r="F1936" s="25">
        <v>82.5</v>
      </c>
      <c r="G1936" s="24">
        <v>5</v>
      </c>
      <c r="H1936" s="26"/>
      <c r="I1936" s="18" t="s">
        <v>12</v>
      </c>
    </row>
    <row r="1937" s="1" customFormat="1" customHeight="1" spans="1:9">
      <c r="A1937" s="18" t="str">
        <f t="shared" si="168"/>
        <v>C1G</v>
      </c>
      <c r="B1937" s="19" t="s">
        <v>64</v>
      </c>
      <c r="C1937" s="18" t="str">
        <f>"杨喜媚"</f>
        <v>杨喜媚</v>
      </c>
      <c r="D1937" s="18" t="str">
        <f t="shared" si="169"/>
        <v>女</v>
      </c>
      <c r="E1937" s="18" t="str">
        <f>"2022012425"</f>
        <v>2022012425</v>
      </c>
      <c r="F1937" s="18">
        <v>79.9</v>
      </c>
      <c r="G1937" s="24">
        <v>6</v>
      </c>
      <c r="H1937" s="18"/>
      <c r="I1937" s="18" t="s">
        <v>12</v>
      </c>
    </row>
    <row r="1938" s="1" customFormat="1" customHeight="1" spans="1:9">
      <c r="A1938" s="18" t="str">
        <f t="shared" si="168"/>
        <v>C1G</v>
      </c>
      <c r="B1938" s="19" t="s">
        <v>64</v>
      </c>
      <c r="C1938" s="18" t="str">
        <f>"祝文君"</f>
        <v>祝文君</v>
      </c>
      <c r="D1938" s="18" t="str">
        <f t="shared" si="169"/>
        <v>女</v>
      </c>
      <c r="E1938" s="18" t="str">
        <f>"2022012415"</f>
        <v>2022012415</v>
      </c>
      <c r="F1938" s="18">
        <v>79.3</v>
      </c>
      <c r="G1938" s="24">
        <v>7</v>
      </c>
      <c r="H1938" s="18"/>
      <c r="I1938" s="18" t="s">
        <v>12</v>
      </c>
    </row>
    <row r="1939" s="1" customFormat="1" customHeight="1" spans="1:9">
      <c r="A1939" s="18" t="str">
        <f t="shared" si="168"/>
        <v>C1G</v>
      </c>
      <c r="B1939" s="19" t="s">
        <v>64</v>
      </c>
      <c r="C1939" s="18" t="str">
        <f>"陈珍珍"</f>
        <v>陈珍珍</v>
      </c>
      <c r="D1939" s="18" t="str">
        <f t="shared" si="169"/>
        <v>女</v>
      </c>
      <c r="E1939" s="18" t="str">
        <f>"2022012420"</f>
        <v>2022012420</v>
      </c>
      <c r="F1939" s="22">
        <v>78</v>
      </c>
      <c r="G1939" s="24">
        <v>8</v>
      </c>
      <c r="H1939" s="23"/>
      <c r="I1939" s="18" t="s">
        <v>12</v>
      </c>
    </row>
    <row r="1940" s="1" customFormat="1" customHeight="1" spans="1:9">
      <c r="A1940" s="18" t="str">
        <f t="shared" si="168"/>
        <v>C1G</v>
      </c>
      <c r="B1940" s="19" t="s">
        <v>64</v>
      </c>
      <c r="C1940" s="18" t="str">
        <f>"达铃"</f>
        <v>达铃</v>
      </c>
      <c r="D1940" s="18" t="str">
        <f t="shared" si="169"/>
        <v>女</v>
      </c>
      <c r="E1940" s="18" t="str">
        <f>"2022012426"</f>
        <v>2022012426</v>
      </c>
      <c r="F1940" s="24">
        <v>77.3</v>
      </c>
      <c r="G1940" s="24">
        <v>9</v>
      </c>
      <c r="H1940" s="18"/>
      <c r="I1940" s="18" t="s">
        <v>12</v>
      </c>
    </row>
    <row r="1941" s="1" customFormat="1" customHeight="1" spans="1:9">
      <c r="A1941" s="18" t="str">
        <f t="shared" si="168"/>
        <v>C1G</v>
      </c>
      <c r="B1941" s="19" t="s">
        <v>64</v>
      </c>
      <c r="C1941" s="18" t="str">
        <f>"陈爽"</f>
        <v>陈爽</v>
      </c>
      <c r="D1941" s="18" t="str">
        <f t="shared" si="169"/>
        <v>女</v>
      </c>
      <c r="E1941" s="18" t="str">
        <f>"2022012412"</f>
        <v>2022012412</v>
      </c>
      <c r="F1941" s="25">
        <v>73.7</v>
      </c>
      <c r="G1941" s="24">
        <v>10</v>
      </c>
      <c r="H1941" s="26"/>
      <c r="I1941" s="18" t="s">
        <v>12</v>
      </c>
    </row>
    <row r="1942" s="1" customFormat="1" customHeight="1" spans="1:9">
      <c r="A1942" s="18" t="str">
        <f t="shared" si="168"/>
        <v>C1G</v>
      </c>
      <c r="B1942" s="19" t="s">
        <v>64</v>
      </c>
      <c r="C1942" s="18" t="str">
        <f>"唐郡联"</f>
        <v>唐郡联</v>
      </c>
      <c r="D1942" s="18" t="str">
        <f t="shared" si="169"/>
        <v>女</v>
      </c>
      <c r="E1942" s="18" t="str">
        <f>"2022012416"</f>
        <v>2022012416</v>
      </c>
      <c r="F1942" s="18">
        <v>73.3</v>
      </c>
      <c r="G1942" s="24">
        <v>11</v>
      </c>
      <c r="H1942" s="18"/>
      <c r="I1942" s="18" t="s">
        <v>12</v>
      </c>
    </row>
    <row r="1943" s="1" customFormat="1" customHeight="1" spans="1:9">
      <c r="A1943" s="18" t="str">
        <f t="shared" si="168"/>
        <v>C1G</v>
      </c>
      <c r="B1943" s="19" t="s">
        <v>64</v>
      </c>
      <c r="C1943" s="18" t="str">
        <f>"陈检"</f>
        <v>陈检</v>
      </c>
      <c r="D1943" s="18" t="str">
        <f t="shared" si="169"/>
        <v>女</v>
      </c>
      <c r="E1943" s="18" t="str">
        <f>"2022012429"</f>
        <v>2022012429</v>
      </c>
      <c r="F1943" s="20">
        <v>72.2</v>
      </c>
      <c r="G1943" s="24">
        <v>12</v>
      </c>
      <c r="H1943" s="21"/>
      <c r="I1943" s="18" t="s">
        <v>12</v>
      </c>
    </row>
    <row r="1944" s="1" customFormat="1" customHeight="1" spans="1:9">
      <c r="A1944" s="18" t="str">
        <f t="shared" si="168"/>
        <v>C1G</v>
      </c>
      <c r="B1944" s="19" t="s">
        <v>64</v>
      </c>
      <c r="C1944" s="18" t="str">
        <f>"邓姣"</f>
        <v>邓姣</v>
      </c>
      <c r="D1944" s="18" t="str">
        <f t="shared" si="169"/>
        <v>女</v>
      </c>
      <c r="E1944" s="18" t="str">
        <f>"2022012417"</f>
        <v>2022012417</v>
      </c>
      <c r="F1944" s="18">
        <v>0</v>
      </c>
      <c r="G1944" s="24">
        <v>13</v>
      </c>
      <c r="H1944" s="18" t="s">
        <v>13</v>
      </c>
      <c r="I1944" s="18" t="s">
        <v>12</v>
      </c>
    </row>
    <row r="1945" s="1" customFormat="1" customHeight="1" spans="1:9">
      <c r="A1945" s="18" t="str">
        <f t="shared" si="168"/>
        <v>C1G</v>
      </c>
      <c r="B1945" s="19" t="s">
        <v>64</v>
      </c>
      <c r="C1945" s="18" t="str">
        <f>"吴依依"</f>
        <v>吴依依</v>
      </c>
      <c r="D1945" s="18" t="str">
        <f t="shared" si="169"/>
        <v>女</v>
      </c>
      <c r="E1945" s="18" t="str">
        <f>"2022012418"</f>
        <v>2022012418</v>
      </c>
      <c r="F1945" s="22">
        <v>0</v>
      </c>
      <c r="G1945" s="24">
        <v>13</v>
      </c>
      <c r="H1945" s="23" t="s">
        <v>13</v>
      </c>
      <c r="I1945" s="18" t="s">
        <v>12</v>
      </c>
    </row>
    <row r="1946" s="1" customFormat="1" customHeight="1" spans="1:9">
      <c r="A1946" s="18" t="str">
        <f t="shared" si="168"/>
        <v>C1G</v>
      </c>
      <c r="B1946" s="19" t="s">
        <v>64</v>
      </c>
      <c r="C1946" s="18" t="str">
        <f>"肖舰"</f>
        <v>肖舰</v>
      </c>
      <c r="D1946" s="18" t="str">
        <f t="shared" si="169"/>
        <v>女</v>
      </c>
      <c r="E1946" s="18" t="str">
        <f>"2022012422"</f>
        <v>2022012422</v>
      </c>
      <c r="F1946" s="25">
        <v>0</v>
      </c>
      <c r="G1946" s="24">
        <v>13</v>
      </c>
      <c r="H1946" s="26" t="s">
        <v>13</v>
      </c>
      <c r="I1946" s="18" t="s">
        <v>12</v>
      </c>
    </row>
    <row r="1947" s="1" customFormat="1" customHeight="1" spans="1:9">
      <c r="A1947" s="18" t="str">
        <f t="shared" si="168"/>
        <v>C1G</v>
      </c>
      <c r="B1947" s="19" t="s">
        <v>64</v>
      </c>
      <c r="C1947" s="18" t="str">
        <f>"肖潇洒"</f>
        <v>肖潇洒</v>
      </c>
      <c r="D1947" s="18" t="str">
        <f t="shared" si="169"/>
        <v>女</v>
      </c>
      <c r="E1947" s="18" t="str">
        <f>"2022012424"</f>
        <v>2022012424</v>
      </c>
      <c r="F1947" s="18">
        <v>0</v>
      </c>
      <c r="G1947" s="24">
        <v>13</v>
      </c>
      <c r="H1947" s="18" t="s">
        <v>13</v>
      </c>
      <c r="I1947" s="18" t="s">
        <v>12</v>
      </c>
    </row>
    <row r="1948" s="1" customFormat="1" customHeight="1" spans="1:9">
      <c r="A1948" s="18" t="str">
        <f t="shared" si="168"/>
        <v>C1G</v>
      </c>
      <c r="B1948" s="19" t="s">
        <v>64</v>
      </c>
      <c r="C1948" s="18" t="str">
        <f>"孙雨花"</f>
        <v>孙雨花</v>
      </c>
      <c r="D1948" s="18" t="str">
        <f t="shared" si="169"/>
        <v>女</v>
      </c>
      <c r="E1948" s="18" t="str">
        <f>"2022012427"</f>
        <v>2022012427</v>
      </c>
      <c r="F1948" s="18">
        <v>0</v>
      </c>
      <c r="G1948" s="24">
        <v>13</v>
      </c>
      <c r="H1948" s="18" t="s">
        <v>13</v>
      </c>
      <c r="I1948" s="18" t="s">
        <v>12</v>
      </c>
    </row>
    <row r="1949" s="1" customFormat="1" customHeight="1" spans="1:9">
      <c r="A1949" s="18" t="str">
        <f t="shared" si="168"/>
        <v>C1G</v>
      </c>
      <c r="B1949" s="19" t="s">
        <v>64</v>
      </c>
      <c r="C1949" s="18" t="str">
        <f>"邓萌"</f>
        <v>邓萌</v>
      </c>
      <c r="D1949" s="18" t="str">
        <f t="shared" si="169"/>
        <v>女</v>
      </c>
      <c r="E1949" s="18" t="str">
        <f>"2022012428"</f>
        <v>2022012428</v>
      </c>
      <c r="F1949" s="20">
        <v>0</v>
      </c>
      <c r="G1949" s="24">
        <v>13</v>
      </c>
      <c r="H1949" s="21" t="s">
        <v>13</v>
      </c>
      <c r="I1949" s="18" t="s">
        <v>12</v>
      </c>
    </row>
    <row r="1950" s="1" customFormat="1" customHeight="1" spans="1:9">
      <c r="A1950" s="18" t="str">
        <f t="shared" si="168"/>
        <v>C1G</v>
      </c>
      <c r="B1950" s="19" t="s">
        <v>64</v>
      </c>
      <c r="C1950" s="18" t="str">
        <f>"肖娇玲"</f>
        <v>肖娇玲</v>
      </c>
      <c r="D1950" s="18" t="str">
        <f t="shared" si="169"/>
        <v>女</v>
      </c>
      <c r="E1950" s="18" t="str">
        <f>"2022012430"</f>
        <v>2022012430</v>
      </c>
      <c r="F1950" s="18">
        <v>0</v>
      </c>
      <c r="G1950" s="24">
        <v>13</v>
      </c>
      <c r="H1950" s="18" t="s">
        <v>13</v>
      </c>
      <c r="I1950" s="18" t="s">
        <v>12</v>
      </c>
    </row>
    <row r="1951" s="1" customFormat="1" customHeight="1" spans="1:9">
      <c r="A1951" s="18" t="str">
        <f t="shared" ref="A1951:A1974" si="170">"C2F"</f>
        <v>C2F</v>
      </c>
      <c r="B1951" s="19" t="s">
        <v>65</v>
      </c>
      <c r="C1951" s="18" t="str">
        <f>"何莹"</f>
        <v>何莹</v>
      </c>
      <c r="D1951" s="18" t="str">
        <f t="shared" si="169"/>
        <v>女</v>
      </c>
      <c r="E1951" s="18" t="str">
        <f>"2022015908"</f>
        <v>2022015908</v>
      </c>
      <c r="F1951" s="24">
        <v>81</v>
      </c>
      <c r="G1951" s="24">
        <v>1</v>
      </c>
      <c r="H1951" s="18"/>
      <c r="I1951" s="28" t="s">
        <v>11</v>
      </c>
    </row>
    <row r="1952" s="1" customFormat="1" customHeight="1" spans="1:9">
      <c r="A1952" s="18" t="str">
        <f t="shared" si="170"/>
        <v>C2F</v>
      </c>
      <c r="B1952" s="19" t="s">
        <v>65</v>
      </c>
      <c r="C1952" s="18" t="str">
        <f>"卢春玲"</f>
        <v>卢春玲</v>
      </c>
      <c r="D1952" s="18" t="str">
        <f t="shared" si="169"/>
        <v>女</v>
      </c>
      <c r="E1952" s="18" t="str">
        <f>"2022015921"</f>
        <v>2022015921</v>
      </c>
      <c r="F1952" s="18">
        <v>79.3</v>
      </c>
      <c r="G1952" s="18">
        <v>2</v>
      </c>
      <c r="H1952" s="18"/>
      <c r="I1952" s="28" t="s">
        <v>11</v>
      </c>
    </row>
    <row r="1953" s="1" customFormat="1" customHeight="1" spans="1:9">
      <c r="A1953" s="18" t="str">
        <f t="shared" si="170"/>
        <v>C2F</v>
      </c>
      <c r="B1953" s="19" t="s">
        <v>65</v>
      </c>
      <c r="C1953" s="18" t="str">
        <f>"王佳"</f>
        <v>王佳</v>
      </c>
      <c r="D1953" s="18" t="str">
        <f t="shared" si="169"/>
        <v>女</v>
      </c>
      <c r="E1953" s="18" t="str">
        <f>"2022015913"</f>
        <v>2022015913</v>
      </c>
      <c r="F1953" s="18">
        <v>78.4</v>
      </c>
      <c r="G1953" s="24">
        <v>3</v>
      </c>
      <c r="H1953" s="18"/>
      <c r="I1953" s="18" t="s">
        <v>12</v>
      </c>
    </row>
    <row r="1954" s="1" customFormat="1" customHeight="1" spans="1:9">
      <c r="A1954" s="18" t="str">
        <f t="shared" si="170"/>
        <v>C2F</v>
      </c>
      <c r="B1954" s="19" t="s">
        <v>65</v>
      </c>
      <c r="C1954" s="18" t="str">
        <f>"黄孝明"</f>
        <v>黄孝明</v>
      </c>
      <c r="D1954" s="18" t="str">
        <f>"男"</f>
        <v>男</v>
      </c>
      <c r="E1954" s="18" t="str">
        <f>"2022015910"</f>
        <v>2022015910</v>
      </c>
      <c r="F1954" s="24">
        <v>73.5</v>
      </c>
      <c r="G1954" s="18">
        <v>4</v>
      </c>
      <c r="H1954" s="18"/>
      <c r="I1954" s="18" t="s">
        <v>12</v>
      </c>
    </row>
    <row r="1955" s="1" customFormat="1" customHeight="1" spans="1:9">
      <c r="A1955" s="18" t="str">
        <f t="shared" si="170"/>
        <v>C2F</v>
      </c>
      <c r="B1955" s="19" t="s">
        <v>65</v>
      </c>
      <c r="C1955" s="18" t="str">
        <f>"周晶鑫"</f>
        <v>周晶鑫</v>
      </c>
      <c r="D1955" s="18" t="str">
        <f>"男"</f>
        <v>男</v>
      </c>
      <c r="E1955" s="18" t="str">
        <f>"2022015919"</f>
        <v>2022015919</v>
      </c>
      <c r="F1955" s="24">
        <v>72.7</v>
      </c>
      <c r="G1955" s="24">
        <v>5</v>
      </c>
      <c r="H1955" s="18"/>
      <c r="I1955" s="18" t="s">
        <v>12</v>
      </c>
    </row>
    <row r="1956" s="1" customFormat="1" customHeight="1" spans="1:9">
      <c r="A1956" s="18" t="str">
        <f t="shared" si="170"/>
        <v>C2F</v>
      </c>
      <c r="B1956" s="19" t="s">
        <v>65</v>
      </c>
      <c r="C1956" s="18" t="str">
        <f>"王水娥"</f>
        <v>王水娥</v>
      </c>
      <c r="D1956" s="18" t="str">
        <f t="shared" ref="D1956:D1960" si="171">"女"</f>
        <v>女</v>
      </c>
      <c r="E1956" s="18" t="str">
        <f>"2022015929"</f>
        <v>2022015929</v>
      </c>
      <c r="F1956" s="24">
        <v>72.3</v>
      </c>
      <c r="G1956" s="18">
        <v>6</v>
      </c>
      <c r="H1956" s="18"/>
      <c r="I1956" s="18" t="s">
        <v>12</v>
      </c>
    </row>
    <row r="1957" s="1" customFormat="1" customHeight="1" spans="1:9">
      <c r="A1957" s="18" t="str">
        <f t="shared" si="170"/>
        <v>C2F</v>
      </c>
      <c r="B1957" s="19" t="s">
        <v>65</v>
      </c>
      <c r="C1957" s="18" t="str">
        <f>"朱婷"</f>
        <v>朱婷</v>
      </c>
      <c r="D1957" s="18" t="str">
        <f t="shared" si="171"/>
        <v>女</v>
      </c>
      <c r="E1957" s="18" t="str">
        <f>"2022015911"</f>
        <v>2022015911</v>
      </c>
      <c r="F1957" s="24">
        <v>71.6</v>
      </c>
      <c r="G1957" s="24">
        <v>7</v>
      </c>
      <c r="H1957" s="18"/>
      <c r="I1957" s="18" t="s">
        <v>12</v>
      </c>
    </row>
    <row r="1958" s="1" customFormat="1" customHeight="1" spans="1:9">
      <c r="A1958" s="18" t="str">
        <f t="shared" si="170"/>
        <v>C2F</v>
      </c>
      <c r="B1958" s="19" t="s">
        <v>65</v>
      </c>
      <c r="C1958" s="18" t="str">
        <f>"李乐瑶"</f>
        <v>李乐瑶</v>
      </c>
      <c r="D1958" s="18" t="str">
        <f t="shared" si="171"/>
        <v>女</v>
      </c>
      <c r="E1958" s="18" t="str">
        <f>"2022015917"</f>
        <v>2022015917</v>
      </c>
      <c r="F1958" s="24">
        <v>70.7</v>
      </c>
      <c r="G1958" s="18">
        <v>8</v>
      </c>
      <c r="H1958" s="18"/>
      <c r="I1958" s="18" t="s">
        <v>12</v>
      </c>
    </row>
    <row r="1959" s="1" customFormat="1" customHeight="1" spans="1:9">
      <c r="A1959" s="18" t="str">
        <f t="shared" si="170"/>
        <v>C2F</v>
      </c>
      <c r="B1959" s="19" t="s">
        <v>65</v>
      </c>
      <c r="C1959" s="18" t="str">
        <f>"李沛琦"</f>
        <v>李沛琦</v>
      </c>
      <c r="D1959" s="18" t="str">
        <f t="shared" si="171"/>
        <v>女</v>
      </c>
      <c r="E1959" s="18" t="str">
        <f>"2022015912"</f>
        <v>2022015912</v>
      </c>
      <c r="F1959" s="24">
        <v>68.8</v>
      </c>
      <c r="G1959" s="24">
        <v>9</v>
      </c>
      <c r="H1959" s="18"/>
      <c r="I1959" s="18" t="s">
        <v>12</v>
      </c>
    </row>
    <row r="1960" s="1" customFormat="1" customHeight="1" spans="1:9">
      <c r="A1960" s="18" t="str">
        <f t="shared" si="170"/>
        <v>C2F</v>
      </c>
      <c r="B1960" s="19" t="s">
        <v>65</v>
      </c>
      <c r="C1960" s="18" t="str">
        <f>"肖康琳"</f>
        <v>肖康琳</v>
      </c>
      <c r="D1960" s="18" t="str">
        <f t="shared" si="171"/>
        <v>女</v>
      </c>
      <c r="E1960" s="18" t="str">
        <f>"2022015909"</f>
        <v>2022015909</v>
      </c>
      <c r="F1960" s="24">
        <v>67.7</v>
      </c>
      <c r="G1960" s="18">
        <v>10</v>
      </c>
      <c r="H1960" s="18"/>
      <c r="I1960" s="18" t="s">
        <v>12</v>
      </c>
    </row>
    <row r="1961" s="1" customFormat="1" customHeight="1" spans="1:9">
      <c r="A1961" s="18" t="str">
        <f t="shared" si="170"/>
        <v>C2F</v>
      </c>
      <c r="B1961" s="19" t="s">
        <v>65</v>
      </c>
      <c r="C1961" s="18" t="str">
        <f>"许名湛 "</f>
        <v>许名湛 </v>
      </c>
      <c r="D1961" s="18" t="str">
        <f>"男"</f>
        <v>男</v>
      </c>
      <c r="E1961" s="18" t="str">
        <f>"2022015927"</f>
        <v>2022015927</v>
      </c>
      <c r="F1961" s="24">
        <v>67.7</v>
      </c>
      <c r="G1961" s="24">
        <v>10</v>
      </c>
      <c r="H1961" s="18"/>
      <c r="I1961" s="18" t="s">
        <v>12</v>
      </c>
    </row>
    <row r="1962" s="1" customFormat="1" customHeight="1" spans="1:9">
      <c r="A1962" s="18" t="str">
        <f t="shared" si="170"/>
        <v>C2F</v>
      </c>
      <c r="B1962" s="19" t="s">
        <v>65</v>
      </c>
      <c r="C1962" s="18" t="str">
        <f>"陈思霖"</f>
        <v>陈思霖</v>
      </c>
      <c r="D1962" s="18" t="str">
        <f t="shared" ref="D1962:D1972" si="172">"女"</f>
        <v>女</v>
      </c>
      <c r="E1962" s="18" t="str">
        <f>"2022015926"</f>
        <v>2022015926</v>
      </c>
      <c r="F1962" s="24">
        <v>66.7</v>
      </c>
      <c r="G1962" s="18">
        <v>12</v>
      </c>
      <c r="H1962" s="18"/>
      <c r="I1962" s="18" t="s">
        <v>12</v>
      </c>
    </row>
    <row r="1963" s="1" customFormat="1" customHeight="1" spans="1:9">
      <c r="A1963" s="18" t="str">
        <f t="shared" si="170"/>
        <v>C2F</v>
      </c>
      <c r="B1963" s="19" t="s">
        <v>65</v>
      </c>
      <c r="C1963" s="18" t="str">
        <f>"赵美寒"</f>
        <v>赵美寒</v>
      </c>
      <c r="D1963" s="18" t="str">
        <f t="shared" si="172"/>
        <v>女</v>
      </c>
      <c r="E1963" s="18" t="str">
        <f>"2022015918"</f>
        <v>2022015918</v>
      </c>
      <c r="F1963" s="24">
        <v>64.1</v>
      </c>
      <c r="G1963" s="24">
        <v>13</v>
      </c>
      <c r="H1963" s="18"/>
      <c r="I1963" s="18" t="s">
        <v>12</v>
      </c>
    </row>
    <row r="1964" s="1" customFormat="1" customHeight="1" spans="1:9">
      <c r="A1964" s="18" t="str">
        <f t="shared" si="170"/>
        <v>C2F</v>
      </c>
      <c r="B1964" s="19" t="s">
        <v>65</v>
      </c>
      <c r="C1964" s="18" t="str">
        <f>"郑亦程"</f>
        <v>郑亦程</v>
      </c>
      <c r="D1964" s="18" t="str">
        <f>"男"</f>
        <v>男</v>
      </c>
      <c r="E1964" s="18" t="str">
        <f>"2022015916"</f>
        <v>2022015916</v>
      </c>
      <c r="F1964" s="24">
        <v>63.9</v>
      </c>
      <c r="G1964" s="18">
        <v>14</v>
      </c>
      <c r="H1964" s="18"/>
      <c r="I1964" s="18" t="s">
        <v>12</v>
      </c>
    </row>
    <row r="1965" s="1" customFormat="1" customHeight="1" spans="1:9">
      <c r="A1965" s="18" t="str">
        <f t="shared" si="170"/>
        <v>C2F</v>
      </c>
      <c r="B1965" s="19" t="s">
        <v>65</v>
      </c>
      <c r="C1965" s="18" t="str">
        <f>"王挹"</f>
        <v>王挹</v>
      </c>
      <c r="D1965" s="18" t="str">
        <f t="shared" si="172"/>
        <v>女</v>
      </c>
      <c r="E1965" s="18" t="str">
        <f>"2022015931"</f>
        <v>2022015931</v>
      </c>
      <c r="F1965" s="24">
        <v>63.4</v>
      </c>
      <c r="G1965" s="24">
        <v>15</v>
      </c>
      <c r="H1965" s="18"/>
      <c r="I1965" s="18" t="s">
        <v>12</v>
      </c>
    </row>
    <row r="1966" s="1" customFormat="1" customHeight="1" spans="1:9">
      <c r="A1966" s="18" t="str">
        <f t="shared" si="170"/>
        <v>C2F</v>
      </c>
      <c r="B1966" s="19" t="s">
        <v>65</v>
      </c>
      <c r="C1966" s="18" t="str">
        <f>"阳姣霞"</f>
        <v>阳姣霞</v>
      </c>
      <c r="D1966" s="18" t="str">
        <f t="shared" si="172"/>
        <v>女</v>
      </c>
      <c r="E1966" s="18" t="str">
        <f>"2022015925"</f>
        <v>2022015925</v>
      </c>
      <c r="F1966" s="25">
        <v>61.7</v>
      </c>
      <c r="G1966" s="18">
        <v>16</v>
      </c>
      <c r="H1966" s="26"/>
      <c r="I1966" s="18" t="s">
        <v>12</v>
      </c>
    </row>
    <row r="1967" s="1" customFormat="1" customHeight="1" spans="1:9">
      <c r="A1967" s="18" t="str">
        <f t="shared" si="170"/>
        <v>C2F</v>
      </c>
      <c r="B1967" s="19" t="s">
        <v>65</v>
      </c>
      <c r="C1967" s="18" t="str">
        <f>"陈莎莎"</f>
        <v>陈莎莎</v>
      </c>
      <c r="D1967" s="18" t="str">
        <f t="shared" si="172"/>
        <v>女</v>
      </c>
      <c r="E1967" s="18" t="str">
        <f>"2022015930"</f>
        <v>2022015930</v>
      </c>
      <c r="F1967" s="18">
        <v>61.5</v>
      </c>
      <c r="G1967" s="24">
        <v>17</v>
      </c>
      <c r="H1967" s="18"/>
      <c r="I1967" s="18" t="s">
        <v>12</v>
      </c>
    </row>
    <row r="1968" s="1" customFormat="1" customHeight="1" spans="1:9">
      <c r="A1968" s="18" t="str">
        <f t="shared" si="170"/>
        <v>C2F</v>
      </c>
      <c r="B1968" s="19" t="s">
        <v>65</v>
      </c>
      <c r="C1968" s="18" t="str">
        <f>"尹芬"</f>
        <v>尹芬</v>
      </c>
      <c r="D1968" s="18" t="str">
        <f t="shared" si="172"/>
        <v>女</v>
      </c>
      <c r="E1968" s="18" t="str">
        <f>"2022015914"</f>
        <v>2022015914</v>
      </c>
      <c r="F1968" s="18">
        <v>60.7</v>
      </c>
      <c r="G1968" s="18">
        <v>18</v>
      </c>
      <c r="H1968" s="18"/>
      <c r="I1968" s="18" t="s">
        <v>12</v>
      </c>
    </row>
    <row r="1969" s="1" customFormat="1" customHeight="1" spans="1:9">
      <c r="A1969" s="18" t="str">
        <f t="shared" si="170"/>
        <v>C2F</v>
      </c>
      <c r="B1969" s="19" t="s">
        <v>65</v>
      </c>
      <c r="C1969" s="18" t="str">
        <f>"王秋萍"</f>
        <v>王秋萍</v>
      </c>
      <c r="D1969" s="18" t="str">
        <f t="shared" si="172"/>
        <v>女</v>
      </c>
      <c r="E1969" s="18" t="str">
        <f>"2022015922"</f>
        <v>2022015922</v>
      </c>
      <c r="F1969" s="22">
        <v>59.9</v>
      </c>
      <c r="G1969" s="24">
        <v>19</v>
      </c>
      <c r="H1969" s="23"/>
      <c r="I1969" s="18" t="s">
        <v>12</v>
      </c>
    </row>
    <row r="1970" s="1" customFormat="1" customHeight="1" spans="1:9">
      <c r="A1970" s="18" t="str">
        <f t="shared" si="170"/>
        <v>C2F</v>
      </c>
      <c r="B1970" s="19" t="s">
        <v>65</v>
      </c>
      <c r="C1970" s="18" t="str">
        <f>"刘怡静"</f>
        <v>刘怡静</v>
      </c>
      <c r="D1970" s="18" t="str">
        <f t="shared" si="172"/>
        <v>女</v>
      </c>
      <c r="E1970" s="18" t="str">
        <f>"2022015920"</f>
        <v>2022015920</v>
      </c>
      <c r="F1970" s="24">
        <v>59.5</v>
      </c>
      <c r="G1970" s="18">
        <v>20</v>
      </c>
      <c r="H1970" s="18"/>
      <c r="I1970" s="18" t="s">
        <v>12</v>
      </c>
    </row>
    <row r="1971" s="1" customFormat="1" customHeight="1" spans="1:9">
      <c r="A1971" s="18" t="str">
        <f t="shared" si="170"/>
        <v>C2F</v>
      </c>
      <c r="B1971" s="19" t="s">
        <v>65</v>
      </c>
      <c r="C1971" s="18" t="str">
        <f>"周敏"</f>
        <v>周敏</v>
      </c>
      <c r="D1971" s="18" t="str">
        <f t="shared" si="172"/>
        <v>女</v>
      </c>
      <c r="E1971" s="18" t="str">
        <f>"2022015915"</f>
        <v>2022015915</v>
      </c>
      <c r="F1971" s="25">
        <v>57.8</v>
      </c>
      <c r="G1971" s="24">
        <v>21</v>
      </c>
      <c r="H1971" s="26"/>
      <c r="I1971" s="18" t="s">
        <v>12</v>
      </c>
    </row>
    <row r="1972" s="1" customFormat="1" customHeight="1" spans="1:9">
      <c r="A1972" s="18" t="str">
        <f t="shared" si="170"/>
        <v>C2F</v>
      </c>
      <c r="B1972" s="19" t="s">
        <v>65</v>
      </c>
      <c r="C1972" s="18" t="str">
        <f>"胡珺"</f>
        <v>胡珺</v>
      </c>
      <c r="D1972" s="18" t="str">
        <f t="shared" si="172"/>
        <v>女</v>
      </c>
      <c r="E1972" s="18" t="str">
        <f>"2022015923"</f>
        <v>2022015923</v>
      </c>
      <c r="F1972" s="18">
        <v>0</v>
      </c>
      <c r="G1972" s="18">
        <v>22</v>
      </c>
      <c r="H1972" s="18" t="s">
        <v>13</v>
      </c>
      <c r="I1972" s="18" t="s">
        <v>12</v>
      </c>
    </row>
    <row r="1973" s="1" customFormat="1" customHeight="1" spans="1:9">
      <c r="A1973" s="18" t="str">
        <f t="shared" si="170"/>
        <v>C2F</v>
      </c>
      <c r="B1973" s="19" t="s">
        <v>65</v>
      </c>
      <c r="C1973" s="18" t="str">
        <f>"向佳璇"</f>
        <v>向佳璇</v>
      </c>
      <c r="D1973" s="18" t="str">
        <f>"男"</f>
        <v>男</v>
      </c>
      <c r="E1973" s="18" t="str">
        <f>"2022015924"</f>
        <v>2022015924</v>
      </c>
      <c r="F1973" s="22">
        <v>0</v>
      </c>
      <c r="G1973" s="24">
        <v>22</v>
      </c>
      <c r="H1973" s="23" t="s">
        <v>13</v>
      </c>
      <c r="I1973" s="18" t="s">
        <v>12</v>
      </c>
    </row>
    <row r="1974" s="1" customFormat="1" customHeight="1" spans="1:9">
      <c r="A1974" s="18" t="str">
        <f t="shared" si="170"/>
        <v>C2F</v>
      </c>
      <c r="B1974" s="19" t="s">
        <v>65</v>
      </c>
      <c r="C1974" s="18" t="str">
        <f>"黄慧"</f>
        <v>黄慧</v>
      </c>
      <c r="D1974" s="18" t="str">
        <f t="shared" ref="D1974:D2037" si="173">"女"</f>
        <v>女</v>
      </c>
      <c r="E1974" s="18" t="str">
        <f>"2022015928"</f>
        <v>2022015928</v>
      </c>
      <c r="F1974" s="24">
        <v>0</v>
      </c>
      <c r="G1974" s="18">
        <v>22</v>
      </c>
      <c r="H1974" s="18" t="s">
        <v>13</v>
      </c>
      <c r="I1974" s="18" t="s">
        <v>12</v>
      </c>
    </row>
    <row r="1975" s="1" customFormat="1" customHeight="1" spans="1:9">
      <c r="A1975" s="18" t="str">
        <f t="shared" ref="A1975:A2024" si="174">"DF"</f>
        <v>DF</v>
      </c>
      <c r="B1975" s="19" t="s">
        <v>66</v>
      </c>
      <c r="C1975" s="18" t="str">
        <f>"戴鸿柳"</f>
        <v>戴鸿柳</v>
      </c>
      <c r="D1975" s="18" t="str">
        <f t="shared" si="173"/>
        <v>女</v>
      </c>
      <c r="E1975" s="18" t="str">
        <f>"2022016227"</f>
        <v>2022016227</v>
      </c>
      <c r="F1975" s="18">
        <v>82.5</v>
      </c>
      <c r="G1975" s="18">
        <v>1</v>
      </c>
      <c r="H1975" s="18"/>
      <c r="I1975" s="28" t="s">
        <v>11</v>
      </c>
    </row>
    <row r="1976" s="1" customFormat="1" customHeight="1" spans="1:9">
      <c r="A1976" s="18" t="str">
        <f t="shared" si="174"/>
        <v>DF</v>
      </c>
      <c r="B1976" s="19" t="s">
        <v>66</v>
      </c>
      <c r="C1976" s="18" t="str">
        <f>"李洁"</f>
        <v>李洁</v>
      </c>
      <c r="D1976" s="18" t="str">
        <f t="shared" si="173"/>
        <v>女</v>
      </c>
      <c r="E1976" s="18" t="str">
        <f>"2022016301"</f>
        <v>2022016301</v>
      </c>
      <c r="F1976" s="18">
        <v>81.5</v>
      </c>
      <c r="G1976" s="18">
        <v>2</v>
      </c>
      <c r="H1976" s="18"/>
      <c r="I1976" s="28" t="s">
        <v>11</v>
      </c>
    </row>
    <row r="1977" s="1" customFormat="1" customHeight="1" spans="1:9">
      <c r="A1977" s="18" t="str">
        <f t="shared" si="174"/>
        <v>DF</v>
      </c>
      <c r="B1977" s="19" t="s">
        <v>66</v>
      </c>
      <c r="C1977" s="18" t="str">
        <f>"陈湘晖"</f>
        <v>陈湘晖</v>
      </c>
      <c r="D1977" s="18" t="str">
        <f t="shared" si="173"/>
        <v>女</v>
      </c>
      <c r="E1977" s="18" t="str">
        <f>"2022016304"</f>
        <v>2022016304</v>
      </c>
      <c r="F1977" s="18">
        <v>78</v>
      </c>
      <c r="G1977" s="18">
        <v>3</v>
      </c>
      <c r="H1977" s="18"/>
      <c r="I1977" s="18" t="s">
        <v>12</v>
      </c>
    </row>
    <row r="1978" s="1" customFormat="1" customHeight="1" spans="1:9">
      <c r="A1978" s="18" t="str">
        <f t="shared" si="174"/>
        <v>DF</v>
      </c>
      <c r="B1978" s="19" t="s">
        <v>66</v>
      </c>
      <c r="C1978" s="18" t="str">
        <f>"吴淑婷"</f>
        <v>吴淑婷</v>
      </c>
      <c r="D1978" s="18" t="str">
        <f t="shared" si="173"/>
        <v>女</v>
      </c>
      <c r="E1978" s="18" t="str">
        <f>"2022016232"</f>
        <v>2022016232</v>
      </c>
      <c r="F1978" s="18">
        <v>77.5</v>
      </c>
      <c r="G1978" s="18">
        <v>4</v>
      </c>
      <c r="H1978" s="18"/>
      <c r="I1978" s="18" t="s">
        <v>12</v>
      </c>
    </row>
    <row r="1979" s="1" customFormat="1" customHeight="1" spans="1:9">
      <c r="A1979" s="18" t="str">
        <f t="shared" si="174"/>
        <v>DF</v>
      </c>
      <c r="B1979" s="19" t="s">
        <v>66</v>
      </c>
      <c r="C1979" s="18" t="str">
        <f>"肖娟叶"</f>
        <v>肖娟叶</v>
      </c>
      <c r="D1979" s="18" t="str">
        <f t="shared" si="173"/>
        <v>女</v>
      </c>
      <c r="E1979" s="18" t="str">
        <f>"2022016307"</f>
        <v>2022016307</v>
      </c>
      <c r="F1979" s="18">
        <v>76</v>
      </c>
      <c r="G1979" s="18">
        <v>5</v>
      </c>
      <c r="H1979" s="18"/>
      <c r="I1979" s="18" t="s">
        <v>12</v>
      </c>
    </row>
    <row r="1980" s="1" customFormat="1" customHeight="1" spans="1:9">
      <c r="A1980" s="18" t="str">
        <f t="shared" si="174"/>
        <v>DF</v>
      </c>
      <c r="B1980" s="19" t="s">
        <v>66</v>
      </c>
      <c r="C1980" s="18" t="str">
        <f>"周婷"</f>
        <v>周婷</v>
      </c>
      <c r="D1980" s="18" t="str">
        <f t="shared" si="173"/>
        <v>女</v>
      </c>
      <c r="E1980" s="18" t="str">
        <f>"2022016302"</f>
        <v>2022016302</v>
      </c>
      <c r="F1980" s="18">
        <v>75.5</v>
      </c>
      <c r="G1980" s="18">
        <v>6</v>
      </c>
      <c r="H1980" s="18"/>
      <c r="I1980" s="18" t="s">
        <v>12</v>
      </c>
    </row>
    <row r="1981" s="1" customFormat="1" customHeight="1" spans="1:9">
      <c r="A1981" s="18" t="str">
        <f t="shared" si="174"/>
        <v>DF</v>
      </c>
      <c r="B1981" s="19" t="s">
        <v>66</v>
      </c>
      <c r="C1981" s="18" t="str">
        <f>"曾锦萱"</f>
        <v>曾锦萱</v>
      </c>
      <c r="D1981" s="18" t="str">
        <f t="shared" si="173"/>
        <v>女</v>
      </c>
      <c r="E1981" s="18" t="str">
        <f>"2022016313"</f>
        <v>2022016313</v>
      </c>
      <c r="F1981" s="18">
        <v>75.5</v>
      </c>
      <c r="G1981" s="18">
        <v>6</v>
      </c>
      <c r="H1981" s="18"/>
      <c r="I1981" s="18" t="s">
        <v>12</v>
      </c>
    </row>
    <row r="1982" s="1" customFormat="1" customHeight="1" spans="1:9">
      <c r="A1982" s="18" t="str">
        <f t="shared" si="174"/>
        <v>DF</v>
      </c>
      <c r="B1982" s="19" t="s">
        <v>66</v>
      </c>
      <c r="C1982" s="18" t="str">
        <f>"王倩"</f>
        <v>王倩</v>
      </c>
      <c r="D1982" s="18" t="str">
        <f t="shared" si="173"/>
        <v>女</v>
      </c>
      <c r="E1982" s="18" t="str">
        <f>"2022016212"</f>
        <v>2022016212</v>
      </c>
      <c r="F1982" s="18">
        <v>75</v>
      </c>
      <c r="G1982" s="18">
        <v>8</v>
      </c>
      <c r="H1982" s="18"/>
      <c r="I1982" s="18" t="s">
        <v>12</v>
      </c>
    </row>
    <row r="1983" s="1" customFormat="1" customHeight="1" spans="1:9">
      <c r="A1983" s="18" t="str">
        <f t="shared" si="174"/>
        <v>DF</v>
      </c>
      <c r="B1983" s="19" t="s">
        <v>66</v>
      </c>
      <c r="C1983" s="18" t="str">
        <f>"兰乐"</f>
        <v>兰乐</v>
      </c>
      <c r="D1983" s="18" t="str">
        <f t="shared" si="173"/>
        <v>女</v>
      </c>
      <c r="E1983" s="18" t="str">
        <f>"2022016306"</f>
        <v>2022016306</v>
      </c>
      <c r="F1983" s="18">
        <v>73.5</v>
      </c>
      <c r="G1983" s="18">
        <v>9</v>
      </c>
      <c r="H1983" s="18"/>
      <c r="I1983" s="18" t="s">
        <v>12</v>
      </c>
    </row>
    <row r="1984" s="1" customFormat="1" customHeight="1" spans="1:9">
      <c r="A1984" s="18" t="str">
        <f t="shared" si="174"/>
        <v>DF</v>
      </c>
      <c r="B1984" s="19" t="s">
        <v>66</v>
      </c>
      <c r="C1984" s="18" t="str">
        <f>"陈佼"</f>
        <v>陈佼</v>
      </c>
      <c r="D1984" s="18" t="str">
        <f t="shared" si="173"/>
        <v>女</v>
      </c>
      <c r="E1984" s="18" t="str">
        <f>"2022016316"</f>
        <v>2022016316</v>
      </c>
      <c r="F1984" s="18">
        <v>73.5</v>
      </c>
      <c r="G1984" s="18">
        <v>9</v>
      </c>
      <c r="H1984" s="18"/>
      <c r="I1984" s="18" t="s">
        <v>12</v>
      </c>
    </row>
    <row r="1985" s="1" customFormat="1" customHeight="1" spans="1:9">
      <c r="A1985" s="18" t="str">
        <f t="shared" si="174"/>
        <v>DF</v>
      </c>
      <c r="B1985" s="19" t="s">
        <v>66</v>
      </c>
      <c r="C1985" s="18" t="str">
        <f>"何如"</f>
        <v>何如</v>
      </c>
      <c r="D1985" s="18" t="str">
        <f t="shared" si="173"/>
        <v>女</v>
      </c>
      <c r="E1985" s="18" t="str">
        <f>"2022016220"</f>
        <v>2022016220</v>
      </c>
      <c r="F1985" s="18">
        <v>72</v>
      </c>
      <c r="G1985" s="18">
        <v>11</v>
      </c>
      <c r="H1985" s="18"/>
      <c r="I1985" s="18" t="s">
        <v>12</v>
      </c>
    </row>
    <row r="1986" s="1" customFormat="1" customHeight="1" spans="1:9">
      <c r="A1986" s="18" t="str">
        <f t="shared" si="174"/>
        <v>DF</v>
      </c>
      <c r="B1986" s="19" t="s">
        <v>66</v>
      </c>
      <c r="C1986" s="18" t="str">
        <f>"肖海玲"</f>
        <v>肖海玲</v>
      </c>
      <c r="D1986" s="18" t="str">
        <f t="shared" si="173"/>
        <v>女</v>
      </c>
      <c r="E1986" s="18" t="str">
        <f>"2022016205"</f>
        <v>2022016205</v>
      </c>
      <c r="F1986" s="18">
        <v>71.5</v>
      </c>
      <c r="G1986" s="18">
        <v>12</v>
      </c>
      <c r="H1986" s="18"/>
      <c r="I1986" s="18" t="s">
        <v>12</v>
      </c>
    </row>
    <row r="1987" s="1" customFormat="1" customHeight="1" spans="1:9">
      <c r="A1987" s="18" t="str">
        <f t="shared" si="174"/>
        <v>DF</v>
      </c>
      <c r="B1987" s="19" t="s">
        <v>66</v>
      </c>
      <c r="C1987" s="18" t="str">
        <f>"杨双桃"</f>
        <v>杨双桃</v>
      </c>
      <c r="D1987" s="18" t="str">
        <f t="shared" si="173"/>
        <v>女</v>
      </c>
      <c r="E1987" s="18" t="str">
        <f>"2022016224"</f>
        <v>2022016224</v>
      </c>
      <c r="F1987" s="18">
        <v>71.5</v>
      </c>
      <c r="G1987" s="18">
        <v>12</v>
      </c>
      <c r="H1987" s="18"/>
      <c r="I1987" s="18" t="s">
        <v>12</v>
      </c>
    </row>
    <row r="1988" s="1" customFormat="1" customHeight="1" spans="1:9">
      <c r="A1988" s="18" t="str">
        <f t="shared" si="174"/>
        <v>DF</v>
      </c>
      <c r="B1988" s="19" t="s">
        <v>66</v>
      </c>
      <c r="C1988" s="18" t="str">
        <f>"周子岚"</f>
        <v>周子岚</v>
      </c>
      <c r="D1988" s="18" t="str">
        <f t="shared" si="173"/>
        <v>女</v>
      </c>
      <c r="E1988" s="18" t="str">
        <f>"2022016202"</f>
        <v>2022016202</v>
      </c>
      <c r="F1988" s="18">
        <v>71</v>
      </c>
      <c r="G1988" s="18">
        <v>14</v>
      </c>
      <c r="H1988" s="18"/>
      <c r="I1988" s="18" t="s">
        <v>12</v>
      </c>
    </row>
    <row r="1989" s="1" customFormat="1" customHeight="1" spans="1:9">
      <c r="A1989" s="18" t="str">
        <f t="shared" si="174"/>
        <v>DF</v>
      </c>
      <c r="B1989" s="19" t="s">
        <v>66</v>
      </c>
      <c r="C1989" s="18" t="str">
        <f>"张凯慧"</f>
        <v>张凯慧</v>
      </c>
      <c r="D1989" s="18" t="str">
        <f t="shared" si="173"/>
        <v>女</v>
      </c>
      <c r="E1989" s="18" t="str">
        <f>"2022016217"</f>
        <v>2022016217</v>
      </c>
      <c r="F1989" s="18">
        <v>71</v>
      </c>
      <c r="G1989" s="18">
        <v>14</v>
      </c>
      <c r="H1989" s="18"/>
      <c r="I1989" s="18" t="s">
        <v>12</v>
      </c>
    </row>
    <row r="1990" s="1" customFormat="1" customHeight="1" spans="1:9">
      <c r="A1990" s="18" t="str">
        <f t="shared" si="174"/>
        <v>DF</v>
      </c>
      <c r="B1990" s="19" t="s">
        <v>66</v>
      </c>
      <c r="C1990" s="18" t="str">
        <f>"周英"</f>
        <v>周英</v>
      </c>
      <c r="D1990" s="18" t="str">
        <f t="shared" si="173"/>
        <v>女</v>
      </c>
      <c r="E1990" s="18" t="str">
        <f>"2022016223"</f>
        <v>2022016223</v>
      </c>
      <c r="F1990" s="18">
        <v>69.5</v>
      </c>
      <c r="G1990" s="18">
        <v>16</v>
      </c>
      <c r="H1990" s="18"/>
      <c r="I1990" s="18" t="s">
        <v>12</v>
      </c>
    </row>
    <row r="1991" s="1" customFormat="1" customHeight="1" spans="1:9">
      <c r="A1991" s="18" t="str">
        <f t="shared" si="174"/>
        <v>DF</v>
      </c>
      <c r="B1991" s="19" t="s">
        <v>66</v>
      </c>
      <c r="C1991" s="18" t="str">
        <f>"阳君琳"</f>
        <v>阳君琳</v>
      </c>
      <c r="D1991" s="18" t="str">
        <f t="shared" si="173"/>
        <v>女</v>
      </c>
      <c r="E1991" s="18" t="str">
        <f>"2022016312"</f>
        <v>2022016312</v>
      </c>
      <c r="F1991" s="18">
        <v>69.5</v>
      </c>
      <c r="G1991" s="18">
        <v>16</v>
      </c>
      <c r="H1991" s="18"/>
      <c r="I1991" s="18" t="s">
        <v>12</v>
      </c>
    </row>
    <row r="1992" s="1" customFormat="1" customHeight="1" spans="1:9">
      <c r="A1992" s="18" t="str">
        <f t="shared" si="174"/>
        <v>DF</v>
      </c>
      <c r="B1992" s="19" t="s">
        <v>66</v>
      </c>
      <c r="C1992" s="18" t="str">
        <f>"杨喜宇"</f>
        <v>杨喜宇</v>
      </c>
      <c r="D1992" s="18" t="str">
        <f t="shared" si="173"/>
        <v>女</v>
      </c>
      <c r="E1992" s="18" t="str">
        <f>"2022016215"</f>
        <v>2022016215</v>
      </c>
      <c r="F1992" s="18">
        <v>69</v>
      </c>
      <c r="G1992" s="18">
        <v>18</v>
      </c>
      <c r="H1992" s="18"/>
      <c r="I1992" s="18" t="s">
        <v>12</v>
      </c>
    </row>
    <row r="1993" s="1" customFormat="1" customHeight="1" spans="1:9">
      <c r="A1993" s="18" t="str">
        <f t="shared" si="174"/>
        <v>DF</v>
      </c>
      <c r="B1993" s="19" t="s">
        <v>66</v>
      </c>
      <c r="C1993" s="18" t="str">
        <f>"胡华中"</f>
        <v>胡华中</v>
      </c>
      <c r="D1993" s="18" t="str">
        <f t="shared" si="173"/>
        <v>女</v>
      </c>
      <c r="E1993" s="18" t="str">
        <f>"2022016230"</f>
        <v>2022016230</v>
      </c>
      <c r="F1993" s="18">
        <v>69</v>
      </c>
      <c r="G1993" s="18">
        <v>18</v>
      </c>
      <c r="H1993" s="18"/>
      <c r="I1993" s="18" t="s">
        <v>12</v>
      </c>
    </row>
    <row r="1994" s="1" customFormat="1" customHeight="1" spans="1:9">
      <c r="A1994" s="18" t="str">
        <f t="shared" si="174"/>
        <v>DF</v>
      </c>
      <c r="B1994" s="19" t="s">
        <v>66</v>
      </c>
      <c r="C1994" s="18" t="str">
        <f>"朱丹"</f>
        <v>朱丹</v>
      </c>
      <c r="D1994" s="18" t="str">
        <f t="shared" si="173"/>
        <v>女</v>
      </c>
      <c r="E1994" s="18" t="str">
        <f>"2022016314"</f>
        <v>2022016314</v>
      </c>
      <c r="F1994" s="18">
        <v>69</v>
      </c>
      <c r="G1994" s="18">
        <v>18</v>
      </c>
      <c r="H1994" s="18"/>
      <c r="I1994" s="18" t="s">
        <v>12</v>
      </c>
    </row>
    <row r="1995" s="1" customFormat="1" customHeight="1" spans="1:9">
      <c r="A1995" s="18" t="str">
        <f t="shared" si="174"/>
        <v>DF</v>
      </c>
      <c r="B1995" s="19" t="s">
        <v>66</v>
      </c>
      <c r="C1995" s="18" t="str">
        <f>"马秀萍"</f>
        <v>马秀萍</v>
      </c>
      <c r="D1995" s="18" t="str">
        <f t="shared" si="173"/>
        <v>女</v>
      </c>
      <c r="E1995" s="18" t="str">
        <f>"2022016218"</f>
        <v>2022016218</v>
      </c>
      <c r="F1995" s="18">
        <v>68</v>
      </c>
      <c r="G1995" s="18">
        <v>21</v>
      </c>
      <c r="H1995" s="18"/>
      <c r="I1995" s="18" t="s">
        <v>12</v>
      </c>
    </row>
    <row r="1996" s="1" customFormat="1" customHeight="1" spans="1:9">
      <c r="A1996" s="18" t="str">
        <f t="shared" si="174"/>
        <v>DF</v>
      </c>
      <c r="B1996" s="19" t="s">
        <v>66</v>
      </c>
      <c r="C1996" s="18" t="str">
        <f>"罗叶"</f>
        <v>罗叶</v>
      </c>
      <c r="D1996" s="18" t="str">
        <f t="shared" si="173"/>
        <v>女</v>
      </c>
      <c r="E1996" s="18" t="str">
        <f>"2022016210"</f>
        <v>2022016210</v>
      </c>
      <c r="F1996" s="18">
        <v>67.5</v>
      </c>
      <c r="G1996" s="18">
        <v>22</v>
      </c>
      <c r="H1996" s="18"/>
      <c r="I1996" s="18" t="s">
        <v>12</v>
      </c>
    </row>
    <row r="1997" s="1" customFormat="1" customHeight="1" spans="1:9">
      <c r="A1997" s="18" t="str">
        <f t="shared" si="174"/>
        <v>DF</v>
      </c>
      <c r="B1997" s="19" t="s">
        <v>66</v>
      </c>
      <c r="C1997" s="18" t="str">
        <f>"吴蓉"</f>
        <v>吴蓉</v>
      </c>
      <c r="D1997" s="18" t="str">
        <f t="shared" si="173"/>
        <v>女</v>
      </c>
      <c r="E1997" s="18" t="str">
        <f>"2022016221"</f>
        <v>2022016221</v>
      </c>
      <c r="F1997" s="18">
        <v>67.5</v>
      </c>
      <c r="G1997" s="18">
        <v>22</v>
      </c>
      <c r="H1997" s="18"/>
      <c r="I1997" s="18" t="s">
        <v>12</v>
      </c>
    </row>
    <row r="1998" s="1" customFormat="1" customHeight="1" spans="1:9">
      <c r="A1998" s="18" t="str">
        <f t="shared" si="174"/>
        <v>DF</v>
      </c>
      <c r="B1998" s="19" t="s">
        <v>66</v>
      </c>
      <c r="C1998" s="18" t="str">
        <f>"蒋红倩"</f>
        <v>蒋红倩</v>
      </c>
      <c r="D1998" s="18" t="str">
        <f t="shared" si="173"/>
        <v>女</v>
      </c>
      <c r="E1998" s="18" t="str">
        <f>"2022016310"</f>
        <v>2022016310</v>
      </c>
      <c r="F1998" s="18">
        <v>67.5</v>
      </c>
      <c r="G1998" s="18">
        <v>22</v>
      </c>
      <c r="H1998" s="18"/>
      <c r="I1998" s="18" t="s">
        <v>12</v>
      </c>
    </row>
    <row r="1999" s="1" customFormat="1" customHeight="1" spans="1:9">
      <c r="A1999" s="18" t="str">
        <f t="shared" si="174"/>
        <v>DF</v>
      </c>
      <c r="B1999" s="19" t="s">
        <v>66</v>
      </c>
      <c r="C1999" s="18" t="str">
        <f>"吕绍英"</f>
        <v>吕绍英</v>
      </c>
      <c r="D1999" s="18" t="str">
        <f t="shared" si="173"/>
        <v>女</v>
      </c>
      <c r="E1999" s="18" t="str">
        <f>"2022016305"</f>
        <v>2022016305</v>
      </c>
      <c r="F1999" s="18">
        <v>67</v>
      </c>
      <c r="G1999" s="18">
        <v>25</v>
      </c>
      <c r="H1999" s="18"/>
      <c r="I1999" s="18" t="s">
        <v>12</v>
      </c>
    </row>
    <row r="2000" s="1" customFormat="1" customHeight="1" spans="1:9">
      <c r="A2000" s="18" t="str">
        <f t="shared" si="174"/>
        <v>DF</v>
      </c>
      <c r="B2000" s="19" t="s">
        <v>66</v>
      </c>
      <c r="C2000" s="18" t="str">
        <f>"张璐"</f>
        <v>张璐</v>
      </c>
      <c r="D2000" s="18" t="str">
        <f t="shared" si="173"/>
        <v>女</v>
      </c>
      <c r="E2000" s="18" t="str">
        <f>"2022016229"</f>
        <v>2022016229</v>
      </c>
      <c r="F2000" s="18">
        <v>66.5</v>
      </c>
      <c r="G2000" s="18">
        <v>26</v>
      </c>
      <c r="H2000" s="18"/>
      <c r="I2000" s="18" t="s">
        <v>12</v>
      </c>
    </row>
    <row r="2001" s="1" customFormat="1" customHeight="1" spans="1:9">
      <c r="A2001" s="18" t="str">
        <f t="shared" si="174"/>
        <v>DF</v>
      </c>
      <c r="B2001" s="19" t="s">
        <v>66</v>
      </c>
      <c r="C2001" s="18" t="str">
        <f>"张玲芝"</f>
        <v>张玲芝</v>
      </c>
      <c r="D2001" s="18" t="str">
        <f t="shared" si="173"/>
        <v>女</v>
      </c>
      <c r="E2001" s="18" t="str">
        <f>"2022016208"</f>
        <v>2022016208</v>
      </c>
      <c r="F2001" s="18">
        <v>65</v>
      </c>
      <c r="G2001" s="18">
        <v>27</v>
      </c>
      <c r="H2001" s="18"/>
      <c r="I2001" s="18" t="s">
        <v>12</v>
      </c>
    </row>
    <row r="2002" s="1" customFormat="1" customHeight="1" spans="1:9">
      <c r="A2002" s="18" t="str">
        <f t="shared" si="174"/>
        <v>DF</v>
      </c>
      <c r="B2002" s="19" t="s">
        <v>66</v>
      </c>
      <c r="C2002" s="18" t="str">
        <f>"吴刚钰"</f>
        <v>吴刚钰</v>
      </c>
      <c r="D2002" s="18" t="str">
        <f t="shared" si="173"/>
        <v>女</v>
      </c>
      <c r="E2002" s="18" t="str">
        <f>"2022016214"</f>
        <v>2022016214</v>
      </c>
      <c r="F2002" s="18">
        <v>64</v>
      </c>
      <c r="G2002" s="18">
        <v>28</v>
      </c>
      <c r="H2002" s="18"/>
      <c r="I2002" s="18" t="s">
        <v>12</v>
      </c>
    </row>
    <row r="2003" s="1" customFormat="1" customHeight="1" spans="1:9">
      <c r="A2003" s="18" t="str">
        <f t="shared" si="174"/>
        <v>DF</v>
      </c>
      <c r="B2003" s="19" t="s">
        <v>66</v>
      </c>
      <c r="C2003" s="18" t="str">
        <f>"粟金华"</f>
        <v>粟金华</v>
      </c>
      <c r="D2003" s="18" t="str">
        <f t="shared" si="173"/>
        <v>女</v>
      </c>
      <c r="E2003" s="18" t="str">
        <f>"2022016213"</f>
        <v>2022016213</v>
      </c>
      <c r="F2003" s="18">
        <v>63.5</v>
      </c>
      <c r="G2003" s="18">
        <v>29</v>
      </c>
      <c r="H2003" s="18"/>
      <c r="I2003" s="18" t="s">
        <v>12</v>
      </c>
    </row>
    <row r="2004" s="1" customFormat="1" customHeight="1" spans="1:9">
      <c r="A2004" s="18" t="str">
        <f t="shared" si="174"/>
        <v>DF</v>
      </c>
      <c r="B2004" s="19" t="s">
        <v>66</v>
      </c>
      <c r="C2004" s="18" t="str">
        <f>"王娜玲"</f>
        <v>王娜玲</v>
      </c>
      <c r="D2004" s="18" t="str">
        <f t="shared" si="173"/>
        <v>女</v>
      </c>
      <c r="E2004" s="18" t="str">
        <f>"2022016219"</f>
        <v>2022016219</v>
      </c>
      <c r="F2004" s="18">
        <v>63.5</v>
      </c>
      <c r="G2004" s="18">
        <v>29</v>
      </c>
      <c r="H2004" s="18"/>
      <c r="I2004" s="18" t="s">
        <v>12</v>
      </c>
    </row>
    <row r="2005" s="1" customFormat="1" customHeight="1" spans="1:9">
      <c r="A2005" s="18" t="str">
        <f t="shared" si="174"/>
        <v>DF</v>
      </c>
      <c r="B2005" s="19" t="s">
        <v>66</v>
      </c>
      <c r="C2005" s="18" t="str">
        <f>"于明慧"</f>
        <v>于明慧</v>
      </c>
      <c r="D2005" s="18" t="str">
        <f t="shared" si="173"/>
        <v>女</v>
      </c>
      <c r="E2005" s="18" t="str">
        <f>"2022016303"</f>
        <v>2022016303</v>
      </c>
      <c r="F2005" s="18">
        <v>62</v>
      </c>
      <c r="G2005" s="18">
        <v>31</v>
      </c>
      <c r="H2005" s="18"/>
      <c r="I2005" s="18" t="s">
        <v>12</v>
      </c>
    </row>
    <row r="2006" s="1" customFormat="1" customHeight="1" spans="1:9">
      <c r="A2006" s="18" t="str">
        <f t="shared" si="174"/>
        <v>DF</v>
      </c>
      <c r="B2006" s="19" t="s">
        <v>66</v>
      </c>
      <c r="C2006" s="18" t="str">
        <f>"周璐莹"</f>
        <v>周璐莹</v>
      </c>
      <c r="D2006" s="18" t="str">
        <f t="shared" si="173"/>
        <v>女</v>
      </c>
      <c r="E2006" s="18" t="str">
        <f>"2022016309"</f>
        <v>2022016309</v>
      </c>
      <c r="F2006" s="18">
        <v>62</v>
      </c>
      <c r="G2006" s="18">
        <v>31</v>
      </c>
      <c r="H2006" s="18"/>
      <c r="I2006" s="18" t="s">
        <v>12</v>
      </c>
    </row>
    <row r="2007" s="1" customFormat="1" customHeight="1" spans="1:9">
      <c r="A2007" s="18" t="str">
        <f t="shared" si="174"/>
        <v>DF</v>
      </c>
      <c r="B2007" s="19" t="s">
        <v>66</v>
      </c>
      <c r="C2007" s="18" t="str">
        <f>"谭玲慧"</f>
        <v>谭玲慧</v>
      </c>
      <c r="D2007" s="18" t="str">
        <f t="shared" si="173"/>
        <v>女</v>
      </c>
      <c r="E2007" s="18" t="str">
        <f>"2022016211"</f>
        <v>2022016211</v>
      </c>
      <c r="F2007" s="18">
        <v>60.5</v>
      </c>
      <c r="G2007" s="18">
        <v>33</v>
      </c>
      <c r="H2007" s="18"/>
      <c r="I2007" s="18" t="s">
        <v>12</v>
      </c>
    </row>
    <row r="2008" s="1" customFormat="1" customHeight="1" spans="1:9">
      <c r="A2008" s="18" t="str">
        <f t="shared" si="174"/>
        <v>DF</v>
      </c>
      <c r="B2008" s="19" t="s">
        <v>66</v>
      </c>
      <c r="C2008" s="18" t="str">
        <f>"肖倩"</f>
        <v>肖倩</v>
      </c>
      <c r="D2008" s="18" t="str">
        <f t="shared" si="173"/>
        <v>女</v>
      </c>
      <c r="E2008" s="18" t="str">
        <f>"2022016216"</f>
        <v>2022016216</v>
      </c>
      <c r="F2008" s="18">
        <v>60.5</v>
      </c>
      <c r="G2008" s="18">
        <v>33</v>
      </c>
      <c r="H2008" s="18"/>
      <c r="I2008" s="18" t="s">
        <v>12</v>
      </c>
    </row>
    <row r="2009" s="1" customFormat="1" customHeight="1" spans="1:9">
      <c r="A2009" s="18" t="str">
        <f t="shared" si="174"/>
        <v>DF</v>
      </c>
      <c r="B2009" s="19" t="s">
        <v>66</v>
      </c>
      <c r="C2009" s="18" t="str">
        <f>"陈潇"</f>
        <v>陈潇</v>
      </c>
      <c r="D2009" s="18" t="str">
        <f t="shared" si="173"/>
        <v>女</v>
      </c>
      <c r="E2009" s="18" t="str">
        <f>"2022016222"</f>
        <v>2022016222</v>
      </c>
      <c r="F2009" s="18">
        <v>60.5</v>
      </c>
      <c r="G2009" s="18">
        <v>33</v>
      </c>
      <c r="H2009" s="18"/>
      <c r="I2009" s="18" t="s">
        <v>12</v>
      </c>
    </row>
    <row r="2010" s="1" customFormat="1" customHeight="1" spans="1:9">
      <c r="A2010" s="18" t="str">
        <f t="shared" si="174"/>
        <v>DF</v>
      </c>
      <c r="B2010" s="19" t="s">
        <v>66</v>
      </c>
      <c r="C2010" s="18" t="str">
        <f>"饶薇"</f>
        <v>饶薇</v>
      </c>
      <c r="D2010" s="18" t="str">
        <f t="shared" si="173"/>
        <v>女</v>
      </c>
      <c r="E2010" s="18" t="str">
        <f>"2022016228"</f>
        <v>2022016228</v>
      </c>
      <c r="F2010" s="18">
        <v>59.5</v>
      </c>
      <c r="G2010" s="18">
        <v>36</v>
      </c>
      <c r="H2010" s="18"/>
      <c r="I2010" s="18" t="s">
        <v>12</v>
      </c>
    </row>
    <row r="2011" s="1" customFormat="1" customHeight="1" spans="1:9">
      <c r="A2011" s="18" t="str">
        <f t="shared" si="174"/>
        <v>DF</v>
      </c>
      <c r="B2011" s="19" t="s">
        <v>66</v>
      </c>
      <c r="C2011" s="18" t="str">
        <f>"黄鸿倩"</f>
        <v>黄鸿倩</v>
      </c>
      <c r="D2011" s="18" t="str">
        <f t="shared" si="173"/>
        <v>女</v>
      </c>
      <c r="E2011" s="18" t="str">
        <f>"2022016233"</f>
        <v>2022016233</v>
      </c>
      <c r="F2011" s="18">
        <v>59.5</v>
      </c>
      <c r="G2011" s="18">
        <v>36</v>
      </c>
      <c r="H2011" s="18"/>
      <c r="I2011" s="18" t="s">
        <v>12</v>
      </c>
    </row>
    <row r="2012" s="1" customFormat="1" customHeight="1" spans="1:9">
      <c r="A2012" s="18" t="str">
        <f t="shared" si="174"/>
        <v>DF</v>
      </c>
      <c r="B2012" s="19" t="s">
        <v>66</v>
      </c>
      <c r="C2012" s="18" t="str">
        <f>"杨慧"</f>
        <v>杨慧</v>
      </c>
      <c r="D2012" s="18" t="str">
        <f t="shared" si="173"/>
        <v>女</v>
      </c>
      <c r="E2012" s="18" t="str">
        <f>"2022016234"</f>
        <v>2022016234</v>
      </c>
      <c r="F2012" s="18">
        <v>59.5</v>
      </c>
      <c r="G2012" s="18">
        <v>36</v>
      </c>
      <c r="H2012" s="18"/>
      <c r="I2012" s="18" t="s">
        <v>12</v>
      </c>
    </row>
    <row r="2013" s="1" customFormat="1" customHeight="1" spans="1:9">
      <c r="A2013" s="18" t="str">
        <f t="shared" si="174"/>
        <v>DF</v>
      </c>
      <c r="B2013" s="19" t="s">
        <v>66</v>
      </c>
      <c r="C2013" s="18" t="str">
        <f>"陶源"</f>
        <v>陶源</v>
      </c>
      <c r="D2013" s="18" t="str">
        <f t="shared" si="173"/>
        <v>女</v>
      </c>
      <c r="E2013" s="18" t="str">
        <f>"2022016201"</f>
        <v>2022016201</v>
      </c>
      <c r="F2013" s="18">
        <v>59</v>
      </c>
      <c r="G2013" s="18">
        <v>39</v>
      </c>
      <c r="H2013" s="18"/>
      <c r="I2013" s="18" t="s">
        <v>12</v>
      </c>
    </row>
    <row r="2014" s="1" customFormat="1" customHeight="1" spans="1:9">
      <c r="A2014" s="18" t="str">
        <f t="shared" si="174"/>
        <v>DF</v>
      </c>
      <c r="B2014" s="19" t="s">
        <v>66</v>
      </c>
      <c r="C2014" s="18" t="str">
        <f>"徐一灏"</f>
        <v>徐一灏</v>
      </c>
      <c r="D2014" s="18" t="str">
        <f t="shared" si="173"/>
        <v>女</v>
      </c>
      <c r="E2014" s="18" t="str">
        <f>"2022016209"</f>
        <v>2022016209</v>
      </c>
      <c r="F2014" s="18">
        <v>58.5</v>
      </c>
      <c r="G2014" s="18">
        <v>40</v>
      </c>
      <c r="H2014" s="18"/>
      <c r="I2014" s="18" t="s">
        <v>12</v>
      </c>
    </row>
    <row r="2015" s="1" customFormat="1" customHeight="1" spans="1:9">
      <c r="A2015" s="18" t="str">
        <f t="shared" si="174"/>
        <v>DF</v>
      </c>
      <c r="B2015" s="19" t="s">
        <v>66</v>
      </c>
      <c r="C2015" s="18" t="str">
        <f>"匡艳淋"</f>
        <v>匡艳淋</v>
      </c>
      <c r="D2015" s="18" t="str">
        <f t="shared" si="173"/>
        <v>女</v>
      </c>
      <c r="E2015" s="18" t="str">
        <f>"2022016231"</f>
        <v>2022016231</v>
      </c>
      <c r="F2015" s="18">
        <v>58</v>
      </c>
      <c r="G2015" s="18">
        <v>41</v>
      </c>
      <c r="H2015" s="18"/>
      <c r="I2015" s="18" t="s">
        <v>12</v>
      </c>
    </row>
    <row r="2016" s="1" customFormat="1" customHeight="1" spans="1:9">
      <c r="A2016" s="18" t="str">
        <f t="shared" si="174"/>
        <v>DF</v>
      </c>
      <c r="B2016" s="19" t="s">
        <v>66</v>
      </c>
      <c r="C2016" s="18" t="str">
        <f>"熊丹"</f>
        <v>熊丹</v>
      </c>
      <c r="D2016" s="18" t="str">
        <f t="shared" si="173"/>
        <v>女</v>
      </c>
      <c r="E2016" s="18" t="str">
        <f>"2022016207"</f>
        <v>2022016207</v>
      </c>
      <c r="F2016" s="18">
        <v>57</v>
      </c>
      <c r="G2016" s="18">
        <v>42</v>
      </c>
      <c r="H2016" s="18"/>
      <c r="I2016" s="18" t="s">
        <v>12</v>
      </c>
    </row>
    <row r="2017" s="1" customFormat="1" customHeight="1" spans="1:9">
      <c r="A2017" s="18" t="str">
        <f t="shared" si="174"/>
        <v>DF</v>
      </c>
      <c r="B2017" s="19" t="s">
        <v>66</v>
      </c>
      <c r="C2017" s="18" t="str">
        <f>"张金艳"</f>
        <v>张金艳</v>
      </c>
      <c r="D2017" s="18" t="str">
        <f t="shared" si="173"/>
        <v>女</v>
      </c>
      <c r="E2017" s="18" t="str">
        <f>"2022016203"</f>
        <v>2022016203</v>
      </c>
      <c r="F2017" s="18">
        <v>53</v>
      </c>
      <c r="G2017" s="18">
        <v>43</v>
      </c>
      <c r="H2017" s="18"/>
      <c r="I2017" s="18" t="s">
        <v>12</v>
      </c>
    </row>
    <row r="2018" s="1" customFormat="1" customHeight="1" spans="1:9">
      <c r="A2018" s="18" t="str">
        <f t="shared" si="174"/>
        <v>DF</v>
      </c>
      <c r="B2018" s="19" t="s">
        <v>66</v>
      </c>
      <c r="C2018" s="18" t="str">
        <f>"周振华"</f>
        <v>周振华</v>
      </c>
      <c r="D2018" s="18" t="str">
        <f t="shared" si="173"/>
        <v>女</v>
      </c>
      <c r="E2018" s="18" t="str">
        <f>"2022016226"</f>
        <v>2022016226</v>
      </c>
      <c r="F2018" s="18">
        <v>52</v>
      </c>
      <c r="G2018" s="18">
        <v>44</v>
      </c>
      <c r="H2018" s="18"/>
      <c r="I2018" s="18" t="s">
        <v>12</v>
      </c>
    </row>
    <row r="2019" s="1" customFormat="1" customHeight="1" spans="1:9">
      <c r="A2019" s="18" t="str">
        <f t="shared" si="174"/>
        <v>DF</v>
      </c>
      <c r="B2019" s="19" t="s">
        <v>66</v>
      </c>
      <c r="C2019" s="18" t="str">
        <f>"祝倩玉"</f>
        <v>祝倩玉</v>
      </c>
      <c r="D2019" s="18" t="str">
        <f t="shared" si="173"/>
        <v>女</v>
      </c>
      <c r="E2019" s="18" t="str">
        <f>"2022016204"</f>
        <v>2022016204</v>
      </c>
      <c r="F2019" s="18">
        <v>51</v>
      </c>
      <c r="G2019" s="18">
        <v>45</v>
      </c>
      <c r="H2019" s="18"/>
      <c r="I2019" s="18" t="s">
        <v>12</v>
      </c>
    </row>
    <row r="2020" s="1" customFormat="1" customHeight="1" spans="1:9">
      <c r="A2020" s="18" t="str">
        <f t="shared" si="174"/>
        <v>DF</v>
      </c>
      <c r="B2020" s="19" t="s">
        <v>66</v>
      </c>
      <c r="C2020" s="18" t="str">
        <f>"陈芳菲"</f>
        <v>陈芳菲</v>
      </c>
      <c r="D2020" s="18" t="str">
        <f t="shared" si="173"/>
        <v>女</v>
      </c>
      <c r="E2020" s="18" t="str">
        <f>"2022016225"</f>
        <v>2022016225</v>
      </c>
      <c r="F2020" s="18">
        <v>50</v>
      </c>
      <c r="G2020" s="18">
        <v>46</v>
      </c>
      <c r="H2020" s="18"/>
      <c r="I2020" s="18" t="s">
        <v>12</v>
      </c>
    </row>
    <row r="2021" s="1" customFormat="1" customHeight="1" spans="1:9">
      <c r="A2021" s="18" t="str">
        <f t="shared" si="174"/>
        <v>DF</v>
      </c>
      <c r="B2021" s="19" t="s">
        <v>66</v>
      </c>
      <c r="C2021" s="18" t="str">
        <f>"瞿芳婷"</f>
        <v>瞿芳婷</v>
      </c>
      <c r="D2021" s="18" t="str">
        <f t="shared" si="173"/>
        <v>女</v>
      </c>
      <c r="E2021" s="18" t="str">
        <f>"2022016311"</f>
        <v>2022016311</v>
      </c>
      <c r="F2021" s="18">
        <v>44</v>
      </c>
      <c r="G2021" s="18">
        <v>47</v>
      </c>
      <c r="H2021" s="18"/>
      <c r="I2021" s="18" t="s">
        <v>12</v>
      </c>
    </row>
    <row r="2022" s="1" customFormat="1" customHeight="1" spans="1:9">
      <c r="A2022" s="18" t="str">
        <f t="shared" si="174"/>
        <v>DF</v>
      </c>
      <c r="B2022" s="19" t="s">
        <v>66</v>
      </c>
      <c r="C2022" s="18" t="str">
        <f>"于依"</f>
        <v>于依</v>
      </c>
      <c r="D2022" s="18" t="str">
        <f t="shared" si="173"/>
        <v>女</v>
      </c>
      <c r="E2022" s="18" t="str">
        <f>"2022016206"</f>
        <v>2022016206</v>
      </c>
      <c r="F2022" s="18">
        <v>0</v>
      </c>
      <c r="G2022" s="18">
        <v>48</v>
      </c>
      <c r="H2022" s="18" t="s">
        <v>13</v>
      </c>
      <c r="I2022" s="18" t="s">
        <v>12</v>
      </c>
    </row>
    <row r="2023" s="1" customFormat="1" customHeight="1" spans="1:9">
      <c r="A2023" s="18" t="str">
        <f t="shared" si="174"/>
        <v>DF</v>
      </c>
      <c r="B2023" s="19" t="s">
        <v>66</v>
      </c>
      <c r="C2023" s="18" t="str">
        <f>"戴玉洁"</f>
        <v>戴玉洁</v>
      </c>
      <c r="D2023" s="18" t="str">
        <f t="shared" si="173"/>
        <v>女</v>
      </c>
      <c r="E2023" s="18" t="str">
        <f>"2022016308"</f>
        <v>2022016308</v>
      </c>
      <c r="F2023" s="18">
        <v>0</v>
      </c>
      <c r="G2023" s="18">
        <v>48</v>
      </c>
      <c r="H2023" s="18" t="s">
        <v>13</v>
      </c>
      <c r="I2023" s="18" t="s">
        <v>12</v>
      </c>
    </row>
    <row r="2024" s="1" customFormat="1" customHeight="1" spans="1:9">
      <c r="A2024" s="18" t="str">
        <f t="shared" si="174"/>
        <v>DF</v>
      </c>
      <c r="B2024" s="19" t="s">
        <v>66</v>
      </c>
      <c r="C2024" s="18" t="str">
        <f>"黄洁"</f>
        <v>黄洁</v>
      </c>
      <c r="D2024" s="18" t="str">
        <f t="shared" si="173"/>
        <v>女</v>
      </c>
      <c r="E2024" s="18" t="str">
        <f>"2022016315"</f>
        <v>2022016315</v>
      </c>
      <c r="F2024" s="18">
        <v>0</v>
      </c>
      <c r="G2024" s="18">
        <v>48</v>
      </c>
      <c r="H2024" s="18" t="s">
        <v>13</v>
      </c>
      <c r="I2024" s="18" t="s">
        <v>12</v>
      </c>
    </row>
    <row r="2025" s="1" customFormat="1" customHeight="1" spans="1:9">
      <c r="A2025" s="18" t="str">
        <f t="shared" ref="A2025:A2042" si="175">"DG"</f>
        <v>DG</v>
      </c>
      <c r="B2025" s="19" t="s">
        <v>67</v>
      </c>
      <c r="C2025" s="18" t="str">
        <f>"杨莹"</f>
        <v>杨莹</v>
      </c>
      <c r="D2025" s="18" t="str">
        <f t="shared" si="173"/>
        <v>女</v>
      </c>
      <c r="E2025" s="18" t="str">
        <f>"2022016317"</f>
        <v>2022016317</v>
      </c>
      <c r="F2025" s="24">
        <v>80.5</v>
      </c>
      <c r="G2025" s="24">
        <v>1</v>
      </c>
      <c r="H2025" s="18"/>
      <c r="I2025" s="28" t="s">
        <v>11</v>
      </c>
    </row>
    <row r="2026" s="1" customFormat="1" customHeight="1" spans="1:9">
      <c r="A2026" s="18" t="str">
        <f t="shared" si="175"/>
        <v>DG</v>
      </c>
      <c r="B2026" s="19" t="s">
        <v>67</v>
      </c>
      <c r="C2026" s="18" t="str">
        <f>"肖雨"</f>
        <v>肖雨</v>
      </c>
      <c r="D2026" s="18" t="str">
        <f t="shared" si="173"/>
        <v>女</v>
      </c>
      <c r="E2026" s="18" t="str">
        <f>"2022016318"</f>
        <v>2022016318</v>
      </c>
      <c r="F2026" s="24">
        <v>80</v>
      </c>
      <c r="G2026" s="24">
        <v>2</v>
      </c>
      <c r="H2026" s="18"/>
      <c r="I2026" s="28" t="s">
        <v>11</v>
      </c>
    </row>
    <row r="2027" s="1" customFormat="1" customHeight="1" spans="1:9">
      <c r="A2027" s="18" t="str">
        <f t="shared" si="175"/>
        <v>DG</v>
      </c>
      <c r="B2027" s="19" t="s">
        <v>67</v>
      </c>
      <c r="C2027" s="18" t="str">
        <f>"胡秀娟"</f>
        <v>胡秀娟</v>
      </c>
      <c r="D2027" s="18" t="str">
        <f t="shared" si="173"/>
        <v>女</v>
      </c>
      <c r="E2027" s="18" t="str">
        <f>"2022016328"</f>
        <v>2022016328</v>
      </c>
      <c r="F2027" s="24">
        <v>77.5</v>
      </c>
      <c r="G2027" s="24">
        <v>3</v>
      </c>
      <c r="H2027" s="18"/>
      <c r="I2027" s="18" t="s">
        <v>12</v>
      </c>
    </row>
    <row r="2028" s="1" customFormat="1" customHeight="1" spans="1:9">
      <c r="A2028" s="18" t="str">
        <f t="shared" si="175"/>
        <v>DG</v>
      </c>
      <c r="B2028" s="19" t="s">
        <v>67</v>
      </c>
      <c r="C2028" s="18" t="str">
        <f>"肖玲"</f>
        <v>肖玲</v>
      </c>
      <c r="D2028" s="18" t="str">
        <f t="shared" si="173"/>
        <v>女</v>
      </c>
      <c r="E2028" s="18" t="str">
        <f>"2022016325"</f>
        <v>2022016325</v>
      </c>
      <c r="F2028" s="24">
        <v>75.5</v>
      </c>
      <c r="G2028" s="24">
        <v>4</v>
      </c>
      <c r="H2028" s="18"/>
      <c r="I2028" s="18" t="s">
        <v>12</v>
      </c>
    </row>
    <row r="2029" s="1" customFormat="1" customHeight="1" spans="1:9">
      <c r="A2029" s="18" t="str">
        <f t="shared" si="175"/>
        <v>DG</v>
      </c>
      <c r="B2029" s="19" t="s">
        <v>67</v>
      </c>
      <c r="C2029" s="18" t="str">
        <f>"吴璇"</f>
        <v>吴璇</v>
      </c>
      <c r="D2029" s="18" t="str">
        <f t="shared" si="173"/>
        <v>女</v>
      </c>
      <c r="E2029" s="18" t="str">
        <f>"2022016321"</f>
        <v>2022016321</v>
      </c>
      <c r="F2029" s="24">
        <v>72.5</v>
      </c>
      <c r="G2029" s="24">
        <v>5</v>
      </c>
      <c r="H2029" s="18"/>
      <c r="I2029" s="18" t="s">
        <v>12</v>
      </c>
    </row>
    <row r="2030" s="1" customFormat="1" customHeight="1" spans="1:9">
      <c r="A2030" s="18" t="str">
        <f t="shared" si="175"/>
        <v>DG</v>
      </c>
      <c r="B2030" s="19" t="s">
        <v>67</v>
      </c>
      <c r="C2030" s="18" t="str">
        <f>"马淑艺"</f>
        <v>马淑艺</v>
      </c>
      <c r="D2030" s="18" t="str">
        <f t="shared" si="173"/>
        <v>女</v>
      </c>
      <c r="E2030" s="18" t="str">
        <f>"2022016323"</f>
        <v>2022016323</v>
      </c>
      <c r="F2030" s="24">
        <v>71.5</v>
      </c>
      <c r="G2030" s="24">
        <v>6</v>
      </c>
      <c r="H2030" s="18"/>
      <c r="I2030" s="18" t="s">
        <v>12</v>
      </c>
    </row>
    <row r="2031" s="1" customFormat="1" customHeight="1" spans="1:9">
      <c r="A2031" s="18" t="str">
        <f t="shared" si="175"/>
        <v>DG</v>
      </c>
      <c r="B2031" s="19" t="s">
        <v>67</v>
      </c>
      <c r="C2031" s="18" t="str">
        <f>"王红梅"</f>
        <v>王红梅</v>
      </c>
      <c r="D2031" s="18" t="str">
        <f t="shared" si="173"/>
        <v>女</v>
      </c>
      <c r="E2031" s="18" t="str">
        <f>"2022016326"</f>
        <v>2022016326</v>
      </c>
      <c r="F2031" s="25">
        <v>68.5</v>
      </c>
      <c r="G2031" s="24">
        <v>7</v>
      </c>
      <c r="H2031" s="26"/>
      <c r="I2031" s="18" t="s">
        <v>12</v>
      </c>
    </row>
    <row r="2032" s="1" customFormat="1" customHeight="1" spans="1:9">
      <c r="A2032" s="18" t="str">
        <f t="shared" si="175"/>
        <v>DG</v>
      </c>
      <c r="B2032" s="19" t="s">
        <v>67</v>
      </c>
      <c r="C2032" s="18" t="str">
        <f>"肖雨嫣"</f>
        <v>肖雨嫣</v>
      </c>
      <c r="D2032" s="18" t="str">
        <f t="shared" si="173"/>
        <v>女</v>
      </c>
      <c r="E2032" s="18" t="str">
        <f>"2022016327"</f>
        <v>2022016327</v>
      </c>
      <c r="F2032" s="18">
        <v>68</v>
      </c>
      <c r="G2032" s="24">
        <v>8</v>
      </c>
      <c r="H2032" s="18"/>
      <c r="I2032" s="18" t="s">
        <v>12</v>
      </c>
    </row>
    <row r="2033" s="1" customFormat="1" customHeight="1" spans="1:9">
      <c r="A2033" s="18" t="str">
        <f t="shared" si="175"/>
        <v>DG</v>
      </c>
      <c r="B2033" s="19" t="s">
        <v>67</v>
      </c>
      <c r="C2033" s="18" t="str">
        <f>"肖依禄"</f>
        <v>肖依禄</v>
      </c>
      <c r="D2033" s="18" t="str">
        <f t="shared" si="173"/>
        <v>女</v>
      </c>
      <c r="E2033" s="18" t="str">
        <f>"2022016319"</f>
        <v>2022016319</v>
      </c>
      <c r="F2033" s="22">
        <v>67.5</v>
      </c>
      <c r="G2033" s="24">
        <v>9</v>
      </c>
      <c r="H2033" s="23"/>
      <c r="I2033" s="18" t="s">
        <v>12</v>
      </c>
    </row>
    <row r="2034" s="1" customFormat="1" customHeight="1" spans="1:9">
      <c r="A2034" s="18" t="str">
        <f t="shared" si="175"/>
        <v>DG</v>
      </c>
      <c r="B2034" s="19" t="s">
        <v>67</v>
      </c>
      <c r="C2034" s="18" t="str">
        <f>"刘莎"</f>
        <v>刘莎</v>
      </c>
      <c r="D2034" s="18" t="str">
        <f t="shared" si="173"/>
        <v>女</v>
      </c>
      <c r="E2034" s="18" t="str">
        <f>"2022016320"</f>
        <v>2022016320</v>
      </c>
      <c r="F2034" s="24">
        <v>67.5</v>
      </c>
      <c r="G2034" s="24">
        <v>9</v>
      </c>
      <c r="H2034" s="18"/>
      <c r="I2034" s="18" t="s">
        <v>12</v>
      </c>
    </row>
    <row r="2035" s="1" customFormat="1" customHeight="1" spans="1:9">
      <c r="A2035" s="18" t="str">
        <f t="shared" si="175"/>
        <v>DG</v>
      </c>
      <c r="B2035" s="19" t="s">
        <v>67</v>
      </c>
      <c r="C2035" s="18" t="str">
        <f>"高友灯"</f>
        <v>高友灯</v>
      </c>
      <c r="D2035" s="18" t="str">
        <f t="shared" si="173"/>
        <v>女</v>
      </c>
      <c r="E2035" s="18" t="str">
        <f>"2022016333"</f>
        <v>2022016333</v>
      </c>
      <c r="F2035" s="24">
        <v>65.5</v>
      </c>
      <c r="G2035" s="24">
        <v>11</v>
      </c>
      <c r="H2035" s="18"/>
      <c r="I2035" s="18" t="s">
        <v>12</v>
      </c>
    </row>
    <row r="2036" s="1" customFormat="1" customHeight="1" spans="1:9">
      <c r="A2036" s="18" t="str">
        <f t="shared" si="175"/>
        <v>DG</v>
      </c>
      <c r="B2036" s="19" t="s">
        <v>67</v>
      </c>
      <c r="C2036" s="18" t="str">
        <f>"易佳"</f>
        <v>易佳</v>
      </c>
      <c r="D2036" s="18" t="str">
        <f t="shared" si="173"/>
        <v>女</v>
      </c>
      <c r="E2036" s="18" t="str">
        <f>"2022016330"</f>
        <v>2022016330</v>
      </c>
      <c r="F2036" s="24">
        <v>63.5</v>
      </c>
      <c r="G2036" s="24">
        <v>12</v>
      </c>
      <c r="H2036" s="18"/>
      <c r="I2036" s="18" t="s">
        <v>12</v>
      </c>
    </row>
    <row r="2037" s="1" customFormat="1" customHeight="1" spans="1:9">
      <c r="A2037" s="18" t="str">
        <f t="shared" si="175"/>
        <v>DG</v>
      </c>
      <c r="B2037" s="19" t="s">
        <v>67</v>
      </c>
      <c r="C2037" s="18" t="str">
        <f>"李捷"</f>
        <v>李捷</v>
      </c>
      <c r="D2037" s="18" t="str">
        <f t="shared" si="173"/>
        <v>女</v>
      </c>
      <c r="E2037" s="18" t="str">
        <f>"2022016334"</f>
        <v>2022016334</v>
      </c>
      <c r="F2037" s="24">
        <v>59</v>
      </c>
      <c r="G2037" s="24">
        <v>13</v>
      </c>
      <c r="H2037" s="18"/>
      <c r="I2037" s="18" t="s">
        <v>12</v>
      </c>
    </row>
    <row r="2038" s="1" customFormat="1" customHeight="1" spans="1:9">
      <c r="A2038" s="18" t="str">
        <f t="shared" si="175"/>
        <v>DG</v>
      </c>
      <c r="B2038" s="19" t="s">
        <v>67</v>
      </c>
      <c r="C2038" s="18" t="str">
        <f>"肖婷"</f>
        <v>肖婷</v>
      </c>
      <c r="D2038" s="18" t="str">
        <f t="shared" ref="D2038:D2042" si="176">"女"</f>
        <v>女</v>
      </c>
      <c r="E2038" s="18" t="str">
        <f>"2022016329"</f>
        <v>2022016329</v>
      </c>
      <c r="F2038" s="25">
        <v>57.5</v>
      </c>
      <c r="G2038" s="24">
        <v>14</v>
      </c>
      <c r="H2038" s="26"/>
      <c r="I2038" s="18" t="s">
        <v>12</v>
      </c>
    </row>
    <row r="2039" s="1" customFormat="1" customHeight="1" spans="1:9">
      <c r="A2039" s="18" t="str">
        <f t="shared" si="175"/>
        <v>DG</v>
      </c>
      <c r="B2039" s="19" t="s">
        <v>67</v>
      </c>
      <c r="C2039" s="18" t="str">
        <f>"肖小英"</f>
        <v>肖小英</v>
      </c>
      <c r="D2039" s="18" t="str">
        <f t="shared" si="176"/>
        <v>女</v>
      </c>
      <c r="E2039" s="18" t="str">
        <f>"2022016322"</f>
        <v>2022016322</v>
      </c>
      <c r="F2039" s="18">
        <v>54.5</v>
      </c>
      <c r="G2039" s="24">
        <v>15</v>
      </c>
      <c r="H2039" s="18"/>
      <c r="I2039" s="18" t="s">
        <v>12</v>
      </c>
    </row>
    <row r="2040" s="1" customFormat="1" customHeight="1" spans="1:9">
      <c r="A2040" s="18" t="str">
        <f t="shared" si="175"/>
        <v>DG</v>
      </c>
      <c r="B2040" s="19" t="s">
        <v>67</v>
      </c>
      <c r="C2040" s="18" t="str">
        <f>"张玉蓉"</f>
        <v>张玉蓉</v>
      </c>
      <c r="D2040" s="18" t="str">
        <f t="shared" si="176"/>
        <v>女</v>
      </c>
      <c r="E2040" s="18" t="str">
        <f>"2022016324"</f>
        <v>2022016324</v>
      </c>
      <c r="F2040" s="18">
        <v>0</v>
      </c>
      <c r="G2040" s="24">
        <v>16</v>
      </c>
      <c r="H2040" s="18" t="s">
        <v>13</v>
      </c>
      <c r="I2040" s="18" t="s">
        <v>12</v>
      </c>
    </row>
    <row r="2041" s="1" customFormat="1" customHeight="1" spans="1:9">
      <c r="A2041" s="18" t="str">
        <f t="shared" si="175"/>
        <v>DG</v>
      </c>
      <c r="B2041" s="19" t="s">
        <v>67</v>
      </c>
      <c r="C2041" s="18" t="str">
        <f>"易红菊"</f>
        <v>易红菊</v>
      </c>
      <c r="D2041" s="18" t="str">
        <f t="shared" si="176"/>
        <v>女</v>
      </c>
      <c r="E2041" s="18" t="str">
        <f>"2022016331"</f>
        <v>2022016331</v>
      </c>
      <c r="F2041" s="22">
        <v>0</v>
      </c>
      <c r="G2041" s="24">
        <v>16</v>
      </c>
      <c r="H2041" s="23" t="s">
        <v>13</v>
      </c>
      <c r="I2041" s="18" t="s">
        <v>12</v>
      </c>
    </row>
    <row r="2042" s="1" customFormat="1" customHeight="1" spans="1:9">
      <c r="A2042" s="18" t="str">
        <f t="shared" si="175"/>
        <v>DG</v>
      </c>
      <c r="B2042" s="19" t="s">
        <v>67</v>
      </c>
      <c r="C2042" s="18" t="str">
        <f>"肖甲娣"</f>
        <v>肖甲娣</v>
      </c>
      <c r="D2042" s="18" t="str">
        <f t="shared" si="176"/>
        <v>女</v>
      </c>
      <c r="E2042" s="18" t="str">
        <f>"2022016332"</f>
        <v>2022016332</v>
      </c>
      <c r="F2042" s="24">
        <v>0</v>
      </c>
      <c r="G2042" s="24">
        <v>16</v>
      </c>
      <c r="H2042" s="18" t="s">
        <v>13</v>
      </c>
      <c r="I2042" s="18" t="s">
        <v>12</v>
      </c>
    </row>
  </sheetData>
  <autoFilter ref="A2:XFD2042">
    <extLst/>
  </autoFilter>
  <mergeCells count="1">
    <mergeCell ref="A1:I1"/>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849"/>
  <sheetViews>
    <sheetView tabSelected="1" workbookViewId="0">
      <selection activeCell="B3" sqref="B3"/>
    </sheetView>
  </sheetViews>
  <sheetFormatPr defaultColWidth="9" defaultRowHeight="16.5" customHeight="1"/>
  <cols>
    <col min="1" max="1" width="7.5" style="1" customWidth="1"/>
    <col min="2" max="2" width="24.625" style="2" customWidth="1"/>
    <col min="3" max="3" width="8" style="1" customWidth="1"/>
    <col min="4" max="4" width="5.375" style="1" customWidth="1"/>
    <col min="5" max="5" width="11.5" style="1" customWidth="1"/>
    <col min="6" max="7" width="6.5" style="1" customWidth="1"/>
    <col min="8" max="8" width="7.375" style="1" customWidth="1"/>
    <col min="9" max="10" width="5.375" style="1" customWidth="1"/>
    <col min="11" max="11" width="8.625" style="1" customWidth="1"/>
    <col min="12" max="16384" width="9" style="1"/>
  </cols>
  <sheetData>
    <row r="1" s="1" customFormat="1" ht="57" customHeight="1" spans="1:11">
      <c r="A1" s="3" t="s">
        <v>68</v>
      </c>
      <c r="B1" s="3"/>
      <c r="C1" s="3"/>
      <c r="D1" s="3"/>
      <c r="E1" s="3"/>
      <c r="F1" s="3"/>
      <c r="G1" s="3"/>
      <c r="H1" s="3"/>
      <c r="I1" s="3"/>
      <c r="J1" s="3"/>
      <c r="K1" s="3"/>
    </row>
    <row r="2" s="1" customFormat="1" ht="56" customHeight="1" spans="1:11">
      <c r="A2" s="4" t="s">
        <v>1</v>
      </c>
      <c r="B2" s="5" t="s">
        <v>2</v>
      </c>
      <c r="C2" s="5" t="s">
        <v>3</v>
      </c>
      <c r="D2" s="5" t="s">
        <v>4</v>
      </c>
      <c r="E2" s="5" t="s">
        <v>5</v>
      </c>
      <c r="F2" s="6" t="s">
        <v>69</v>
      </c>
      <c r="G2" s="6" t="s">
        <v>70</v>
      </c>
      <c r="H2" s="7" t="s">
        <v>71</v>
      </c>
      <c r="I2" s="7" t="s">
        <v>7</v>
      </c>
      <c r="J2" s="5" t="s">
        <v>8</v>
      </c>
      <c r="K2" s="4" t="s">
        <v>9</v>
      </c>
    </row>
    <row r="3" s="1" customFormat="1" customHeight="1" spans="1:11">
      <c r="A3" s="8" t="str">
        <f>"E10G"</f>
        <v>E10G</v>
      </c>
      <c r="B3" s="8" t="s">
        <v>72</v>
      </c>
      <c r="C3" s="8" t="str">
        <f>"桂睿"</f>
        <v>桂睿</v>
      </c>
      <c r="D3" s="8" t="str">
        <f>"男"</f>
        <v>男</v>
      </c>
      <c r="E3" s="8" t="str">
        <f>"2022027823"</f>
        <v>2022027823</v>
      </c>
      <c r="F3" s="9">
        <v>47</v>
      </c>
      <c r="G3" s="9">
        <v>57</v>
      </c>
      <c r="H3" s="9">
        <v>51</v>
      </c>
      <c r="I3" s="9">
        <v>1</v>
      </c>
      <c r="J3" s="10" t="s">
        <v>73</v>
      </c>
      <c r="K3" s="11" t="s">
        <v>11</v>
      </c>
    </row>
    <row r="4" s="1" customFormat="1" customHeight="1" spans="1:11">
      <c r="A4" s="8" t="str">
        <f>"E10G"</f>
        <v>E10G</v>
      </c>
      <c r="B4" s="8" t="s">
        <v>72</v>
      </c>
      <c r="C4" s="8" t="str">
        <f>"尹可"</f>
        <v>尹可</v>
      </c>
      <c r="D4" s="8" t="str">
        <f>"男"</f>
        <v>男</v>
      </c>
      <c r="E4" s="8" t="str">
        <f>"2022027822"</f>
        <v>2022027822</v>
      </c>
      <c r="F4" s="9">
        <v>38</v>
      </c>
      <c r="G4" s="9">
        <v>56</v>
      </c>
      <c r="H4" s="9">
        <v>45.2</v>
      </c>
      <c r="I4" s="9">
        <v>2</v>
      </c>
      <c r="J4" s="10" t="s">
        <v>73</v>
      </c>
      <c r="K4" s="11" t="s">
        <v>12</v>
      </c>
    </row>
    <row r="5" s="1" customFormat="1" customHeight="1" spans="1:11">
      <c r="A5" s="8" t="str">
        <f>"E10G"</f>
        <v>E10G</v>
      </c>
      <c r="B5" s="8" t="s">
        <v>72</v>
      </c>
      <c r="C5" s="8" t="str">
        <f>"郭鹏扬"</f>
        <v>郭鹏扬</v>
      </c>
      <c r="D5" s="8" t="str">
        <f>"男"</f>
        <v>男</v>
      </c>
      <c r="E5" s="8" t="str">
        <f>"2022027824"</f>
        <v>2022027824</v>
      </c>
      <c r="F5" s="9">
        <v>22.6</v>
      </c>
      <c r="G5" s="9">
        <v>64</v>
      </c>
      <c r="H5" s="9">
        <v>39.16</v>
      </c>
      <c r="I5" s="9">
        <v>3</v>
      </c>
      <c r="J5" s="10" t="s">
        <v>73</v>
      </c>
      <c r="K5" s="11" t="s">
        <v>12</v>
      </c>
    </row>
    <row r="6" s="1" customFormat="1" customHeight="1" spans="1:11">
      <c r="A6" s="8" t="str">
        <f t="shared" ref="A6:A8" si="0">"E11F"</f>
        <v>E11F</v>
      </c>
      <c r="B6" s="8" t="s">
        <v>74</v>
      </c>
      <c r="C6" s="8" t="str">
        <f>"陈致玉"</f>
        <v>陈致玉</v>
      </c>
      <c r="D6" s="8" t="str">
        <f t="shared" ref="D6:D12" si="1">"女"</f>
        <v>女</v>
      </c>
      <c r="E6" s="8" t="str">
        <f>"2022027702"</f>
        <v>2022027702</v>
      </c>
      <c r="F6" s="9">
        <v>62.4</v>
      </c>
      <c r="G6" s="9">
        <v>84.5</v>
      </c>
      <c r="H6" s="9">
        <v>71.24</v>
      </c>
      <c r="I6" s="9">
        <v>1</v>
      </c>
      <c r="J6" s="10" t="s">
        <v>73</v>
      </c>
      <c r="K6" s="11" t="s">
        <v>11</v>
      </c>
    </row>
    <row r="7" s="1" customFormat="1" customHeight="1" spans="1:11">
      <c r="A7" s="8" t="str">
        <f t="shared" si="0"/>
        <v>E11F</v>
      </c>
      <c r="B7" s="8" t="s">
        <v>74</v>
      </c>
      <c r="C7" s="8" t="str">
        <f>"肖晓叶"</f>
        <v>肖晓叶</v>
      </c>
      <c r="D7" s="8" t="str">
        <f t="shared" si="1"/>
        <v>女</v>
      </c>
      <c r="E7" s="8" t="str">
        <f>"2022027701"</f>
        <v>2022027701</v>
      </c>
      <c r="F7" s="9">
        <v>46.6</v>
      </c>
      <c r="G7" s="9">
        <v>68.5</v>
      </c>
      <c r="H7" s="9">
        <v>55.36</v>
      </c>
      <c r="I7" s="9">
        <v>2</v>
      </c>
      <c r="J7" s="10" t="s">
        <v>73</v>
      </c>
      <c r="K7" s="11" t="s">
        <v>12</v>
      </c>
    </row>
    <row r="8" s="1" customFormat="1" customHeight="1" spans="1:11">
      <c r="A8" s="8" t="str">
        <f t="shared" si="0"/>
        <v>E11F</v>
      </c>
      <c r="B8" s="8" t="s">
        <v>74</v>
      </c>
      <c r="C8" s="8" t="str">
        <f>"肖美玲"</f>
        <v>肖美玲</v>
      </c>
      <c r="D8" s="8" t="str">
        <f t="shared" si="1"/>
        <v>女</v>
      </c>
      <c r="E8" s="8" t="str">
        <f>"2022027703"</f>
        <v>2022027703</v>
      </c>
      <c r="F8" s="9">
        <v>36.8</v>
      </c>
      <c r="G8" s="9">
        <v>60</v>
      </c>
      <c r="H8" s="9">
        <v>46.08</v>
      </c>
      <c r="I8" s="9">
        <v>3</v>
      </c>
      <c r="J8" s="10" t="s">
        <v>73</v>
      </c>
      <c r="K8" s="11" t="s">
        <v>12</v>
      </c>
    </row>
    <row r="9" s="1" customFormat="1" customHeight="1" spans="1:11">
      <c r="A9" s="8" t="str">
        <f t="shared" ref="A9:A11" si="2">"E12G"</f>
        <v>E12G</v>
      </c>
      <c r="B9" s="8" t="s">
        <v>75</v>
      </c>
      <c r="C9" s="8" t="str">
        <f>"肖祖瑛"</f>
        <v>肖祖瑛</v>
      </c>
      <c r="D9" s="8" t="str">
        <f t="shared" si="1"/>
        <v>女</v>
      </c>
      <c r="E9" s="8" t="str">
        <f>"2022028003"</f>
        <v>2022028003</v>
      </c>
      <c r="F9" s="9">
        <v>69.4</v>
      </c>
      <c r="G9" s="9">
        <v>71</v>
      </c>
      <c r="H9" s="9">
        <v>70.04</v>
      </c>
      <c r="I9" s="9">
        <v>1</v>
      </c>
      <c r="J9" s="10" t="s">
        <v>73</v>
      </c>
      <c r="K9" s="11" t="s">
        <v>11</v>
      </c>
    </row>
    <row r="10" s="1" customFormat="1" customHeight="1" spans="1:11">
      <c r="A10" s="8" t="str">
        <f t="shared" si="2"/>
        <v>E12G</v>
      </c>
      <c r="B10" s="8" t="s">
        <v>75</v>
      </c>
      <c r="C10" s="8" t="str">
        <f>"杜思思"</f>
        <v>杜思思</v>
      </c>
      <c r="D10" s="8" t="str">
        <f t="shared" si="1"/>
        <v>女</v>
      </c>
      <c r="E10" s="8" t="str">
        <f>"2022028004"</f>
        <v>2022028004</v>
      </c>
      <c r="F10" s="9">
        <v>0</v>
      </c>
      <c r="G10" s="9">
        <v>0</v>
      </c>
      <c r="H10" s="9">
        <v>0</v>
      </c>
      <c r="I10" s="9">
        <v>2</v>
      </c>
      <c r="J10" s="10" t="s">
        <v>13</v>
      </c>
      <c r="K10" s="11" t="s">
        <v>12</v>
      </c>
    </row>
    <row r="11" s="1" customFormat="1" customHeight="1" spans="1:11">
      <c r="A11" s="8" t="str">
        <f t="shared" si="2"/>
        <v>E12G</v>
      </c>
      <c r="B11" s="8" t="s">
        <v>75</v>
      </c>
      <c r="C11" s="8" t="str">
        <f>"何丹丹"</f>
        <v>何丹丹</v>
      </c>
      <c r="D11" s="8" t="str">
        <f t="shared" si="1"/>
        <v>女</v>
      </c>
      <c r="E11" s="8" t="str">
        <f>"2022028005"</f>
        <v>2022028005</v>
      </c>
      <c r="F11" s="9">
        <v>0</v>
      </c>
      <c r="G11" s="9">
        <v>0</v>
      </c>
      <c r="H11" s="9">
        <v>0</v>
      </c>
      <c r="I11" s="9">
        <v>2</v>
      </c>
      <c r="J11" s="10" t="s">
        <v>13</v>
      </c>
      <c r="K11" s="11" t="s">
        <v>12</v>
      </c>
    </row>
    <row r="12" s="1" customFormat="1" customHeight="1" spans="1:11">
      <c r="A12" s="8" t="str">
        <f t="shared" ref="A12:A16" si="3">"E15G"</f>
        <v>E15G</v>
      </c>
      <c r="B12" s="8" t="s">
        <v>76</v>
      </c>
      <c r="C12" s="8" t="str">
        <f>"钱秀珍"</f>
        <v>钱秀珍</v>
      </c>
      <c r="D12" s="8" t="str">
        <f t="shared" si="1"/>
        <v>女</v>
      </c>
      <c r="E12" s="8" t="str">
        <f>"2022028015"</f>
        <v>2022028015</v>
      </c>
      <c r="F12" s="9">
        <v>64.2</v>
      </c>
      <c r="G12" s="9">
        <v>79</v>
      </c>
      <c r="H12" s="9">
        <v>70.12</v>
      </c>
      <c r="I12" s="9">
        <v>1</v>
      </c>
      <c r="J12" s="10" t="s">
        <v>73</v>
      </c>
      <c r="K12" s="11" t="s">
        <v>11</v>
      </c>
    </row>
    <row r="13" s="1" customFormat="1" customHeight="1" spans="1:11">
      <c r="A13" s="8" t="str">
        <f t="shared" si="3"/>
        <v>E15G</v>
      </c>
      <c r="B13" s="8" t="s">
        <v>76</v>
      </c>
      <c r="C13" s="8" t="str">
        <f>"杨涵"</f>
        <v>杨涵</v>
      </c>
      <c r="D13" s="8" t="str">
        <f t="shared" ref="D13:D17" si="4">"男"</f>
        <v>男</v>
      </c>
      <c r="E13" s="8" t="str">
        <f>"2022028013"</f>
        <v>2022028013</v>
      </c>
      <c r="F13" s="9">
        <v>55.6</v>
      </c>
      <c r="G13" s="9">
        <v>81</v>
      </c>
      <c r="H13" s="9">
        <v>65.76</v>
      </c>
      <c r="I13" s="9">
        <v>2</v>
      </c>
      <c r="J13" s="10" t="s">
        <v>73</v>
      </c>
      <c r="K13" s="11" t="s">
        <v>12</v>
      </c>
    </row>
    <row r="14" s="1" customFormat="1" customHeight="1" spans="1:11">
      <c r="A14" s="8" t="str">
        <f t="shared" si="3"/>
        <v>E15G</v>
      </c>
      <c r="B14" s="8" t="s">
        <v>76</v>
      </c>
      <c r="C14" s="8" t="str">
        <f>"杨富程"</f>
        <v>杨富程</v>
      </c>
      <c r="D14" s="8" t="str">
        <f t="shared" si="4"/>
        <v>男</v>
      </c>
      <c r="E14" s="8" t="str">
        <f>"2022028012"</f>
        <v>2022028012</v>
      </c>
      <c r="F14" s="9">
        <v>53.8</v>
      </c>
      <c r="G14" s="9">
        <v>79</v>
      </c>
      <c r="H14" s="9">
        <v>63.88</v>
      </c>
      <c r="I14" s="9">
        <v>3</v>
      </c>
      <c r="J14" s="10" t="s">
        <v>73</v>
      </c>
      <c r="K14" s="11" t="s">
        <v>12</v>
      </c>
    </row>
    <row r="15" s="1" customFormat="1" customHeight="1" spans="1:11">
      <c r="A15" s="8" t="str">
        <f t="shared" si="3"/>
        <v>E15G</v>
      </c>
      <c r="B15" s="8" t="s">
        <v>76</v>
      </c>
      <c r="C15" s="8" t="str">
        <f>"段艳平"</f>
        <v>段艳平</v>
      </c>
      <c r="D15" s="8" t="str">
        <f t="shared" ref="D15:D19" si="5">"女"</f>
        <v>女</v>
      </c>
      <c r="E15" s="8" t="str">
        <f>"2022028014"</f>
        <v>2022028014</v>
      </c>
      <c r="F15" s="9">
        <v>50</v>
      </c>
      <c r="G15" s="9">
        <v>54</v>
      </c>
      <c r="H15" s="9">
        <v>51.6</v>
      </c>
      <c r="I15" s="9">
        <v>4</v>
      </c>
      <c r="J15" s="10" t="s">
        <v>73</v>
      </c>
      <c r="K15" s="11" t="s">
        <v>12</v>
      </c>
    </row>
    <row r="16" s="1" customFormat="1" customHeight="1" spans="1:11">
      <c r="A16" s="8" t="str">
        <f t="shared" si="3"/>
        <v>E15G</v>
      </c>
      <c r="B16" s="8" t="s">
        <v>76</v>
      </c>
      <c r="C16" s="8" t="str">
        <f>"刘婷"</f>
        <v>刘婷</v>
      </c>
      <c r="D16" s="8" t="str">
        <f t="shared" si="5"/>
        <v>女</v>
      </c>
      <c r="E16" s="8" t="str">
        <f>"2022028016"</f>
        <v>2022028016</v>
      </c>
      <c r="F16" s="9">
        <v>0</v>
      </c>
      <c r="G16" s="9">
        <v>0</v>
      </c>
      <c r="H16" s="9">
        <v>0</v>
      </c>
      <c r="I16" s="9">
        <v>5</v>
      </c>
      <c r="J16" s="10" t="s">
        <v>13</v>
      </c>
      <c r="K16" s="11" t="s">
        <v>12</v>
      </c>
    </row>
    <row r="17" s="1" customFormat="1" customHeight="1" spans="1:11">
      <c r="A17" s="8" t="str">
        <f t="shared" ref="A17:A20" si="6">"E16F"</f>
        <v>E16F</v>
      </c>
      <c r="B17" s="8" t="s">
        <v>77</v>
      </c>
      <c r="C17" s="8" t="str">
        <f>"戴小三"</f>
        <v>戴小三</v>
      </c>
      <c r="D17" s="8" t="str">
        <f t="shared" si="4"/>
        <v>男</v>
      </c>
      <c r="E17" s="8" t="str">
        <f>"2022028017"</f>
        <v>2022028017</v>
      </c>
      <c r="F17" s="9">
        <v>62.8</v>
      </c>
      <c r="G17" s="9">
        <v>64</v>
      </c>
      <c r="H17" s="9">
        <v>63.28</v>
      </c>
      <c r="I17" s="9">
        <v>1</v>
      </c>
      <c r="J17" s="10" t="s">
        <v>73</v>
      </c>
      <c r="K17" s="11" t="s">
        <v>11</v>
      </c>
    </row>
    <row r="18" s="1" customFormat="1" customHeight="1" spans="1:11">
      <c r="A18" s="8" t="str">
        <f t="shared" si="6"/>
        <v>E16F</v>
      </c>
      <c r="B18" s="8" t="s">
        <v>77</v>
      </c>
      <c r="C18" s="8" t="str">
        <f>"黄雪姣"</f>
        <v>黄雪姣</v>
      </c>
      <c r="D18" s="8" t="str">
        <f t="shared" si="5"/>
        <v>女</v>
      </c>
      <c r="E18" s="8" t="str">
        <f>"2022028018"</f>
        <v>2022028018</v>
      </c>
      <c r="F18" s="9">
        <v>0</v>
      </c>
      <c r="G18" s="9">
        <v>0</v>
      </c>
      <c r="H18" s="9">
        <v>0</v>
      </c>
      <c r="I18" s="9">
        <v>2</v>
      </c>
      <c r="J18" s="10" t="s">
        <v>13</v>
      </c>
      <c r="K18" s="11" t="s">
        <v>12</v>
      </c>
    </row>
    <row r="19" s="1" customFormat="1" customHeight="1" spans="1:11">
      <c r="A19" s="8" t="str">
        <f t="shared" si="6"/>
        <v>E16F</v>
      </c>
      <c r="B19" s="8" t="s">
        <v>77</v>
      </c>
      <c r="C19" s="8" t="str">
        <f>"刘娜利"</f>
        <v>刘娜利</v>
      </c>
      <c r="D19" s="8" t="str">
        <f t="shared" si="5"/>
        <v>女</v>
      </c>
      <c r="E19" s="8" t="str">
        <f>"2022028019"</f>
        <v>2022028019</v>
      </c>
      <c r="F19" s="9">
        <v>0</v>
      </c>
      <c r="G19" s="9">
        <v>0</v>
      </c>
      <c r="H19" s="9">
        <v>0</v>
      </c>
      <c r="I19" s="9">
        <v>2</v>
      </c>
      <c r="J19" s="10" t="s">
        <v>13</v>
      </c>
      <c r="K19" s="11" t="s">
        <v>12</v>
      </c>
    </row>
    <row r="20" s="1" customFormat="1" customHeight="1" spans="1:11">
      <c r="A20" s="8" t="str">
        <f t="shared" si="6"/>
        <v>E16F</v>
      </c>
      <c r="B20" s="8" t="s">
        <v>77</v>
      </c>
      <c r="C20" s="8" t="str">
        <f>"高宁安"</f>
        <v>高宁安</v>
      </c>
      <c r="D20" s="8" t="str">
        <f t="shared" ref="D20:D25" si="7">"男"</f>
        <v>男</v>
      </c>
      <c r="E20" s="8" t="str">
        <f>"2022028020"</f>
        <v>2022028020</v>
      </c>
      <c r="F20" s="9">
        <v>0</v>
      </c>
      <c r="G20" s="9">
        <v>0</v>
      </c>
      <c r="H20" s="9">
        <v>0</v>
      </c>
      <c r="I20" s="9">
        <v>2</v>
      </c>
      <c r="J20" s="10" t="s">
        <v>13</v>
      </c>
      <c r="K20" s="11" t="s">
        <v>12</v>
      </c>
    </row>
    <row r="21" s="1" customFormat="1" customHeight="1" spans="1:11">
      <c r="A21" s="8" t="str">
        <f t="shared" ref="A21:A23" si="8">"E2F"</f>
        <v>E2F</v>
      </c>
      <c r="B21" s="8" t="s">
        <v>78</v>
      </c>
      <c r="C21" s="8" t="str">
        <f>"洪海元"</f>
        <v>洪海元</v>
      </c>
      <c r="D21" s="8" t="str">
        <f t="shared" si="7"/>
        <v>男</v>
      </c>
      <c r="E21" s="8" t="str">
        <f>"2022027830"</f>
        <v>2022027830</v>
      </c>
      <c r="F21" s="9">
        <v>66.8</v>
      </c>
      <c r="G21" s="9">
        <v>81</v>
      </c>
      <c r="H21" s="9">
        <v>72.48</v>
      </c>
      <c r="I21" s="9">
        <v>1</v>
      </c>
      <c r="J21" s="10" t="s">
        <v>73</v>
      </c>
      <c r="K21" s="11" t="s">
        <v>11</v>
      </c>
    </row>
    <row r="22" s="1" customFormat="1" customHeight="1" spans="1:11">
      <c r="A22" s="8" t="str">
        <f t="shared" si="8"/>
        <v>E2F</v>
      </c>
      <c r="B22" s="8" t="s">
        <v>78</v>
      </c>
      <c r="C22" s="8" t="str">
        <f>"陈鹏"</f>
        <v>陈鹏</v>
      </c>
      <c r="D22" s="8" t="str">
        <f t="shared" si="7"/>
        <v>男</v>
      </c>
      <c r="E22" s="8" t="str">
        <f>"2022027831"</f>
        <v>2022027831</v>
      </c>
      <c r="F22" s="9">
        <v>59.4</v>
      </c>
      <c r="G22" s="9">
        <v>66</v>
      </c>
      <c r="H22" s="9">
        <v>62.04</v>
      </c>
      <c r="I22" s="9">
        <v>2</v>
      </c>
      <c r="J22" s="10" t="s">
        <v>73</v>
      </c>
      <c r="K22" s="11" t="s">
        <v>12</v>
      </c>
    </row>
    <row r="23" s="1" customFormat="1" customHeight="1" spans="1:11">
      <c r="A23" s="8" t="str">
        <f t="shared" si="8"/>
        <v>E2F</v>
      </c>
      <c r="B23" s="8" t="s">
        <v>78</v>
      </c>
      <c r="C23" s="8" t="str">
        <f>"李小龙"</f>
        <v>李小龙</v>
      </c>
      <c r="D23" s="8" t="str">
        <f t="shared" si="7"/>
        <v>男</v>
      </c>
      <c r="E23" s="8" t="str">
        <f>"2022027829"</f>
        <v>2022027829</v>
      </c>
      <c r="F23" s="9">
        <v>0</v>
      </c>
      <c r="G23" s="9">
        <v>0</v>
      </c>
      <c r="H23" s="9">
        <v>0</v>
      </c>
      <c r="I23" s="9">
        <v>3</v>
      </c>
      <c r="J23" s="10" t="s">
        <v>13</v>
      </c>
      <c r="K23" s="11" t="s">
        <v>12</v>
      </c>
    </row>
    <row r="24" s="1" customFormat="1" customHeight="1" spans="1:11">
      <c r="A24" s="8" t="str">
        <f>"E4F"</f>
        <v>E4F</v>
      </c>
      <c r="B24" s="8" t="s">
        <v>79</v>
      </c>
      <c r="C24" s="8" t="str">
        <f>"肖宪云"</f>
        <v>肖宪云</v>
      </c>
      <c r="D24" s="8" t="str">
        <f t="shared" si="7"/>
        <v>男</v>
      </c>
      <c r="E24" s="8" t="str">
        <f>"2022028001"</f>
        <v>2022028001</v>
      </c>
      <c r="F24" s="9">
        <v>44.8</v>
      </c>
      <c r="G24" s="9">
        <v>75</v>
      </c>
      <c r="H24" s="9">
        <v>56.88</v>
      </c>
      <c r="I24" s="9">
        <v>1</v>
      </c>
      <c r="J24" s="10" t="s">
        <v>73</v>
      </c>
      <c r="K24" s="12" t="s">
        <v>12</v>
      </c>
    </row>
    <row r="25" s="1" customFormat="1" customHeight="1" spans="1:11">
      <c r="A25" s="8" t="str">
        <f>"E4F"</f>
        <v>E4F</v>
      </c>
      <c r="B25" s="8" t="s">
        <v>79</v>
      </c>
      <c r="C25" s="8" t="str">
        <f>"黄志"</f>
        <v>黄志</v>
      </c>
      <c r="D25" s="8" t="str">
        <f t="shared" si="7"/>
        <v>男</v>
      </c>
      <c r="E25" s="8" t="str">
        <f>"2022028002"</f>
        <v>2022028002</v>
      </c>
      <c r="F25" s="9">
        <v>37</v>
      </c>
      <c r="G25" s="9">
        <v>0</v>
      </c>
      <c r="H25" s="9">
        <v>22.2</v>
      </c>
      <c r="I25" s="9">
        <v>2</v>
      </c>
      <c r="J25" s="10" t="s">
        <v>73</v>
      </c>
      <c r="K25" s="11" t="s">
        <v>12</v>
      </c>
    </row>
    <row r="26" s="1" customFormat="1" customHeight="1" spans="1:11">
      <c r="A26" s="8" t="str">
        <f t="shared" ref="A26:A82" si="9">"E5G"</f>
        <v>E5G</v>
      </c>
      <c r="B26" s="8" t="s">
        <v>80</v>
      </c>
      <c r="C26" s="8" t="str">
        <f>"戴婷"</f>
        <v>戴婷</v>
      </c>
      <c r="D26" s="8" t="str">
        <f t="shared" ref="D26:D89" si="10">"女"</f>
        <v>女</v>
      </c>
      <c r="E26" s="8" t="str">
        <f>"2022026902"</f>
        <v>2022026902</v>
      </c>
      <c r="F26" s="9">
        <v>81.8</v>
      </c>
      <c r="G26" s="9">
        <v>90.5</v>
      </c>
      <c r="H26" s="9">
        <v>85.28</v>
      </c>
      <c r="I26" s="9">
        <v>1</v>
      </c>
      <c r="J26" s="10" t="s">
        <v>73</v>
      </c>
      <c r="K26" s="11" t="s">
        <v>11</v>
      </c>
    </row>
    <row r="27" s="1" customFormat="1" customHeight="1" spans="1:11">
      <c r="A27" s="8" t="str">
        <f t="shared" si="9"/>
        <v>E5G</v>
      </c>
      <c r="B27" s="8" t="s">
        <v>80</v>
      </c>
      <c r="C27" s="8" t="str">
        <f>"董艺"</f>
        <v>董艺</v>
      </c>
      <c r="D27" s="8" t="str">
        <f t="shared" si="10"/>
        <v>女</v>
      </c>
      <c r="E27" s="8" t="str">
        <f>"2022026807"</f>
        <v>2022026807</v>
      </c>
      <c r="F27" s="9">
        <v>79.3</v>
      </c>
      <c r="G27" s="9">
        <v>90.5</v>
      </c>
      <c r="H27" s="9">
        <v>83.78</v>
      </c>
      <c r="I27" s="9">
        <v>2</v>
      </c>
      <c r="J27" s="10" t="s">
        <v>73</v>
      </c>
      <c r="K27" s="11" t="s">
        <v>11</v>
      </c>
    </row>
    <row r="28" s="1" customFormat="1" customHeight="1" spans="1:11">
      <c r="A28" s="8" t="str">
        <f t="shared" si="9"/>
        <v>E5G</v>
      </c>
      <c r="B28" s="8" t="s">
        <v>80</v>
      </c>
      <c r="C28" s="8" t="str">
        <f>"龚丽君"</f>
        <v>龚丽君</v>
      </c>
      <c r="D28" s="8" t="str">
        <f t="shared" si="10"/>
        <v>女</v>
      </c>
      <c r="E28" s="8" t="str">
        <f>"2022026823"</f>
        <v>2022026823</v>
      </c>
      <c r="F28" s="9">
        <v>77.2</v>
      </c>
      <c r="G28" s="9">
        <v>92</v>
      </c>
      <c r="H28" s="9">
        <v>83.12</v>
      </c>
      <c r="I28" s="9">
        <v>3</v>
      </c>
      <c r="J28" s="10" t="s">
        <v>73</v>
      </c>
      <c r="K28" s="11" t="s">
        <v>12</v>
      </c>
    </row>
    <row r="29" s="1" customFormat="1" customHeight="1" spans="1:11">
      <c r="A29" s="8" t="str">
        <f t="shared" si="9"/>
        <v>E5G</v>
      </c>
      <c r="B29" s="8" t="s">
        <v>80</v>
      </c>
      <c r="C29" s="8" t="str">
        <f>"刘丹"</f>
        <v>刘丹</v>
      </c>
      <c r="D29" s="8" t="str">
        <f t="shared" si="10"/>
        <v>女</v>
      </c>
      <c r="E29" s="8" t="str">
        <f>"2022026910"</f>
        <v>2022026910</v>
      </c>
      <c r="F29" s="9">
        <v>76.7</v>
      </c>
      <c r="G29" s="9">
        <v>92.7</v>
      </c>
      <c r="H29" s="9">
        <v>83.1</v>
      </c>
      <c r="I29" s="9">
        <v>4</v>
      </c>
      <c r="J29" s="10" t="s">
        <v>73</v>
      </c>
      <c r="K29" s="11" t="s">
        <v>12</v>
      </c>
    </row>
    <row r="30" s="1" customFormat="1" customHeight="1" spans="1:11">
      <c r="A30" s="8" t="str">
        <f t="shared" si="9"/>
        <v>E5G</v>
      </c>
      <c r="B30" s="8" t="s">
        <v>80</v>
      </c>
      <c r="C30" s="8" t="str">
        <f>"金云玉"</f>
        <v>金云玉</v>
      </c>
      <c r="D30" s="8" t="str">
        <f t="shared" si="10"/>
        <v>女</v>
      </c>
      <c r="E30" s="8" t="str">
        <f>"2022026911"</f>
        <v>2022026911</v>
      </c>
      <c r="F30" s="9">
        <v>75.6</v>
      </c>
      <c r="G30" s="9">
        <v>93</v>
      </c>
      <c r="H30" s="9">
        <v>82.56</v>
      </c>
      <c r="I30" s="9">
        <v>5</v>
      </c>
      <c r="J30" s="10" t="s">
        <v>73</v>
      </c>
      <c r="K30" s="11" t="s">
        <v>12</v>
      </c>
    </row>
    <row r="31" s="1" customFormat="1" customHeight="1" spans="1:11">
      <c r="A31" s="8" t="str">
        <f t="shared" si="9"/>
        <v>E5G</v>
      </c>
      <c r="B31" s="8" t="s">
        <v>80</v>
      </c>
      <c r="C31" s="8" t="str">
        <f>"曾姣如"</f>
        <v>曾姣如</v>
      </c>
      <c r="D31" s="8" t="str">
        <f t="shared" si="10"/>
        <v>女</v>
      </c>
      <c r="E31" s="8" t="str">
        <f>"2022026917"</f>
        <v>2022026917</v>
      </c>
      <c r="F31" s="9">
        <v>75.1</v>
      </c>
      <c r="G31" s="9">
        <v>90</v>
      </c>
      <c r="H31" s="9">
        <v>81.06</v>
      </c>
      <c r="I31" s="9">
        <v>6</v>
      </c>
      <c r="J31" s="10" t="s">
        <v>73</v>
      </c>
      <c r="K31" s="11" t="s">
        <v>12</v>
      </c>
    </row>
    <row r="32" s="1" customFormat="1" customHeight="1" spans="1:11">
      <c r="A32" s="8" t="str">
        <f t="shared" si="9"/>
        <v>E5G</v>
      </c>
      <c r="B32" s="8" t="s">
        <v>80</v>
      </c>
      <c r="C32" s="8" t="str">
        <f>"张依依"</f>
        <v>张依依</v>
      </c>
      <c r="D32" s="8" t="str">
        <f t="shared" si="10"/>
        <v>女</v>
      </c>
      <c r="E32" s="8" t="str">
        <f>"2022026817"</f>
        <v>2022026817</v>
      </c>
      <c r="F32" s="9">
        <v>74.3</v>
      </c>
      <c r="G32" s="9">
        <v>89.5</v>
      </c>
      <c r="H32" s="9">
        <v>80.38</v>
      </c>
      <c r="I32" s="9">
        <v>7</v>
      </c>
      <c r="J32" s="10" t="s">
        <v>73</v>
      </c>
      <c r="K32" s="11" t="s">
        <v>12</v>
      </c>
    </row>
    <row r="33" s="1" customFormat="1" customHeight="1" spans="1:11">
      <c r="A33" s="8" t="str">
        <f t="shared" si="9"/>
        <v>E5G</v>
      </c>
      <c r="B33" s="8" t="s">
        <v>80</v>
      </c>
      <c r="C33" s="8" t="str">
        <f>"杨美琴"</f>
        <v>杨美琴</v>
      </c>
      <c r="D33" s="8" t="str">
        <f t="shared" si="10"/>
        <v>女</v>
      </c>
      <c r="E33" s="8" t="str">
        <f>"2022026829"</f>
        <v>2022026829</v>
      </c>
      <c r="F33" s="9">
        <v>74.4</v>
      </c>
      <c r="G33" s="9">
        <v>89</v>
      </c>
      <c r="H33" s="9">
        <v>80.24</v>
      </c>
      <c r="I33" s="9">
        <v>8</v>
      </c>
      <c r="J33" s="10" t="s">
        <v>73</v>
      </c>
      <c r="K33" s="11" t="s">
        <v>12</v>
      </c>
    </row>
    <row r="34" s="1" customFormat="1" customHeight="1" spans="1:11">
      <c r="A34" s="8" t="str">
        <f t="shared" si="9"/>
        <v>E5G</v>
      </c>
      <c r="B34" s="8" t="s">
        <v>80</v>
      </c>
      <c r="C34" s="8" t="str">
        <f>"李辕镇"</f>
        <v>李辕镇</v>
      </c>
      <c r="D34" s="8" t="str">
        <f t="shared" si="10"/>
        <v>女</v>
      </c>
      <c r="E34" s="8" t="str">
        <f>"2022026914"</f>
        <v>2022026914</v>
      </c>
      <c r="F34" s="9">
        <v>75.8</v>
      </c>
      <c r="G34" s="9">
        <v>82.5</v>
      </c>
      <c r="H34" s="9">
        <v>78.48</v>
      </c>
      <c r="I34" s="9">
        <v>9</v>
      </c>
      <c r="J34" s="10" t="s">
        <v>73</v>
      </c>
      <c r="K34" s="11" t="s">
        <v>12</v>
      </c>
    </row>
    <row r="35" s="1" customFormat="1" customHeight="1" spans="1:11">
      <c r="A35" s="8" t="str">
        <f t="shared" si="9"/>
        <v>E5G</v>
      </c>
      <c r="B35" s="8" t="s">
        <v>80</v>
      </c>
      <c r="C35" s="8" t="str">
        <f>"祝慧冰"</f>
        <v>祝慧冰</v>
      </c>
      <c r="D35" s="8" t="str">
        <f t="shared" si="10"/>
        <v>女</v>
      </c>
      <c r="E35" s="8" t="str">
        <f>"2022026810"</f>
        <v>2022026810</v>
      </c>
      <c r="F35" s="9">
        <v>74.6</v>
      </c>
      <c r="G35" s="9">
        <v>82</v>
      </c>
      <c r="H35" s="9">
        <v>77.56</v>
      </c>
      <c r="I35" s="9">
        <v>10</v>
      </c>
      <c r="J35" s="10" t="s">
        <v>73</v>
      </c>
      <c r="K35" s="11" t="s">
        <v>12</v>
      </c>
    </row>
    <row r="36" s="1" customFormat="1" customHeight="1" spans="1:11">
      <c r="A36" s="8" t="str">
        <f t="shared" si="9"/>
        <v>E5G</v>
      </c>
      <c r="B36" s="8" t="s">
        <v>80</v>
      </c>
      <c r="C36" s="8" t="str">
        <f>"肖佳欣"</f>
        <v>肖佳欣</v>
      </c>
      <c r="D36" s="8" t="str">
        <f t="shared" si="10"/>
        <v>女</v>
      </c>
      <c r="E36" s="8" t="str">
        <f>"2022026925"</f>
        <v>2022026925</v>
      </c>
      <c r="F36" s="9">
        <v>72.7</v>
      </c>
      <c r="G36" s="9">
        <v>84</v>
      </c>
      <c r="H36" s="9">
        <v>77.22</v>
      </c>
      <c r="I36" s="9">
        <v>11</v>
      </c>
      <c r="J36" s="10" t="s">
        <v>73</v>
      </c>
      <c r="K36" s="11" t="s">
        <v>12</v>
      </c>
    </row>
    <row r="37" s="1" customFormat="1" customHeight="1" spans="1:11">
      <c r="A37" s="8" t="str">
        <f t="shared" si="9"/>
        <v>E5G</v>
      </c>
      <c r="B37" s="8" t="s">
        <v>80</v>
      </c>
      <c r="C37" s="8" t="str">
        <f>"唐娟"</f>
        <v>唐娟</v>
      </c>
      <c r="D37" s="8" t="str">
        <f t="shared" si="10"/>
        <v>女</v>
      </c>
      <c r="E37" s="8" t="str">
        <f>"2022026813"</f>
        <v>2022026813</v>
      </c>
      <c r="F37" s="9">
        <v>73.1</v>
      </c>
      <c r="G37" s="9">
        <v>82</v>
      </c>
      <c r="H37" s="9">
        <v>76.66</v>
      </c>
      <c r="I37" s="9">
        <v>12</v>
      </c>
      <c r="J37" s="10" t="s">
        <v>73</v>
      </c>
      <c r="K37" s="11" t="s">
        <v>12</v>
      </c>
    </row>
    <row r="38" s="1" customFormat="1" customHeight="1" spans="1:11">
      <c r="A38" s="8" t="str">
        <f t="shared" si="9"/>
        <v>E5G</v>
      </c>
      <c r="B38" s="8" t="s">
        <v>80</v>
      </c>
      <c r="C38" s="8" t="str">
        <f>"伍姿"</f>
        <v>伍姿</v>
      </c>
      <c r="D38" s="8" t="str">
        <f t="shared" si="10"/>
        <v>女</v>
      </c>
      <c r="E38" s="8" t="str">
        <f>"2022026816"</f>
        <v>2022026816</v>
      </c>
      <c r="F38" s="9">
        <v>73.5</v>
      </c>
      <c r="G38" s="9">
        <v>81</v>
      </c>
      <c r="H38" s="9">
        <v>76.5</v>
      </c>
      <c r="I38" s="9">
        <v>13</v>
      </c>
      <c r="J38" s="10" t="s">
        <v>73</v>
      </c>
      <c r="K38" s="11" t="s">
        <v>12</v>
      </c>
    </row>
    <row r="39" s="1" customFormat="1" customHeight="1" spans="1:11">
      <c r="A39" s="8" t="str">
        <f t="shared" si="9"/>
        <v>E5G</v>
      </c>
      <c r="B39" s="8" t="s">
        <v>80</v>
      </c>
      <c r="C39" s="8" t="str">
        <f>"毛媛"</f>
        <v>毛媛</v>
      </c>
      <c r="D39" s="8" t="str">
        <f t="shared" si="10"/>
        <v>女</v>
      </c>
      <c r="E39" s="8" t="str">
        <f>"2022026824"</f>
        <v>2022026824</v>
      </c>
      <c r="F39" s="9">
        <v>75.3</v>
      </c>
      <c r="G39" s="9">
        <v>73.5</v>
      </c>
      <c r="H39" s="9">
        <v>74.58</v>
      </c>
      <c r="I39" s="9">
        <v>14</v>
      </c>
      <c r="J39" s="10" t="s">
        <v>73</v>
      </c>
      <c r="K39" s="11" t="s">
        <v>12</v>
      </c>
    </row>
    <row r="40" s="1" customFormat="1" customHeight="1" spans="1:11">
      <c r="A40" s="8" t="str">
        <f t="shared" si="9"/>
        <v>E5G</v>
      </c>
      <c r="B40" s="8" t="s">
        <v>80</v>
      </c>
      <c r="C40" s="8" t="str">
        <f>"肖映榕"</f>
        <v>肖映榕</v>
      </c>
      <c r="D40" s="8" t="str">
        <f t="shared" si="10"/>
        <v>女</v>
      </c>
      <c r="E40" s="8" t="str">
        <f>"2022026921"</f>
        <v>2022026921</v>
      </c>
      <c r="F40" s="9">
        <v>68.9</v>
      </c>
      <c r="G40" s="9">
        <v>83</v>
      </c>
      <c r="H40" s="9">
        <v>74.54</v>
      </c>
      <c r="I40" s="9">
        <v>15</v>
      </c>
      <c r="J40" s="10" t="s">
        <v>73</v>
      </c>
      <c r="K40" s="11" t="s">
        <v>12</v>
      </c>
    </row>
    <row r="41" s="1" customFormat="1" customHeight="1" spans="1:11">
      <c r="A41" s="8" t="str">
        <f t="shared" si="9"/>
        <v>E5G</v>
      </c>
      <c r="B41" s="8" t="s">
        <v>80</v>
      </c>
      <c r="C41" s="8" t="str">
        <f>"许维"</f>
        <v>许维</v>
      </c>
      <c r="D41" s="8" t="str">
        <f t="shared" si="10"/>
        <v>女</v>
      </c>
      <c r="E41" s="8" t="str">
        <f>"2022026923"</f>
        <v>2022026923</v>
      </c>
      <c r="F41" s="9">
        <v>66.2</v>
      </c>
      <c r="G41" s="9">
        <v>85</v>
      </c>
      <c r="H41" s="9">
        <v>73.72</v>
      </c>
      <c r="I41" s="9">
        <v>16</v>
      </c>
      <c r="J41" s="10" t="s">
        <v>73</v>
      </c>
      <c r="K41" s="11" t="s">
        <v>12</v>
      </c>
    </row>
    <row r="42" s="1" customFormat="1" customHeight="1" spans="1:11">
      <c r="A42" s="8" t="str">
        <f t="shared" si="9"/>
        <v>E5G</v>
      </c>
      <c r="B42" s="8" t="s">
        <v>80</v>
      </c>
      <c r="C42" s="8" t="str">
        <f>"顾蕾"</f>
        <v>顾蕾</v>
      </c>
      <c r="D42" s="8" t="str">
        <f t="shared" si="10"/>
        <v>女</v>
      </c>
      <c r="E42" s="8" t="str">
        <f>"2022026904"</f>
        <v>2022026904</v>
      </c>
      <c r="F42" s="9">
        <v>65.6</v>
      </c>
      <c r="G42" s="9">
        <v>84</v>
      </c>
      <c r="H42" s="9">
        <v>72.96</v>
      </c>
      <c r="I42" s="9">
        <v>17</v>
      </c>
      <c r="J42" s="10" t="s">
        <v>73</v>
      </c>
      <c r="K42" s="11" t="s">
        <v>12</v>
      </c>
    </row>
    <row r="43" s="1" customFormat="1" customHeight="1" spans="1:11">
      <c r="A43" s="8" t="str">
        <f t="shared" si="9"/>
        <v>E5G</v>
      </c>
      <c r="B43" s="8" t="s">
        <v>80</v>
      </c>
      <c r="C43" s="8" t="str">
        <f>"尹桂林"</f>
        <v>尹桂林</v>
      </c>
      <c r="D43" s="8" t="str">
        <f t="shared" si="10"/>
        <v>女</v>
      </c>
      <c r="E43" s="8" t="str">
        <f>"2022026918"</f>
        <v>2022026918</v>
      </c>
      <c r="F43" s="9">
        <v>67.2</v>
      </c>
      <c r="G43" s="9">
        <v>80.5</v>
      </c>
      <c r="H43" s="9">
        <v>72.52</v>
      </c>
      <c r="I43" s="9">
        <v>18</v>
      </c>
      <c r="J43" s="10" t="s">
        <v>73</v>
      </c>
      <c r="K43" s="11" t="s">
        <v>12</v>
      </c>
    </row>
    <row r="44" s="1" customFormat="1" customHeight="1" spans="1:11">
      <c r="A44" s="8" t="str">
        <f t="shared" si="9"/>
        <v>E5G</v>
      </c>
      <c r="B44" s="8" t="s">
        <v>80</v>
      </c>
      <c r="C44" s="8" t="str">
        <f>"杨琳"</f>
        <v>杨琳</v>
      </c>
      <c r="D44" s="8" t="str">
        <f t="shared" si="10"/>
        <v>女</v>
      </c>
      <c r="E44" s="8" t="str">
        <f>"2022026901"</f>
        <v>2022026901</v>
      </c>
      <c r="F44" s="9">
        <v>63.2</v>
      </c>
      <c r="G44" s="9">
        <v>85.6</v>
      </c>
      <c r="H44" s="9">
        <v>72.16</v>
      </c>
      <c r="I44" s="9">
        <v>19</v>
      </c>
      <c r="J44" s="10" t="s">
        <v>73</v>
      </c>
      <c r="K44" s="11" t="s">
        <v>12</v>
      </c>
    </row>
    <row r="45" s="1" customFormat="1" customHeight="1" spans="1:11">
      <c r="A45" s="8" t="str">
        <f t="shared" si="9"/>
        <v>E5G</v>
      </c>
      <c r="B45" s="8" t="s">
        <v>80</v>
      </c>
      <c r="C45" s="8" t="str">
        <f>"杨梦桃"</f>
        <v>杨梦桃</v>
      </c>
      <c r="D45" s="8" t="str">
        <f t="shared" si="10"/>
        <v>女</v>
      </c>
      <c r="E45" s="8" t="str">
        <f>"2022026802"</f>
        <v>2022026802</v>
      </c>
      <c r="F45" s="9">
        <v>70.8</v>
      </c>
      <c r="G45" s="9">
        <v>72</v>
      </c>
      <c r="H45" s="9">
        <v>71.28</v>
      </c>
      <c r="I45" s="9">
        <v>20</v>
      </c>
      <c r="J45" s="10" t="s">
        <v>73</v>
      </c>
      <c r="K45" s="11" t="s">
        <v>12</v>
      </c>
    </row>
    <row r="46" s="1" customFormat="1" customHeight="1" spans="1:11">
      <c r="A46" s="8" t="str">
        <f t="shared" si="9"/>
        <v>E5G</v>
      </c>
      <c r="B46" s="8" t="s">
        <v>80</v>
      </c>
      <c r="C46" s="8" t="str">
        <f>"彭茂玲"</f>
        <v>彭茂玲</v>
      </c>
      <c r="D46" s="8" t="str">
        <f t="shared" si="10"/>
        <v>女</v>
      </c>
      <c r="E46" s="8" t="str">
        <f>"2022026830"</f>
        <v>2022026830</v>
      </c>
      <c r="F46" s="9">
        <v>71.6</v>
      </c>
      <c r="G46" s="9">
        <v>70.5</v>
      </c>
      <c r="H46" s="9">
        <v>71.16</v>
      </c>
      <c r="I46" s="9">
        <v>21</v>
      </c>
      <c r="J46" s="10" t="s">
        <v>73</v>
      </c>
      <c r="K46" s="11" t="s">
        <v>12</v>
      </c>
    </row>
    <row r="47" s="1" customFormat="1" customHeight="1" spans="1:11">
      <c r="A47" s="8" t="str">
        <f t="shared" si="9"/>
        <v>E5G</v>
      </c>
      <c r="B47" s="8" t="s">
        <v>80</v>
      </c>
      <c r="C47" s="8" t="str">
        <f>"杨璧胜"</f>
        <v>杨璧胜</v>
      </c>
      <c r="D47" s="8" t="str">
        <f t="shared" si="10"/>
        <v>女</v>
      </c>
      <c r="E47" s="8" t="str">
        <f>"2022026803"</f>
        <v>2022026803</v>
      </c>
      <c r="F47" s="9">
        <v>64.3</v>
      </c>
      <c r="G47" s="9">
        <v>81</v>
      </c>
      <c r="H47" s="9">
        <v>70.98</v>
      </c>
      <c r="I47" s="9">
        <v>22</v>
      </c>
      <c r="J47" s="10" t="s">
        <v>73</v>
      </c>
      <c r="K47" s="11" t="s">
        <v>12</v>
      </c>
    </row>
    <row r="48" s="1" customFormat="1" customHeight="1" spans="1:11">
      <c r="A48" s="8" t="str">
        <f t="shared" si="9"/>
        <v>E5G</v>
      </c>
      <c r="B48" s="8" t="s">
        <v>80</v>
      </c>
      <c r="C48" s="8" t="str">
        <f>"吴李萍"</f>
        <v>吴李萍</v>
      </c>
      <c r="D48" s="8" t="str">
        <f t="shared" si="10"/>
        <v>女</v>
      </c>
      <c r="E48" s="8" t="str">
        <f>"2022026916"</f>
        <v>2022026916</v>
      </c>
      <c r="F48" s="9">
        <v>67.8</v>
      </c>
      <c r="G48" s="9">
        <v>71.5</v>
      </c>
      <c r="H48" s="9">
        <v>69.28</v>
      </c>
      <c r="I48" s="9">
        <v>23</v>
      </c>
      <c r="J48" s="10" t="s">
        <v>73</v>
      </c>
      <c r="K48" s="11" t="s">
        <v>12</v>
      </c>
    </row>
    <row r="49" s="1" customFormat="1" customHeight="1" spans="1:11">
      <c r="A49" s="8" t="str">
        <f t="shared" si="9"/>
        <v>E5G</v>
      </c>
      <c r="B49" s="8" t="s">
        <v>80</v>
      </c>
      <c r="C49" s="8" t="str">
        <f>"杨依沂"</f>
        <v>杨依沂</v>
      </c>
      <c r="D49" s="8" t="str">
        <f t="shared" si="10"/>
        <v>女</v>
      </c>
      <c r="E49" s="8" t="str">
        <f>"2022026812"</f>
        <v>2022026812</v>
      </c>
      <c r="F49" s="9">
        <v>66.2</v>
      </c>
      <c r="G49" s="9">
        <v>72.5</v>
      </c>
      <c r="H49" s="9">
        <v>68.72</v>
      </c>
      <c r="I49" s="9">
        <v>24</v>
      </c>
      <c r="J49" s="10" t="s">
        <v>73</v>
      </c>
      <c r="K49" s="11" t="s">
        <v>12</v>
      </c>
    </row>
    <row r="50" s="1" customFormat="1" customHeight="1" spans="1:11">
      <c r="A50" s="8" t="str">
        <f t="shared" si="9"/>
        <v>E5G</v>
      </c>
      <c r="B50" s="8" t="s">
        <v>80</v>
      </c>
      <c r="C50" s="8" t="str">
        <f>"钟思琴"</f>
        <v>钟思琴</v>
      </c>
      <c r="D50" s="8" t="str">
        <f t="shared" si="10"/>
        <v>女</v>
      </c>
      <c r="E50" s="8" t="str">
        <f>"2022026814"</f>
        <v>2022026814</v>
      </c>
      <c r="F50" s="9">
        <v>65.2</v>
      </c>
      <c r="G50" s="9">
        <v>71.5</v>
      </c>
      <c r="H50" s="9">
        <v>67.72</v>
      </c>
      <c r="I50" s="9">
        <v>25</v>
      </c>
      <c r="J50" s="10" t="s">
        <v>73</v>
      </c>
      <c r="K50" s="11" t="s">
        <v>12</v>
      </c>
    </row>
    <row r="51" s="1" customFormat="1" customHeight="1" spans="1:11">
      <c r="A51" s="8" t="str">
        <f t="shared" si="9"/>
        <v>E5G</v>
      </c>
      <c r="B51" s="8" t="s">
        <v>80</v>
      </c>
      <c r="C51" s="8" t="str">
        <f>"刘梦莹"</f>
        <v>刘梦莹</v>
      </c>
      <c r="D51" s="8" t="str">
        <f t="shared" si="10"/>
        <v>女</v>
      </c>
      <c r="E51" s="8" t="str">
        <f>"2022026903"</f>
        <v>2022026903</v>
      </c>
      <c r="F51" s="9">
        <v>66.8</v>
      </c>
      <c r="G51" s="9">
        <v>65.5</v>
      </c>
      <c r="H51" s="9">
        <v>66.28</v>
      </c>
      <c r="I51" s="9">
        <v>26</v>
      </c>
      <c r="J51" s="10" t="s">
        <v>73</v>
      </c>
      <c r="K51" s="11" t="s">
        <v>12</v>
      </c>
    </row>
    <row r="52" s="1" customFormat="1" customHeight="1" spans="1:11">
      <c r="A52" s="8" t="str">
        <f t="shared" si="9"/>
        <v>E5G</v>
      </c>
      <c r="B52" s="8" t="s">
        <v>80</v>
      </c>
      <c r="C52" s="8" t="str">
        <f>"唐佳佳"</f>
        <v>唐佳佳</v>
      </c>
      <c r="D52" s="8" t="str">
        <f t="shared" si="10"/>
        <v>女</v>
      </c>
      <c r="E52" s="8" t="str">
        <f>"2022026815"</f>
        <v>2022026815</v>
      </c>
      <c r="F52" s="9">
        <v>67.1</v>
      </c>
      <c r="G52" s="9">
        <v>64</v>
      </c>
      <c r="H52" s="9">
        <v>65.86</v>
      </c>
      <c r="I52" s="9">
        <v>27</v>
      </c>
      <c r="J52" s="10" t="s">
        <v>73</v>
      </c>
      <c r="K52" s="11" t="s">
        <v>12</v>
      </c>
    </row>
    <row r="53" s="1" customFormat="1" customHeight="1" spans="1:11">
      <c r="A53" s="8" t="str">
        <f t="shared" si="9"/>
        <v>E5G</v>
      </c>
      <c r="B53" s="8" t="s">
        <v>80</v>
      </c>
      <c r="C53" s="8" t="str">
        <f>"罗木兰"</f>
        <v>罗木兰</v>
      </c>
      <c r="D53" s="8" t="str">
        <f t="shared" si="10"/>
        <v>女</v>
      </c>
      <c r="E53" s="8" t="str">
        <f>"2022026806"</f>
        <v>2022026806</v>
      </c>
      <c r="F53" s="9">
        <v>71.3</v>
      </c>
      <c r="G53" s="9">
        <v>56</v>
      </c>
      <c r="H53" s="9">
        <v>65.18</v>
      </c>
      <c r="I53" s="9">
        <v>28</v>
      </c>
      <c r="J53" s="10" t="s">
        <v>73</v>
      </c>
      <c r="K53" s="11" t="s">
        <v>12</v>
      </c>
    </row>
    <row r="54" s="1" customFormat="1" customHeight="1" spans="1:11">
      <c r="A54" s="8" t="str">
        <f t="shared" si="9"/>
        <v>E5G</v>
      </c>
      <c r="B54" s="8" t="s">
        <v>80</v>
      </c>
      <c r="C54" s="8" t="str">
        <f>"胡雅妮"</f>
        <v>胡雅妮</v>
      </c>
      <c r="D54" s="8" t="str">
        <f t="shared" si="10"/>
        <v>女</v>
      </c>
      <c r="E54" s="8" t="str">
        <f>"2022026828"</f>
        <v>2022026828</v>
      </c>
      <c r="F54" s="9">
        <v>58.2</v>
      </c>
      <c r="G54" s="9">
        <v>74.5</v>
      </c>
      <c r="H54" s="9">
        <v>64.72</v>
      </c>
      <c r="I54" s="9">
        <v>29</v>
      </c>
      <c r="J54" s="10" t="s">
        <v>73</v>
      </c>
      <c r="K54" s="11" t="s">
        <v>12</v>
      </c>
    </row>
    <row r="55" s="1" customFormat="1" customHeight="1" spans="1:11">
      <c r="A55" s="8" t="str">
        <f t="shared" si="9"/>
        <v>E5G</v>
      </c>
      <c r="B55" s="8" t="s">
        <v>80</v>
      </c>
      <c r="C55" s="8" t="str">
        <f>"李杨"</f>
        <v>李杨</v>
      </c>
      <c r="D55" s="8" t="str">
        <f t="shared" si="10"/>
        <v>女</v>
      </c>
      <c r="E55" s="8" t="str">
        <f>"2022026827"</f>
        <v>2022026827</v>
      </c>
      <c r="F55" s="9">
        <v>61</v>
      </c>
      <c r="G55" s="9">
        <v>70</v>
      </c>
      <c r="H55" s="9">
        <v>64.6</v>
      </c>
      <c r="I55" s="9">
        <v>30</v>
      </c>
      <c r="J55" s="10" t="s">
        <v>73</v>
      </c>
      <c r="K55" s="11" t="s">
        <v>12</v>
      </c>
    </row>
    <row r="56" s="1" customFormat="1" customHeight="1" spans="1:11">
      <c r="A56" s="8" t="str">
        <f t="shared" si="9"/>
        <v>E5G</v>
      </c>
      <c r="B56" s="8" t="s">
        <v>80</v>
      </c>
      <c r="C56" s="8" t="str">
        <f>"李思"</f>
        <v>李思</v>
      </c>
      <c r="D56" s="8" t="str">
        <f t="shared" si="10"/>
        <v>女</v>
      </c>
      <c r="E56" s="8" t="str">
        <f>"2022026819"</f>
        <v>2022026819</v>
      </c>
      <c r="F56" s="9">
        <v>59.6</v>
      </c>
      <c r="G56" s="9">
        <v>71</v>
      </c>
      <c r="H56" s="9">
        <v>64.16</v>
      </c>
      <c r="I56" s="9">
        <v>31</v>
      </c>
      <c r="J56" s="10" t="s">
        <v>73</v>
      </c>
      <c r="K56" s="11" t="s">
        <v>12</v>
      </c>
    </row>
    <row r="57" s="1" customFormat="1" customHeight="1" spans="1:11">
      <c r="A57" s="8" t="str">
        <f t="shared" si="9"/>
        <v>E5G</v>
      </c>
      <c r="B57" s="8" t="s">
        <v>80</v>
      </c>
      <c r="C57" s="8" t="str">
        <f>"肖远雯"</f>
        <v>肖远雯</v>
      </c>
      <c r="D57" s="8" t="str">
        <f t="shared" si="10"/>
        <v>女</v>
      </c>
      <c r="E57" s="8" t="str">
        <f>"2022026922"</f>
        <v>2022026922</v>
      </c>
      <c r="F57" s="9">
        <v>59.4</v>
      </c>
      <c r="G57" s="9">
        <v>70</v>
      </c>
      <c r="H57" s="9">
        <v>63.64</v>
      </c>
      <c r="I57" s="9">
        <v>32</v>
      </c>
      <c r="J57" s="10" t="s">
        <v>73</v>
      </c>
      <c r="K57" s="11" t="s">
        <v>12</v>
      </c>
    </row>
    <row r="58" s="1" customFormat="1" customHeight="1" spans="1:11">
      <c r="A58" s="8" t="str">
        <f t="shared" si="9"/>
        <v>E5G</v>
      </c>
      <c r="B58" s="8" t="s">
        <v>80</v>
      </c>
      <c r="C58" s="8" t="str">
        <f>"尹嘉娴"</f>
        <v>尹嘉娴</v>
      </c>
      <c r="D58" s="8" t="str">
        <f t="shared" si="10"/>
        <v>女</v>
      </c>
      <c r="E58" s="8" t="str">
        <f>"2022026811"</f>
        <v>2022026811</v>
      </c>
      <c r="F58" s="9">
        <v>65.8</v>
      </c>
      <c r="G58" s="9">
        <v>59.5</v>
      </c>
      <c r="H58" s="9">
        <v>63.28</v>
      </c>
      <c r="I58" s="9">
        <v>33</v>
      </c>
      <c r="J58" s="10" t="s">
        <v>73</v>
      </c>
      <c r="K58" s="11" t="s">
        <v>12</v>
      </c>
    </row>
    <row r="59" s="1" customFormat="1" customHeight="1" spans="1:11">
      <c r="A59" s="8" t="str">
        <f t="shared" si="9"/>
        <v>E5G</v>
      </c>
      <c r="B59" s="8" t="s">
        <v>80</v>
      </c>
      <c r="C59" s="8" t="str">
        <f>"李湘晖"</f>
        <v>李湘晖</v>
      </c>
      <c r="D59" s="8" t="str">
        <f t="shared" si="10"/>
        <v>女</v>
      </c>
      <c r="E59" s="8" t="str">
        <f>"2022026920"</f>
        <v>2022026920</v>
      </c>
      <c r="F59" s="9">
        <v>66.1</v>
      </c>
      <c r="G59" s="9">
        <v>58.5</v>
      </c>
      <c r="H59" s="9">
        <v>63.06</v>
      </c>
      <c r="I59" s="9">
        <v>34</v>
      </c>
      <c r="J59" s="10" t="s">
        <v>73</v>
      </c>
      <c r="K59" s="11" t="s">
        <v>12</v>
      </c>
    </row>
    <row r="60" s="1" customFormat="1" customHeight="1" spans="1:11">
      <c r="A60" s="8" t="str">
        <f t="shared" si="9"/>
        <v>E5G</v>
      </c>
      <c r="B60" s="8" t="s">
        <v>80</v>
      </c>
      <c r="C60" s="8" t="str">
        <f>"成嘉"</f>
        <v>成嘉</v>
      </c>
      <c r="D60" s="8" t="str">
        <f t="shared" si="10"/>
        <v>女</v>
      </c>
      <c r="E60" s="8" t="str">
        <f>"2022026906"</f>
        <v>2022026906</v>
      </c>
      <c r="F60" s="9">
        <v>58.2</v>
      </c>
      <c r="G60" s="9">
        <v>69</v>
      </c>
      <c r="H60" s="9">
        <v>62.52</v>
      </c>
      <c r="I60" s="9">
        <v>35</v>
      </c>
      <c r="J60" s="10" t="s">
        <v>73</v>
      </c>
      <c r="K60" s="11" t="s">
        <v>12</v>
      </c>
    </row>
    <row r="61" s="1" customFormat="1" customHeight="1" spans="1:11">
      <c r="A61" s="8" t="str">
        <f t="shared" si="9"/>
        <v>E5G</v>
      </c>
      <c r="B61" s="8" t="s">
        <v>80</v>
      </c>
      <c r="C61" s="8" t="str">
        <f>"孟丽君"</f>
        <v>孟丽君</v>
      </c>
      <c r="D61" s="8" t="str">
        <f t="shared" si="10"/>
        <v>女</v>
      </c>
      <c r="E61" s="8" t="str">
        <f>"2022026915"</f>
        <v>2022026915</v>
      </c>
      <c r="F61" s="9">
        <v>60</v>
      </c>
      <c r="G61" s="9">
        <v>65.5</v>
      </c>
      <c r="H61" s="9">
        <v>62.2</v>
      </c>
      <c r="I61" s="9">
        <v>36</v>
      </c>
      <c r="J61" s="10" t="s">
        <v>73</v>
      </c>
      <c r="K61" s="11" t="s">
        <v>12</v>
      </c>
    </row>
    <row r="62" s="1" customFormat="1" customHeight="1" spans="1:11">
      <c r="A62" s="8" t="str">
        <f t="shared" si="9"/>
        <v>E5G</v>
      </c>
      <c r="B62" s="8" t="s">
        <v>80</v>
      </c>
      <c r="C62" s="8" t="str">
        <f>"张萍"</f>
        <v>张萍</v>
      </c>
      <c r="D62" s="8" t="str">
        <f t="shared" si="10"/>
        <v>女</v>
      </c>
      <c r="E62" s="8" t="str">
        <f>"2022026913"</f>
        <v>2022026913</v>
      </c>
      <c r="F62" s="9">
        <v>60.6</v>
      </c>
      <c r="G62" s="9">
        <v>64.5</v>
      </c>
      <c r="H62" s="9">
        <v>62.16</v>
      </c>
      <c r="I62" s="9">
        <v>37</v>
      </c>
      <c r="J62" s="10" t="s">
        <v>73</v>
      </c>
      <c r="K62" s="11" t="s">
        <v>12</v>
      </c>
    </row>
    <row r="63" s="1" customFormat="1" customHeight="1" spans="1:11">
      <c r="A63" s="8" t="str">
        <f t="shared" si="9"/>
        <v>E5G</v>
      </c>
      <c r="B63" s="8" t="s">
        <v>80</v>
      </c>
      <c r="C63" s="8" t="str">
        <f>"段星"</f>
        <v>段星</v>
      </c>
      <c r="D63" s="8" t="str">
        <f t="shared" si="10"/>
        <v>女</v>
      </c>
      <c r="E63" s="8" t="str">
        <f>"2022026818"</f>
        <v>2022026818</v>
      </c>
      <c r="F63" s="9">
        <v>49.9</v>
      </c>
      <c r="G63" s="9">
        <v>80.5</v>
      </c>
      <c r="H63" s="9">
        <v>62.14</v>
      </c>
      <c r="I63" s="9">
        <v>38</v>
      </c>
      <c r="J63" s="10" t="s">
        <v>73</v>
      </c>
      <c r="K63" s="11" t="s">
        <v>12</v>
      </c>
    </row>
    <row r="64" s="1" customFormat="1" customHeight="1" spans="1:11">
      <c r="A64" s="8" t="str">
        <f t="shared" si="9"/>
        <v>E5G</v>
      </c>
      <c r="B64" s="8" t="s">
        <v>80</v>
      </c>
      <c r="C64" s="8" t="str">
        <f>"张青青"</f>
        <v>张青青</v>
      </c>
      <c r="D64" s="8" t="str">
        <f t="shared" si="10"/>
        <v>女</v>
      </c>
      <c r="E64" s="8" t="str">
        <f>"2022026822"</f>
        <v>2022026822</v>
      </c>
      <c r="F64" s="9">
        <v>62.2</v>
      </c>
      <c r="G64" s="9">
        <v>61.5</v>
      </c>
      <c r="H64" s="9">
        <v>61.92</v>
      </c>
      <c r="I64" s="9">
        <v>39</v>
      </c>
      <c r="J64" s="10" t="s">
        <v>73</v>
      </c>
      <c r="K64" s="11" t="s">
        <v>12</v>
      </c>
    </row>
    <row r="65" s="1" customFormat="1" customHeight="1" spans="1:11">
      <c r="A65" s="8" t="str">
        <f t="shared" si="9"/>
        <v>E5G</v>
      </c>
      <c r="B65" s="8" t="s">
        <v>80</v>
      </c>
      <c r="C65" s="8" t="str">
        <f>"肖湘敏"</f>
        <v>肖湘敏</v>
      </c>
      <c r="D65" s="8" t="str">
        <f t="shared" si="10"/>
        <v>女</v>
      </c>
      <c r="E65" s="8" t="str">
        <f>"2022026809"</f>
        <v>2022026809</v>
      </c>
      <c r="F65" s="9">
        <v>53</v>
      </c>
      <c r="G65" s="9">
        <v>69.5</v>
      </c>
      <c r="H65" s="9">
        <v>59.6</v>
      </c>
      <c r="I65" s="9">
        <v>40</v>
      </c>
      <c r="J65" s="10" t="s">
        <v>73</v>
      </c>
      <c r="K65" s="11" t="s">
        <v>12</v>
      </c>
    </row>
    <row r="66" s="1" customFormat="1" customHeight="1" spans="1:11">
      <c r="A66" s="8" t="str">
        <f t="shared" si="9"/>
        <v>E5G</v>
      </c>
      <c r="B66" s="8" t="s">
        <v>80</v>
      </c>
      <c r="C66" s="8" t="str">
        <f>"陈雨晴"</f>
        <v>陈雨晴</v>
      </c>
      <c r="D66" s="8" t="str">
        <f t="shared" si="10"/>
        <v>女</v>
      </c>
      <c r="E66" s="8" t="str">
        <f>"2022026909"</f>
        <v>2022026909</v>
      </c>
      <c r="F66" s="9">
        <v>58</v>
      </c>
      <c r="G66" s="9">
        <v>56</v>
      </c>
      <c r="H66" s="9">
        <v>57.2</v>
      </c>
      <c r="I66" s="9">
        <v>41</v>
      </c>
      <c r="J66" s="10" t="s">
        <v>73</v>
      </c>
      <c r="K66" s="11" t="s">
        <v>12</v>
      </c>
    </row>
    <row r="67" s="1" customFormat="1" customHeight="1" spans="1:11">
      <c r="A67" s="8" t="str">
        <f t="shared" si="9"/>
        <v>E5G</v>
      </c>
      <c r="B67" s="8" t="s">
        <v>80</v>
      </c>
      <c r="C67" s="8" t="str">
        <f>"马璐"</f>
        <v>马璐</v>
      </c>
      <c r="D67" s="8" t="str">
        <f t="shared" si="10"/>
        <v>女</v>
      </c>
      <c r="E67" s="8" t="str">
        <f>"2022026805"</f>
        <v>2022026805</v>
      </c>
      <c r="F67" s="9">
        <v>62.4</v>
      </c>
      <c r="G67" s="9">
        <v>44</v>
      </c>
      <c r="H67" s="9">
        <v>55.04</v>
      </c>
      <c r="I67" s="9">
        <v>42</v>
      </c>
      <c r="J67" s="10" t="s">
        <v>73</v>
      </c>
      <c r="K67" s="11" t="s">
        <v>12</v>
      </c>
    </row>
    <row r="68" s="1" customFormat="1" customHeight="1" spans="1:11">
      <c r="A68" s="8" t="str">
        <f t="shared" si="9"/>
        <v>E5G</v>
      </c>
      <c r="B68" s="8" t="s">
        <v>80</v>
      </c>
      <c r="C68" s="8" t="str">
        <f>"谢楠思"</f>
        <v>谢楠思</v>
      </c>
      <c r="D68" s="8" t="str">
        <f t="shared" si="10"/>
        <v>女</v>
      </c>
      <c r="E68" s="8" t="str">
        <f>"2022026804"</f>
        <v>2022026804</v>
      </c>
      <c r="F68" s="9">
        <v>57.7</v>
      </c>
      <c r="G68" s="9">
        <v>50.5</v>
      </c>
      <c r="H68" s="9">
        <v>54.82</v>
      </c>
      <c r="I68" s="9">
        <v>43</v>
      </c>
      <c r="J68" s="10" t="s">
        <v>73</v>
      </c>
      <c r="K68" s="11" t="s">
        <v>12</v>
      </c>
    </row>
    <row r="69" s="1" customFormat="1" customHeight="1" spans="1:11">
      <c r="A69" s="8" t="str">
        <f t="shared" si="9"/>
        <v>E5G</v>
      </c>
      <c r="B69" s="8" t="s">
        <v>80</v>
      </c>
      <c r="C69" s="8" t="str">
        <f>"段王蓉"</f>
        <v>段王蓉</v>
      </c>
      <c r="D69" s="8" t="str">
        <f t="shared" si="10"/>
        <v>女</v>
      </c>
      <c r="E69" s="8" t="str">
        <f>"2022026820"</f>
        <v>2022026820</v>
      </c>
      <c r="F69" s="9">
        <v>45.5</v>
      </c>
      <c r="G69" s="9">
        <v>64.5</v>
      </c>
      <c r="H69" s="9">
        <v>53.1</v>
      </c>
      <c r="I69" s="9">
        <v>44</v>
      </c>
      <c r="J69" s="10" t="s">
        <v>73</v>
      </c>
      <c r="K69" s="11" t="s">
        <v>12</v>
      </c>
    </row>
    <row r="70" s="1" customFormat="1" customHeight="1" spans="1:11">
      <c r="A70" s="8" t="str">
        <f t="shared" si="9"/>
        <v>E5G</v>
      </c>
      <c r="B70" s="8" t="s">
        <v>80</v>
      </c>
      <c r="C70" s="8" t="str">
        <f>"熊垚垚"</f>
        <v>熊垚垚</v>
      </c>
      <c r="D70" s="8" t="str">
        <f t="shared" si="10"/>
        <v>女</v>
      </c>
      <c r="E70" s="8" t="str">
        <f>"2022026908"</f>
        <v>2022026908</v>
      </c>
      <c r="F70" s="9">
        <v>44.7</v>
      </c>
      <c r="G70" s="9">
        <v>63.5</v>
      </c>
      <c r="H70" s="9">
        <v>52.22</v>
      </c>
      <c r="I70" s="9">
        <v>45</v>
      </c>
      <c r="J70" s="10" t="s">
        <v>73</v>
      </c>
      <c r="K70" s="11" t="s">
        <v>12</v>
      </c>
    </row>
    <row r="71" s="1" customFormat="1" customHeight="1" spans="1:11">
      <c r="A71" s="8" t="str">
        <f t="shared" si="9"/>
        <v>E5G</v>
      </c>
      <c r="B71" s="8" t="s">
        <v>80</v>
      </c>
      <c r="C71" s="8" t="str">
        <f>"向瑶"</f>
        <v>向瑶</v>
      </c>
      <c r="D71" s="8" t="str">
        <f t="shared" si="10"/>
        <v>女</v>
      </c>
      <c r="E71" s="8" t="str">
        <f>"2022026912"</f>
        <v>2022026912</v>
      </c>
      <c r="F71" s="9">
        <v>51.6</v>
      </c>
      <c r="G71" s="9">
        <v>53</v>
      </c>
      <c r="H71" s="9">
        <v>52.16</v>
      </c>
      <c r="I71" s="9">
        <v>46</v>
      </c>
      <c r="J71" s="10" t="s">
        <v>73</v>
      </c>
      <c r="K71" s="11" t="s">
        <v>12</v>
      </c>
    </row>
    <row r="72" s="1" customFormat="1" customHeight="1" spans="1:11">
      <c r="A72" s="8" t="str">
        <f t="shared" si="9"/>
        <v>E5G</v>
      </c>
      <c r="B72" s="8" t="s">
        <v>80</v>
      </c>
      <c r="C72" s="8" t="str">
        <f>"张弘"</f>
        <v>张弘</v>
      </c>
      <c r="D72" s="8" t="str">
        <f t="shared" si="10"/>
        <v>女</v>
      </c>
      <c r="E72" s="8" t="str">
        <f>"2022026907"</f>
        <v>2022026907</v>
      </c>
      <c r="F72" s="9">
        <v>48.5</v>
      </c>
      <c r="G72" s="9">
        <v>57.5</v>
      </c>
      <c r="H72" s="9">
        <v>52.1</v>
      </c>
      <c r="I72" s="9">
        <v>47</v>
      </c>
      <c r="J72" s="10" t="s">
        <v>73</v>
      </c>
      <c r="K72" s="11" t="s">
        <v>12</v>
      </c>
    </row>
    <row r="73" s="1" customFormat="1" customHeight="1" spans="1:11">
      <c r="A73" s="8" t="str">
        <f t="shared" si="9"/>
        <v>E5G</v>
      </c>
      <c r="B73" s="8" t="s">
        <v>80</v>
      </c>
      <c r="C73" s="8" t="str">
        <f>"蒙芳玲"</f>
        <v>蒙芳玲</v>
      </c>
      <c r="D73" s="8" t="str">
        <f t="shared" si="10"/>
        <v>女</v>
      </c>
      <c r="E73" s="8" t="str">
        <f>"2022026821"</f>
        <v>2022026821</v>
      </c>
      <c r="F73" s="9">
        <v>54.8</v>
      </c>
      <c r="G73" s="9">
        <v>38</v>
      </c>
      <c r="H73" s="9">
        <v>48.08</v>
      </c>
      <c r="I73" s="9">
        <v>48</v>
      </c>
      <c r="J73" s="10" t="s">
        <v>73</v>
      </c>
      <c r="K73" s="11" t="s">
        <v>12</v>
      </c>
    </row>
    <row r="74" s="1" customFormat="1" customHeight="1" spans="1:11">
      <c r="A74" s="8" t="str">
        <f t="shared" si="9"/>
        <v>E5G</v>
      </c>
      <c r="B74" s="8" t="s">
        <v>80</v>
      </c>
      <c r="C74" s="8" t="str">
        <f>"姚梦君"</f>
        <v>姚梦君</v>
      </c>
      <c r="D74" s="8" t="str">
        <f t="shared" si="10"/>
        <v>女</v>
      </c>
      <c r="E74" s="8" t="str">
        <f>"2022026801"</f>
        <v>2022026801</v>
      </c>
      <c r="F74" s="9">
        <v>0</v>
      </c>
      <c r="G74" s="9">
        <v>0</v>
      </c>
      <c r="H74" s="9">
        <v>0</v>
      </c>
      <c r="I74" s="9">
        <v>49</v>
      </c>
      <c r="J74" s="10" t="s">
        <v>13</v>
      </c>
      <c r="K74" s="11" t="s">
        <v>12</v>
      </c>
    </row>
    <row r="75" s="1" customFormat="1" customHeight="1" spans="1:11">
      <c r="A75" s="8" t="str">
        <f t="shared" si="9"/>
        <v>E5G</v>
      </c>
      <c r="B75" s="8" t="s">
        <v>80</v>
      </c>
      <c r="C75" s="8" t="str">
        <f>"黄丽"</f>
        <v>黄丽</v>
      </c>
      <c r="D75" s="8" t="str">
        <f t="shared" si="10"/>
        <v>女</v>
      </c>
      <c r="E75" s="8" t="str">
        <f>"2022026808"</f>
        <v>2022026808</v>
      </c>
      <c r="F75" s="9">
        <v>0</v>
      </c>
      <c r="G75" s="9">
        <v>0</v>
      </c>
      <c r="H75" s="9">
        <v>0</v>
      </c>
      <c r="I75" s="9">
        <v>49</v>
      </c>
      <c r="J75" s="10" t="s">
        <v>13</v>
      </c>
      <c r="K75" s="11" t="s">
        <v>12</v>
      </c>
    </row>
    <row r="76" s="1" customFormat="1" customHeight="1" spans="1:11">
      <c r="A76" s="8" t="str">
        <f t="shared" si="9"/>
        <v>E5G</v>
      </c>
      <c r="B76" s="8" t="s">
        <v>80</v>
      </c>
      <c r="C76" s="8" t="str">
        <f>"龙娴静"</f>
        <v>龙娴静</v>
      </c>
      <c r="D76" s="8" t="str">
        <f t="shared" si="10"/>
        <v>女</v>
      </c>
      <c r="E76" s="8" t="str">
        <f>"2022026825"</f>
        <v>2022026825</v>
      </c>
      <c r="F76" s="9">
        <v>0</v>
      </c>
      <c r="G76" s="9">
        <v>0</v>
      </c>
      <c r="H76" s="9">
        <v>0</v>
      </c>
      <c r="I76" s="9">
        <v>49</v>
      </c>
      <c r="J76" s="10" t="s">
        <v>13</v>
      </c>
      <c r="K76" s="11" t="s">
        <v>12</v>
      </c>
    </row>
    <row r="77" s="1" customFormat="1" customHeight="1" spans="1:11">
      <c r="A77" s="8" t="str">
        <f t="shared" si="9"/>
        <v>E5G</v>
      </c>
      <c r="B77" s="8" t="s">
        <v>80</v>
      </c>
      <c r="C77" s="8" t="str">
        <f>"陈归雁"</f>
        <v>陈归雁</v>
      </c>
      <c r="D77" s="8" t="str">
        <f t="shared" si="10"/>
        <v>女</v>
      </c>
      <c r="E77" s="8" t="str">
        <f>"2022026826"</f>
        <v>2022026826</v>
      </c>
      <c r="F77" s="9">
        <v>0</v>
      </c>
      <c r="G77" s="9">
        <v>0</v>
      </c>
      <c r="H77" s="9">
        <v>0</v>
      </c>
      <c r="I77" s="9">
        <v>49</v>
      </c>
      <c r="J77" s="10" t="s">
        <v>13</v>
      </c>
      <c r="K77" s="11" t="s">
        <v>12</v>
      </c>
    </row>
    <row r="78" s="1" customFormat="1" customHeight="1" spans="1:11">
      <c r="A78" s="8" t="str">
        <f t="shared" si="9"/>
        <v>E5G</v>
      </c>
      <c r="B78" s="8" t="s">
        <v>80</v>
      </c>
      <c r="C78" s="8" t="str">
        <f>"张敏"</f>
        <v>张敏</v>
      </c>
      <c r="D78" s="8" t="str">
        <f t="shared" si="10"/>
        <v>女</v>
      </c>
      <c r="E78" s="8" t="str">
        <f>"2022026905"</f>
        <v>2022026905</v>
      </c>
      <c r="F78" s="9">
        <v>0</v>
      </c>
      <c r="G78" s="9">
        <v>0</v>
      </c>
      <c r="H78" s="9">
        <v>0</v>
      </c>
      <c r="I78" s="9">
        <v>49</v>
      </c>
      <c r="J78" s="10" t="s">
        <v>13</v>
      </c>
      <c r="K78" s="11" t="s">
        <v>12</v>
      </c>
    </row>
    <row r="79" s="1" customFormat="1" customHeight="1" spans="1:11">
      <c r="A79" s="8" t="str">
        <f t="shared" si="9"/>
        <v>E5G</v>
      </c>
      <c r="B79" s="8" t="s">
        <v>80</v>
      </c>
      <c r="C79" s="8" t="str">
        <f>"刘雅沦"</f>
        <v>刘雅沦</v>
      </c>
      <c r="D79" s="8" t="str">
        <f t="shared" si="10"/>
        <v>女</v>
      </c>
      <c r="E79" s="8" t="str">
        <f>"2022026919"</f>
        <v>2022026919</v>
      </c>
      <c r="F79" s="9">
        <v>0</v>
      </c>
      <c r="G79" s="9">
        <v>0</v>
      </c>
      <c r="H79" s="9">
        <v>0</v>
      </c>
      <c r="I79" s="9">
        <v>49</v>
      </c>
      <c r="J79" s="10" t="s">
        <v>13</v>
      </c>
      <c r="K79" s="11" t="s">
        <v>12</v>
      </c>
    </row>
    <row r="80" s="1" customFormat="1" customHeight="1" spans="1:11">
      <c r="A80" s="8" t="str">
        <f t="shared" si="9"/>
        <v>E5G</v>
      </c>
      <c r="B80" s="8" t="s">
        <v>80</v>
      </c>
      <c r="C80" s="8" t="str">
        <f>"蒋玉林"</f>
        <v>蒋玉林</v>
      </c>
      <c r="D80" s="8" t="str">
        <f t="shared" si="10"/>
        <v>女</v>
      </c>
      <c r="E80" s="8" t="str">
        <f>"2022026924"</f>
        <v>2022026924</v>
      </c>
      <c r="F80" s="9">
        <v>0</v>
      </c>
      <c r="G80" s="9">
        <v>0</v>
      </c>
      <c r="H80" s="9">
        <v>0</v>
      </c>
      <c r="I80" s="9">
        <v>49</v>
      </c>
      <c r="J80" s="10" t="s">
        <v>13</v>
      </c>
      <c r="K80" s="11" t="s">
        <v>12</v>
      </c>
    </row>
    <row r="81" s="1" customFormat="1" customHeight="1" spans="1:11">
      <c r="A81" s="8" t="str">
        <f t="shared" si="9"/>
        <v>E5G</v>
      </c>
      <c r="B81" s="8" t="s">
        <v>80</v>
      </c>
      <c r="C81" s="8" t="str">
        <f>"刘媛媛"</f>
        <v>刘媛媛</v>
      </c>
      <c r="D81" s="8" t="str">
        <f t="shared" si="10"/>
        <v>女</v>
      </c>
      <c r="E81" s="8" t="str">
        <f>"2022026926"</f>
        <v>2022026926</v>
      </c>
      <c r="F81" s="9">
        <v>0</v>
      </c>
      <c r="G81" s="9">
        <v>0</v>
      </c>
      <c r="H81" s="9">
        <v>0</v>
      </c>
      <c r="I81" s="9">
        <v>49</v>
      </c>
      <c r="J81" s="10" t="s">
        <v>13</v>
      </c>
      <c r="K81" s="11" t="s">
        <v>12</v>
      </c>
    </row>
    <row r="82" s="1" customFormat="1" customHeight="1" spans="1:11">
      <c r="A82" s="8" t="str">
        <f t="shared" si="9"/>
        <v>E5G</v>
      </c>
      <c r="B82" s="8" t="s">
        <v>80</v>
      </c>
      <c r="C82" s="8" t="str">
        <f>"邓丽洁"</f>
        <v>邓丽洁</v>
      </c>
      <c r="D82" s="8" t="str">
        <f t="shared" si="10"/>
        <v>女</v>
      </c>
      <c r="E82" s="8" t="str">
        <f>"2022026927"</f>
        <v>2022026927</v>
      </c>
      <c r="F82" s="9">
        <v>0</v>
      </c>
      <c r="G82" s="9">
        <v>0</v>
      </c>
      <c r="H82" s="9">
        <v>0</v>
      </c>
      <c r="I82" s="9">
        <v>49</v>
      </c>
      <c r="J82" s="10" t="s">
        <v>13</v>
      </c>
      <c r="K82" s="11" t="s">
        <v>12</v>
      </c>
    </row>
    <row r="83" s="1" customFormat="1" customHeight="1" spans="1:11">
      <c r="A83" s="8" t="str">
        <f t="shared" ref="A83:A146" si="11">"E6F"</f>
        <v>E6F</v>
      </c>
      <c r="B83" s="8" t="s">
        <v>81</v>
      </c>
      <c r="C83" s="8" t="str">
        <f>"钟宇寒"</f>
        <v>钟宇寒</v>
      </c>
      <c r="D83" s="8" t="str">
        <f t="shared" si="10"/>
        <v>女</v>
      </c>
      <c r="E83" s="8" t="str">
        <f>"2022027207"</f>
        <v>2022027207</v>
      </c>
      <c r="F83" s="8">
        <v>85.7</v>
      </c>
      <c r="G83" s="8">
        <v>94.5</v>
      </c>
      <c r="H83" s="8">
        <v>89.22</v>
      </c>
      <c r="I83" s="8">
        <v>1</v>
      </c>
      <c r="J83" s="10" t="s">
        <v>73</v>
      </c>
      <c r="K83" s="11" t="s">
        <v>11</v>
      </c>
    </row>
    <row r="84" s="1" customFormat="1" customHeight="1" spans="1:11">
      <c r="A84" s="8" t="str">
        <f t="shared" si="11"/>
        <v>E6F</v>
      </c>
      <c r="B84" s="8" t="s">
        <v>81</v>
      </c>
      <c r="C84" s="8" t="str">
        <f>"李佳佳"</f>
        <v>李佳佳</v>
      </c>
      <c r="D84" s="8" t="str">
        <f t="shared" si="10"/>
        <v>女</v>
      </c>
      <c r="E84" s="8" t="str">
        <f>"2022027016"</f>
        <v>2022027016</v>
      </c>
      <c r="F84" s="8">
        <v>74.3</v>
      </c>
      <c r="G84" s="8">
        <v>95</v>
      </c>
      <c r="H84" s="8">
        <v>82.58</v>
      </c>
      <c r="I84" s="8">
        <v>2</v>
      </c>
      <c r="J84" s="10" t="s">
        <v>73</v>
      </c>
      <c r="K84" s="11" t="s">
        <v>12</v>
      </c>
    </row>
    <row r="85" s="1" customFormat="1" customHeight="1" spans="1:11">
      <c r="A85" s="8" t="str">
        <f t="shared" si="11"/>
        <v>E6F</v>
      </c>
      <c r="B85" s="8" t="s">
        <v>81</v>
      </c>
      <c r="C85" s="8" t="str">
        <f>"雷伟安"</f>
        <v>雷伟安</v>
      </c>
      <c r="D85" s="8" t="str">
        <f t="shared" si="10"/>
        <v>女</v>
      </c>
      <c r="E85" s="8" t="str">
        <f>"2022026929"</f>
        <v>2022026929</v>
      </c>
      <c r="F85" s="8">
        <v>79.4</v>
      </c>
      <c r="G85" s="8">
        <v>85</v>
      </c>
      <c r="H85" s="8">
        <v>81.64</v>
      </c>
      <c r="I85" s="8">
        <v>3</v>
      </c>
      <c r="J85" s="10" t="s">
        <v>73</v>
      </c>
      <c r="K85" s="11" t="s">
        <v>12</v>
      </c>
    </row>
    <row r="86" s="1" customFormat="1" customHeight="1" spans="1:11">
      <c r="A86" s="8" t="str">
        <f t="shared" si="11"/>
        <v>E6F</v>
      </c>
      <c r="B86" s="8" t="s">
        <v>81</v>
      </c>
      <c r="C86" s="8" t="str">
        <f>"何琴"</f>
        <v>何琴</v>
      </c>
      <c r="D86" s="8" t="str">
        <f t="shared" si="10"/>
        <v>女</v>
      </c>
      <c r="E86" s="8" t="str">
        <f>"2022027019"</f>
        <v>2022027019</v>
      </c>
      <c r="F86" s="8">
        <v>77.8</v>
      </c>
      <c r="G86" s="8">
        <v>86.5</v>
      </c>
      <c r="H86" s="8">
        <v>81.28</v>
      </c>
      <c r="I86" s="8">
        <v>4</v>
      </c>
      <c r="J86" s="10" t="s">
        <v>73</v>
      </c>
      <c r="K86" s="11" t="s">
        <v>12</v>
      </c>
    </row>
    <row r="87" s="1" customFormat="1" customHeight="1" spans="1:11">
      <c r="A87" s="8" t="str">
        <f t="shared" si="11"/>
        <v>E6F</v>
      </c>
      <c r="B87" s="8" t="s">
        <v>81</v>
      </c>
      <c r="C87" s="8" t="str">
        <f>"唐艳玲"</f>
        <v>唐艳玲</v>
      </c>
      <c r="D87" s="8" t="str">
        <f t="shared" si="10"/>
        <v>女</v>
      </c>
      <c r="E87" s="8" t="str">
        <f>"2022027132"</f>
        <v>2022027132</v>
      </c>
      <c r="F87" s="8">
        <v>78.7</v>
      </c>
      <c r="G87" s="8">
        <v>82</v>
      </c>
      <c r="H87" s="8">
        <v>80.02</v>
      </c>
      <c r="I87" s="8">
        <v>5</v>
      </c>
      <c r="J87" s="10" t="s">
        <v>73</v>
      </c>
      <c r="K87" s="11" t="s">
        <v>12</v>
      </c>
    </row>
    <row r="88" s="1" customFormat="1" customHeight="1" spans="1:11">
      <c r="A88" s="8" t="str">
        <f t="shared" si="11"/>
        <v>E6F</v>
      </c>
      <c r="B88" s="8" t="s">
        <v>81</v>
      </c>
      <c r="C88" s="8" t="str">
        <f>"龙君霞"</f>
        <v>龙君霞</v>
      </c>
      <c r="D88" s="8" t="str">
        <f t="shared" si="10"/>
        <v>女</v>
      </c>
      <c r="E88" s="8" t="str">
        <f>"2022027116"</f>
        <v>2022027116</v>
      </c>
      <c r="F88" s="8">
        <v>79</v>
      </c>
      <c r="G88" s="8">
        <v>77</v>
      </c>
      <c r="H88" s="8">
        <v>78.2</v>
      </c>
      <c r="I88" s="8">
        <v>6</v>
      </c>
      <c r="J88" s="10" t="s">
        <v>73</v>
      </c>
      <c r="K88" s="11" t="s">
        <v>12</v>
      </c>
    </row>
    <row r="89" s="1" customFormat="1" customHeight="1" spans="1:11">
      <c r="A89" s="8" t="str">
        <f t="shared" si="11"/>
        <v>E6F</v>
      </c>
      <c r="B89" s="8" t="s">
        <v>81</v>
      </c>
      <c r="C89" s="8" t="str">
        <f>"王美连"</f>
        <v>王美连</v>
      </c>
      <c r="D89" s="8" t="str">
        <f t="shared" si="10"/>
        <v>女</v>
      </c>
      <c r="E89" s="8" t="str">
        <f>"2022027013"</f>
        <v>2022027013</v>
      </c>
      <c r="F89" s="8">
        <v>68.1</v>
      </c>
      <c r="G89" s="8">
        <v>93</v>
      </c>
      <c r="H89" s="8">
        <v>78.06</v>
      </c>
      <c r="I89" s="8">
        <v>7</v>
      </c>
      <c r="J89" s="10" t="s">
        <v>73</v>
      </c>
      <c r="K89" s="11" t="s">
        <v>12</v>
      </c>
    </row>
    <row r="90" s="1" customFormat="1" customHeight="1" spans="1:11">
      <c r="A90" s="8" t="str">
        <f t="shared" si="11"/>
        <v>E6F</v>
      </c>
      <c r="B90" s="8" t="s">
        <v>81</v>
      </c>
      <c r="C90" s="8" t="str">
        <f>"夏慧慧"</f>
        <v>夏慧慧</v>
      </c>
      <c r="D90" s="8" t="str">
        <f t="shared" ref="D90:D153" si="12">"女"</f>
        <v>女</v>
      </c>
      <c r="E90" s="8" t="str">
        <f>"2022027027"</f>
        <v>2022027027</v>
      </c>
      <c r="F90" s="8">
        <v>70.4</v>
      </c>
      <c r="G90" s="8">
        <v>87.5</v>
      </c>
      <c r="H90" s="8">
        <v>77.24</v>
      </c>
      <c r="I90" s="8">
        <v>8</v>
      </c>
      <c r="J90" s="10" t="s">
        <v>73</v>
      </c>
      <c r="K90" s="11" t="s">
        <v>12</v>
      </c>
    </row>
    <row r="91" s="1" customFormat="1" customHeight="1" spans="1:11">
      <c r="A91" s="8" t="str">
        <f t="shared" si="11"/>
        <v>E6F</v>
      </c>
      <c r="B91" s="8" t="s">
        <v>81</v>
      </c>
      <c r="C91" s="8" t="str">
        <f>"张慧娟"</f>
        <v>张慧娟</v>
      </c>
      <c r="D91" s="8" t="str">
        <f t="shared" si="12"/>
        <v>女</v>
      </c>
      <c r="E91" s="8" t="str">
        <f>"2022027021"</f>
        <v>2022027021</v>
      </c>
      <c r="F91" s="8">
        <v>70.6</v>
      </c>
      <c r="G91" s="8">
        <v>87</v>
      </c>
      <c r="H91" s="8">
        <v>77.16</v>
      </c>
      <c r="I91" s="8">
        <v>9</v>
      </c>
      <c r="J91" s="10" t="s">
        <v>73</v>
      </c>
      <c r="K91" s="11" t="s">
        <v>12</v>
      </c>
    </row>
    <row r="92" s="1" customFormat="1" customHeight="1" spans="1:11">
      <c r="A92" s="8" t="str">
        <f t="shared" si="11"/>
        <v>E6F</v>
      </c>
      <c r="B92" s="8" t="s">
        <v>81</v>
      </c>
      <c r="C92" s="8" t="str">
        <f>"钟杨灵"</f>
        <v>钟杨灵</v>
      </c>
      <c r="D92" s="8" t="str">
        <f t="shared" si="12"/>
        <v>女</v>
      </c>
      <c r="E92" s="8" t="str">
        <f>"2022027119"</f>
        <v>2022027119</v>
      </c>
      <c r="F92" s="8">
        <v>69.5</v>
      </c>
      <c r="G92" s="8">
        <v>88.5</v>
      </c>
      <c r="H92" s="8">
        <v>77.1</v>
      </c>
      <c r="I92" s="8">
        <v>10</v>
      </c>
      <c r="J92" s="10" t="s">
        <v>73</v>
      </c>
      <c r="K92" s="11" t="s">
        <v>12</v>
      </c>
    </row>
    <row r="93" s="1" customFormat="1" customHeight="1" spans="1:11">
      <c r="A93" s="8" t="str">
        <f t="shared" si="11"/>
        <v>E6F</v>
      </c>
      <c r="B93" s="8" t="s">
        <v>81</v>
      </c>
      <c r="C93" s="8" t="str">
        <f>"马巧玲"</f>
        <v>马巧玲</v>
      </c>
      <c r="D93" s="8" t="str">
        <f t="shared" si="12"/>
        <v>女</v>
      </c>
      <c r="E93" s="8" t="str">
        <f>"2022026930"</f>
        <v>2022026930</v>
      </c>
      <c r="F93" s="8">
        <v>74.3</v>
      </c>
      <c r="G93" s="8">
        <v>80.5</v>
      </c>
      <c r="H93" s="8">
        <v>76.78</v>
      </c>
      <c r="I93" s="8">
        <v>11</v>
      </c>
      <c r="J93" s="10" t="s">
        <v>73</v>
      </c>
      <c r="K93" s="11" t="s">
        <v>12</v>
      </c>
    </row>
    <row r="94" s="1" customFormat="1" customHeight="1" spans="1:11">
      <c r="A94" s="8" t="str">
        <f t="shared" si="11"/>
        <v>E6F</v>
      </c>
      <c r="B94" s="8" t="s">
        <v>81</v>
      </c>
      <c r="C94" s="8" t="str">
        <f>"姚彩华"</f>
        <v>姚彩华</v>
      </c>
      <c r="D94" s="8" t="str">
        <f t="shared" si="12"/>
        <v>女</v>
      </c>
      <c r="E94" s="8" t="str">
        <f>"2022027217"</f>
        <v>2022027217</v>
      </c>
      <c r="F94" s="8">
        <v>79.7</v>
      </c>
      <c r="G94" s="8">
        <v>70</v>
      </c>
      <c r="H94" s="8">
        <v>75.82</v>
      </c>
      <c r="I94" s="8">
        <v>12</v>
      </c>
      <c r="J94" s="10" t="s">
        <v>73</v>
      </c>
      <c r="K94" s="11" t="s">
        <v>12</v>
      </c>
    </row>
    <row r="95" s="1" customFormat="1" customHeight="1" spans="1:11">
      <c r="A95" s="8" t="str">
        <f t="shared" si="11"/>
        <v>E6F</v>
      </c>
      <c r="B95" s="8" t="s">
        <v>81</v>
      </c>
      <c r="C95" s="8" t="str">
        <f>"杨小辉"</f>
        <v>杨小辉</v>
      </c>
      <c r="D95" s="8" t="str">
        <f t="shared" si="12"/>
        <v>女</v>
      </c>
      <c r="E95" s="8" t="str">
        <f>"2022027214"</f>
        <v>2022027214</v>
      </c>
      <c r="F95" s="8">
        <v>70.3</v>
      </c>
      <c r="G95" s="8">
        <v>84</v>
      </c>
      <c r="H95" s="8">
        <v>75.78</v>
      </c>
      <c r="I95" s="8">
        <v>13</v>
      </c>
      <c r="J95" s="10" t="s">
        <v>73</v>
      </c>
      <c r="K95" s="11" t="s">
        <v>12</v>
      </c>
    </row>
    <row r="96" s="1" customFormat="1" customHeight="1" spans="1:11">
      <c r="A96" s="8" t="str">
        <f t="shared" si="11"/>
        <v>E6F</v>
      </c>
      <c r="B96" s="8" t="s">
        <v>81</v>
      </c>
      <c r="C96" s="8" t="str">
        <f>"潘英"</f>
        <v>潘英</v>
      </c>
      <c r="D96" s="8" t="str">
        <f t="shared" si="12"/>
        <v>女</v>
      </c>
      <c r="E96" s="8" t="str">
        <f>"2022027215"</f>
        <v>2022027215</v>
      </c>
      <c r="F96" s="8">
        <v>75.4</v>
      </c>
      <c r="G96" s="8">
        <v>76</v>
      </c>
      <c r="H96" s="8">
        <v>75.64</v>
      </c>
      <c r="I96" s="8">
        <v>14</v>
      </c>
      <c r="J96" s="10" t="s">
        <v>73</v>
      </c>
      <c r="K96" s="11" t="s">
        <v>12</v>
      </c>
    </row>
    <row r="97" s="1" customFormat="1" customHeight="1" spans="1:11">
      <c r="A97" s="8" t="str">
        <f t="shared" si="11"/>
        <v>E6F</v>
      </c>
      <c r="B97" s="8" t="s">
        <v>81</v>
      </c>
      <c r="C97" s="8" t="str">
        <f>"许迁"</f>
        <v>许迁</v>
      </c>
      <c r="D97" s="8" t="str">
        <f t="shared" si="12"/>
        <v>女</v>
      </c>
      <c r="E97" s="8" t="str">
        <f>"2022027206"</f>
        <v>2022027206</v>
      </c>
      <c r="F97" s="8">
        <v>76.9</v>
      </c>
      <c r="G97" s="8">
        <v>73</v>
      </c>
      <c r="H97" s="8">
        <v>75.34</v>
      </c>
      <c r="I97" s="8">
        <v>15</v>
      </c>
      <c r="J97" s="10" t="s">
        <v>73</v>
      </c>
      <c r="K97" s="11" t="s">
        <v>12</v>
      </c>
    </row>
    <row r="98" s="1" customFormat="1" customHeight="1" spans="1:11">
      <c r="A98" s="8" t="str">
        <f t="shared" si="11"/>
        <v>E6F</v>
      </c>
      <c r="B98" s="8" t="s">
        <v>81</v>
      </c>
      <c r="C98" s="8" t="str">
        <f>"陈丽君"</f>
        <v>陈丽君</v>
      </c>
      <c r="D98" s="8" t="str">
        <f t="shared" si="12"/>
        <v>女</v>
      </c>
      <c r="E98" s="8" t="str">
        <f>"2022027114"</f>
        <v>2022027114</v>
      </c>
      <c r="F98" s="8">
        <v>72</v>
      </c>
      <c r="G98" s="8">
        <v>80</v>
      </c>
      <c r="H98" s="8">
        <v>75.2</v>
      </c>
      <c r="I98" s="8">
        <v>16</v>
      </c>
      <c r="J98" s="10" t="s">
        <v>73</v>
      </c>
      <c r="K98" s="11" t="s">
        <v>12</v>
      </c>
    </row>
    <row r="99" s="1" customFormat="1" customHeight="1" spans="1:11">
      <c r="A99" s="8" t="str">
        <f t="shared" si="11"/>
        <v>E6F</v>
      </c>
      <c r="B99" s="8" t="s">
        <v>81</v>
      </c>
      <c r="C99" s="8" t="str">
        <f>"邓颖"</f>
        <v>邓颖</v>
      </c>
      <c r="D99" s="8" t="str">
        <f t="shared" si="12"/>
        <v>女</v>
      </c>
      <c r="E99" s="8" t="str">
        <f>"2022027129"</f>
        <v>2022027129</v>
      </c>
      <c r="F99" s="8">
        <v>68.2</v>
      </c>
      <c r="G99" s="8">
        <v>85</v>
      </c>
      <c r="H99" s="8">
        <v>74.92</v>
      </c>
      <c r="I99" s="8">
        <v>17</v>
      </c>
      <c r="J99" s="10" t="s">
        <v>73</v>
      </c>
      <c r="K99" s="11" t="s">
        <v>12</v>
      </c>
    </row>
    <row r="100" s="1" customFormat="1" customHeight="1" spans="1:11">
      <c r="A100" s="8" t="str">
        <f t="shared" si="11"/>
        <v>E6F</v>
      </c>
      <c r="B100" s="8" t="s">
        <v>81</v>
      </c>
      <c r="C100" s="8" t="str">
        <f>"刘敏"</f>
        <v>刘敏</v>
      </c>
      <c r="D100" s="8" t="str">
        <f t="shared" si="12"/>
        <v>女</v>
      </c>
      <c r="E100" s="8" t="str">
        <f>"2022027017"</f>
        <v>2022027017</v>
      </c>
      <c r="F100" s="8">
        <v>72.8</v>
      </c>
      <c r="G100" s="8">
        <v>76</v>
      </c>
      <c r="H100" s="8">
        <v>74.08</v>
      </c>
      <c r="I100" s="8">
        <v>18</v>
      </c>
      <c r="J100" s="10" t="s">
        <v>73</v>
      </c>
      <c r="K100" s="11" t="s">
        <v>12</v>
      </c>
    </row>
    <row r="101" s="1" customFormat="1" customHeight="1" spans="1:11">
      <c r="A101" s="8" t="str">
        <f t="shared" si="11"/>
        <v>E6F</v>
      </c>
      <c r="B101" s="8" t="s">
        <v>81</v>
      </c>
      <c r="C101" s="8" t="str">
        <f>"向梦媛"</f>
        <v>向梦媛</v>
      </c>
      <c r="D101" s="8" t="str">
        <f t="shared" si="12"/>
        <v>女</v>
      </c>
      <c r="E101" s="8" t="str">
        <f>"2022027109"</f>
        <v>2022027109</v>
      </c>
      <c r="F101" s="8">
        <v>69.5</v>
      </c>
      <c r="G101" s="8">
        <v>80</v>
      </c>
      <c r="H101" s="8">
        <v>73.7</v>
      </c>
      <c r="I101" s="8">
        <v>19</v>
      </c>
      <c r="J101" s="10" t="s">
        <v>73</v>
      </c>
      <c r="K101" s="11" t="s">
        <v>12</v>
      </c>
    </row>
    <row r="102" s="1" customFormat="1" customHeight="1" spans="1:11">
      <c r="A102" s="8" t="str">
        <f t="shared" si="11"/>
        <v>E6F</v>
      </c>
      <c r="B102" s="8" t="s">
        <v>81</v>
      </c>
      <c r="C102" s="8" t="str">
        <f>"夏玲娜"</f>
        <v>夏玲娜</v>
      </c>
      <c r="D102" s="8" t="str">
        <f t="shared" si="12"/>
        <v>女</v>
      </c>
      <c r="E102" s="8" t="str">
        <f>"2022027026"</f>
        <v>2022027026</v>
      </c>
      <c r="F102" s="8">
        <v>71.1</v>
      </c>
      <c r="G102" s="8">
        <v>77</v>
      </c>
      <c r="H102" s="8">
        <v>73.46</v>
      </c>
      <c r="I102" s="8">
        <v>20</v>
      </c>
      <c r="J102" s="10" t="s">
        <v>73</v>
      </c>
      <c r="K102" s="11" t="s">
        <v>12</v>
      </c>
    </row>
    <row r="103" s="1" customFormat="1" customHeight="1" spans="1:11">
      <c r="A103" s="8" t="str">
        <f t="shared" si="11"/>
        <v>E6F</v>
      </c>
      <c r="B103" s="8" t="s">
        <v>81</v>
      </c>
      <c r="C103" s="8" t="str">
        <f>"肖月茗"</f>
        <v>肖月茗</v>
      </c>
      <c r="D103" s="8" t="str">
        <f t="shared" si="12"/>
        <v>女</v>
      </c>
      <c r="E103" s="8" t="str">
        <f>"2022027112"</f>
        <v>2022027112</v>
      </c>
      <c r="F103" s="8">
        <v>71.6</v>
      </c>
      <c r="G103" s="8">
        <v>75.5</v>
      </c>
      <c r="H103" s="8">
        <v>73.16</v>
      </c>
      <c r="I103" s="8">
        <v>21</v>
      </c>
      <c r="J103" s="10" t="s">
        <v>73</v>
      </c>
      <c r="K103" s="11" t="s">
        <v>12</v>
      </c>
    </row>
    <row r="104" s="1" customFormat="1" customHeight="1" spans="1:11">
      <c r="A104" s="8" t="str">
        <f t="shared" si="11"/>
        <v>E6F</v>
      </c>
      <c r="B104" s="8" t="s">
        <v>81</v>
      </c>
      <c r="C104" s="8" t="str">
        <f>"兰红燕"</f>
        <v>兰红燕</v>
      </c>
      <c r="D104" s="8" t="str">
        <f t="shared" si="12"/>
        <v>女</v>
      </c>
      <c r="E104" s="8" t="str">
        <f>"2022026928"</f>
        <v>2022026928</v>
      </c>
      <c r="F104" s="8">
        <v>69.5</v>
      </c>
      <c r="G104" s="8">
        <v>76.5</v>
      </c>
      <c r="H104" s="8">
        <v>72.3</v>
      </c>
      <c r="I104" s="8">
        <v>22</v>
      </c>
      <c r="J104" s="10" t="s">
        <v>73</v>
      </c>
      <c r="K104" s="11" t="s">
        <v>12</v>
      </c>
    </row>
    <row r="105" s="1" customFormat="1" customHeight="1" spans="1:11">
      <c r="A105" s="8" t="str">
        <f t="shared" si="11"/>
        <v>E6F</v>
      </c>
      <c r="B105" s="8" t="s">
        <v>81</v>
      </c>
      <c r="C105" s="8" t="str">
        <f>"段紫云"</f>
        <v>段紫云</v>
      </c>
      <c r="D105" s="8" t="str">
        <f t="shared" si="12"/>
        <v>女</v>
      </c>
      <c r="E105" s="8" t="str">
        <f>"2022027005"</f>
        <v>2022027005</v>
      </c>
      <c r="F105" s="8">
        <v>75.1</v>
      </c>
      <c r="G105" s="8">
        <v>68</v>
      </c>
      <c r="H105" s="8">
        <v>72.26</v>
      </c>
      <c r="I105" s="8">
        <v>23</v>
      </c>
      <c r="J105" s="10" t="s">
        <v>73</v>
      </c>
      <c r="K105" s="11" t="s">
        <v>12</v>
      </c>
    </row>
    <row r="106" s="1" customFormat="1" customHeight="1" spans="1:11">
      <c r="A106" s="8" t="str">
        <f t="shared" si="11"/>
        <v>E6F</v>
      </c>
      <c r="B106" s="8" t="s">
        <v>81</v>
      </c>
      <c r="C106" s="8" t="str">
        <f>"杨思宇"</f>
        <v>杨思宇</v>
      </c>
      <c r="D106" s="8" t="str">
        <f t="shared" si="12"/>
        <v>女</v>
      </c>
      <c r="E106" s="8" t="str">
        <f>"2022027204"</f>
        <v>2022027204</v>
      </c>
      <c r="F106" s="8">
        <v>67.7</v>
      </c>
      <c r="G106" s="8">
        <v>79</v>
      </c>
      <c r="H106" s="8">
        <v>72.22</v>
      </c>
      <c r="I106" s="8">
        <v>24</v>
      </c>
      <c r="J106" s="10" t="s">
        <v>73</v>
      </c>
      <c r="K106" s="11" t="s">
        <v>12</v>
      </c>
    </row>
    <row r="107" s="1" customFormat="1" customHeight="1" spans="1:11">
      <c r="A107" s="8" t="str">
        <f t="shared" si="11"/>
        <v>E6F</v>
      </c>
      <c r="B107" s="8" t="s">
        <v>81</v>
      </c>
      <c r="C107" s="8" t="str">
        <f>"韦宝平"</f>
        <v>韦宝平</v>
      </c>
      <c r="D107" s="8" t="str">
        <f t="shared" si="12"/>
        <v>女</v>
      </c>
      <c r="E107" s="8" t="str">
        <f>"2022027002"</f>
        <v>2022027002</v>
      </c>
      <c r="F107" s="8">
        <v>71.1</v>
      </c>
      <c r="G107" s="8">
        <v>73.5</v>
      </c>
      <c r="H107" s="8">
        <v>72.06</v>
      </c>
      <c r="I107" s="8">
        <v>25</v>
      </c>
      <c r="J107" s="10" t="s">
        <v>73</v>
      </c>
      <c r="K107" s="11" t="s">
        <v>12</v>
      </c>
    </row>
    <row r="108" s="1" customFormat="1" customHeight="1" spans="1:11">
      <c r="A108" s="8" t="str">
        <f t="shared" si="11"/>
        <v>E6F</v>
      </c>
      <c r="B108" s="8" t="s">
        <v>81</v>
      </c>
      <c r="C108" s="8" t="str">
        <f>"胡红霞"</f>
        <v>胡红霞</v>
      </c>
      <c r="D108" s="8" t="str">
        <f t="shared" si="12"/>
        <v>女</v>
      </c>
      <c r="E108" s="8" t="str">
        <f>"2022027127"</f>
        <v>2022027127</v>
      </c>
      <c r="F108" s="8">
        <v>70.4</v>
      </c>
      <c r="G108" s="8">
        <v>74.5</v>
      </c>
      <c r="H108" s="8">
        <v>72.04</v>
      </c>
      <c r="I108" s="8">
        <v>26</v>
      </c>
      <c r="J108" s="10" t="s">
        <v>73</v>
      </c>
      <c r="K108" s="11" t="s">
        <v>12</v>
      </c>
    </row>
    <row r="109" s="1" customFormat="1" customHeight="1" spans="1:11">
      <c r="A109" s="8" t="str">
        <f t="shared" si="11"/>
        <v>E6F</v>
      </c>
      <c r="B109" s="8" t="s">
        <v>81</v>
      </c>
      <c r="C109" s="8" t="str">
        <f>"周秋菊"</f>
        <v>周秋菊</v>
      </c>
      <c r="D109" s="8" t="str">
        <f t="shared" si="12"/>
        <v>女</v>
      </c>
      <c r="E109" s="8" t="str">
        <f>"2022027126"</f>
        <v>2022027126</v>
      </c>
      <c r="F109" s="8">
        <v>69.2</v>
      </c>
      <c r="G109" s="8">
        <v>75</v>
      </c>
      <c r="H109" s="8">
        <v>71.52</v>
      </c>
      <c r="I109" s="8">
        <v>27</v>
      </c>
      <c r="J109" s="10" t="s">
        <v>73</v>
      </c>
      <c r="K109" s="11" t="s">
        <v>12</v>
      </c>
    </row>
    <row r="110" s="1" customFormat="1" customHeight="1" spans="1:11">
      <c r="A110" s="8" t="str">
        <f t="shared" si="11"/>
        <v>E6F</v>
      </c>
      <c r="B110" s="8" t="s">
        <v>81</v>
      </c>
      <c r="C110" s="8" t="str">
        <f>"杨敏"</f>
        <v>杨敏</v>
      </c>
      <c r="D110" s="8" t="str">
        <f t="shared" si="12"/>
        <v>女</v>
      </c>
      <c r="E110" s="8" t="str">
        <f>"2022027117"</f>
        <v>2022027117</v>
      </c>
      <c r="F110" s="8">
        <v>66.7</v>
      </c>
      <c r="G110" s="8">
        <v>78</v>
      </c>
      <c r="H110" s="8">
        <v>71.22</v>
      </c>
      <c r="I110" s="8">
        <v>28</v>
      </c>
      <c r="J110" s="10" t="s">
        <v>73</v>
      </c>
      <c r="K110" s="11" t="s">
        <v>12</v>
      </c>
    </row>
    <row r="111" s="1" customFormat="1" customHeight="1" spans="1:11">
      <c r="A111" s="8" t="str">
        <f t="shared" si="11"/>
        <v>E6F</v>
      </c>
      <c r="B111" s="8" t="s">
        <v>81</v>
      </c>
      <c r="C111" s="8" t="str">
        <f>"李超群"</f>
        <v>李超群</v>
      </c>
      <c r="D111" s="8" t="str">
        <f t="shared" si="12"/>
        <v>女</v>
      </c>
      <c r="E111" s="8" t="str">
        <f>"2022027004"</f>
        <v>2022027004</v>
      </c>
      <c r="F111" s="8">
        <v>76.4</v>
      </c>
      <c r="G111" s="8">
        <v>63</v>
      </c>
      <c r="H111" s="8">
        <v>71.04</v>
      </c>
      <c r="I111" s="8">
        <v>29</v>
      </c>
      <c r="J111" s="10" t="s">
        <v>73</v>
      </c>
      <c r="K111" s="11" t="s">
        <v>12</v>
      </c>
    </row>
    <row r="112" s="1" customFormat="1" customHeight="1" spans="1:11">
      <c r="A112" s="8" t="str">
        <f t="shared" si="11"/>
        <v>E6F</v>
      </c>
      <c r="B112" s="8" t="s">
        <v>81</v>
      </c>
      <c r="C112" s="8" t="str">
        <f>"伍小可"</f>
        <v>伍小可</v>
      </c>
      <c r="D112" s="8" t="str">
        <f t="shared" si="12"/>
        <v>女</v>
      </c>
      <c r="E112" s="8" t="str">
        <f>"2022027121"</f>
        <v>2022027121</v>
      </c>
      <c r="F112" s="8">
        <v>66.5</v>
      </c>
      <c r="G112" s="8">
        <v>76</v>
      </c>
      <c r="H112" s="8">
        <v>70.3</v>
      </c>
      <c r="I112" s="8">
        <v>30</v>
      </c>
      <c r="J112" s="10" t="s">
        <v>73</v>
      </c>
      <c r="K112" s="11" t="s">
        <v>12</v>
      </c>
    </row>
    <row r="113" s="1" customFormat="1" customHeight="1" spans="1:11">
      <c r="A113" s="8" t="str">
        <f t="shared" si="11"/>
        <v>E6F</v>
      </c>
      <c r="B113" s="8" t="s">
        <v>81</v>
      </c>
      <c r="C113" s="8" t="str">
        <f>"姜梅"</f>
        <v>姜梅</v>
      </c>
      <c r="D113" s="8" t="str">
        <f t="shared" si="12"/>
        <v>女</v>
      </c>
      <c r="E113" s="8" t="str">
        <f>"2022027201"</f>
        <v>2022027201</v>
      </c>
      <c r="F113" s="8">
        <v>65.6</v>
      </c>
      <c r="G113" s="8">
        <v>75.3</v>
      </c>
      <c r="H113" s="8">
        <v>69.48</v>
      </c>
      <c r="I113" s="8">
        <v>31</v>
      </c>
      <c r="J113" s="10" t="s">
        <v>73</v>
      </c>
      <c r="K113" s="11" t="s">
        <v>12</v>
      </c>
    </row>
    <row r="114" s="1" customFormat="1" customHeight="1" spans="1:11">
      <c r="A114" s="8" t="str">
        <f t="shared" si="11"/>
        <v>E6F</v>
      </c>
      <c r="B114" s="8" t="s">
        <v>81</v>
      </c>
      <c r="C114" s="8" t="str">
        <f>"戴银"</f>
        <v>戴银</v>
      </c>
      <c r="D114" s="8" t="str">
        <f t="shared" si="12"/>
        <v>女</v>
      </c>
      <c r="E114" s="8" t="str">
        <f>"2022027003"</f>
        <v>2022027003</v>
      </c>
      <c r="F114" s="8">
        <v>70.4</v>
      </c>
      <c r="G114" s="8">
        <v>67.5</v>
      </c>
      <c r="H114" s="8">
        <v>69.24</v>
      </c>
      <c r="I114" s="8">
        <v>32</v>
      </c>
      <c r="J114" s="10" t="s">
        <v>73</v>
      </c>
      <c r="K114" s="11" t="s">
        <v>12</v>
      </c>
    </row>
    <row r="115" s="1" customFormat="1" customHeight="1" spans="1:11">
      <c r="A115" s="8" t="str">
        <f t="shared" si="11"/>
        <v>E6F</v>
      </c>
      <c r="B115" s="8" t="s">
        <v>81</v>
      </c>
      <c r="C115" s="8" t="str">
        <f>"于江婷"</f>
        <v>于江婷</v>
      </c>
      <c r="D115" s="8" t="str">
        <f t="shared" si="12"/>
        <v>女</v>
      </c>
      <c r="E115" s="8" t="str">
        <f>"2022027108"</f>
        <v>2022027108</v>
      </c>
      <c r="F115" s="8">
        <v>58</v>
      </c>
      <c r="G115" s="8">
        <v>85</v>
      </c>
      <c r="H115" s="8">
        <v>68.8</v>
      </c>
      <c r="I115" s="8">
        <v>33</v>
      </c>
      <c r="J115" s="10" t="s">
        <v>73</v>
      </c>
      <c r="K115" s="11" t="s">
        <v>12</v>
      </c>
    </row>
    <row r="116" s="1" customFormat="1" customHeight="1" spans="1:11">
      <c r="A116" s="8" t="str">
        <f t="shared" si="11"/>
        <v>E6F</v>
      </c>
      <c r="B116" s="8" t="s">
        <v>81</v>
      </c>
      <c r="C116" s="8" t="str">
        <f>"曾艳娟"</f>
        <v>曾艳娟</v>
      </c>
      <c r="D116" s="8" t="str">
        <f t="shared" si="12"/>
        <v>女</v>
      </c>
      <c r="E116" s="8" t="str">
        <f>"2022027012"</f>
        <v>2022027012</v>
      </c>
      <c r="F116" s="8">
        <v>66.8</v>
      </c>
      <c r="G116" s="8">
        <v>71.5</v>
      </c>
      <c r="H116" s="8">
        <v>68.68</v>
      </c>
      <c r="I116" s="8">
        <v>34</v>
      </c>
      <c r="J116" s="10" t="s">
        <v>73</v>
      </c>
      <c r="K116" s="11" t="s">
        <v>12</v>
      </c>
    </row>
    <row r="117" s="1" customFormat="1" customHeight="1" spans="1:11">
      <c r="A117" s="8" t="str">
        <f t="shared" si="11"/>
        <v>E6F</v>
      </c>
      <c r="B117" s="8" t="s">
        <v>81</v>
      </c>
      <c r="C117" s="8" t="str">
        <f>"吴京鞠"</f>
        <v>吴京鞠</v>
      </c>
      <c r="D117" s="8" t="str">
        <f t="shared" si="12"/>
        <v>女</v>
      </c>
      <c r="E117" s="8" t="str">
        <f>"2022027212"</f>
        <v>2022027212</v>
      </c>
      <c r="F117" s="8">
        <v>66.7</v>
      </c>
      <c r="G117" s="8">
        <v>71</v>
      </c>
      <c r="H117" s="8">
        <v>68.42</v>
      </c>
      <c r="I117" s="8">
        <v>35</v>
      </c>
      <c r="J117" s="10" t="s">
        <v>73</v>
      </c>
      <c r="K117" s="11" t="s">
        <v>12</v>
      </c>
    </row>
    <row r="118" s="1" customFormat="1" customHeight="1" spans="1:11">
      <c r="A118" s="8" t="str">
        <f t="shared" si="11"/>
        <v>E6F</v>
      </c>
      <c r="B118" s="8" t="s">
        <v>81</v>
      </c>
      <c r="C118" s="8" t="str">
        <f>"熊慧婷"</f>
        <v>熊慧婷</v>
      </c>
      <c r="D118" s="8" t="str">
        <f t="shared" si="12"/>
        <v>女</v>
      </c>
      <c r="E118" s="8" t="str">
        <f>"2022027107"</f>
        <v>2022027107</v>
      </c>
      <c r="F118" s="8">
        <v>60.4</v>
      </c>
      <c r="G118" s="8">
        <v>79.5</v>
      </c>
      <c r="H118" s="8">
        <v>68.04</v>
      </c>
      <c r="I118" s="8">
        <v>36</v>
      </c>
      <c r="J118" s="10" t="s">
        <v>73</v>
      </c>
      <c r="K118" s="11" t="s">
        <v>12</v>
      </c>
    </row>
    <row r="119" s="1" customFormat="1" customHeight="1" spans="1:11">
      <c r="A119" s="8" t="str">
        <f t="shared" si="11"/>
        <v>E6F</v>
      </c>
      <c r="B119" s="8" t="s">
        <v>81</v>
      </c>
      <c r="C119" s="8" t="str">
        <f>"张婷"</f>
        <v>张婷</v>
      </c>
      <c r="D119" s="8" t="str">
        <f t="shared" si="12"/>
        <v>女</v>
      </c>
      <c r="E119" s="8" t="str">
        <f>"2022027202"</f>
        <v>2022027202</v>
      </c>
      <c r="F119" s="8">
        <v>67.3</v>
      </c>
      <c r="G119" s="8">
        <v>65</v>
      </c>
      <c r="H119" s="8">
        <v>66.38</v>
      </c>
      <c r="I119" s="8">
        <v>37</v>
      </c>
      <c r="J119" s="10" t="s">
        <v>73</v>
      </c>
      <c r="K119" s="11" t="s">
        <v>12</v>
      </c>
    </row>
    <row r="120" s="1" customFormat="1" customHeight="1" spans="1:11">
      <c r="A120" s="8" t="str">
        <f t="shared" si="11"/>
        <v>E6F</v>
      </c>
      <c r="B120" s="8" t="s">
        <v>81</v>
      </c>
      <c r="C120" s="8" t="str">
        <f>"杨婷芳"</f>
        <v>杨婷芳</v>
      </c>
      <c r="D120" s="8" t="str">
        <f t="shared" si="12"/>
        <v>女</v>
      </c>
      <c r="E120" s="8" t="str">
        <f>"2022027113"</f>
        <v>2022027113</v>
      </c>
      <c r="F120" s="8">
        <v>62.6</v>
      </c>
      <c r="G120" s="8">
        <v>71.5</v>
      </c>
      <c r="H120" s="8">
        <v>66.16</v>
      </c>
      <c r="I120" s="8">
        <v>38</v>
      </c>
      <c r="J120" s="10" t="s">
        <v>73</v>
      </c>
      <c r="K120" s="11" t="s">
        <v>12</v>
      </c>
    </row>
    <row r="121" s="1" customFormat="1" customHeight="1" spans="1:11">
      <c r="A121" s="8" t="str">
        <f t="shared" si="11"/>
        <v>E6F</v>
      </c>
      <c r="B121" s="8" t="s">
        <v>81</v>
      </c>
      <c r="C121" s="8" t="str">
        <f>"唐丽萍"</f>
        <v>唐丽萍</v>
      </c>
      <c r="D121" s="8" t="str">
        <f t="shared" si="12"/>
        <v>女</v>
      </c>
      <c r="E121" s="8" t="str">
        <f>"2022027103"</f>
        <v>2022027103</v>
      </c>
      <c r="F121" s="8">
        <v>66.8</v>
      </c>
      <c r="G121" s="8">
        <v>65</v>
      </c>
      <c r="H121" s="8">
        <v>66.08</v>
      </c>
      <c r="I121" s="8">
        <v>39</v>
      </c>
      <c r="J121" s="10" t="s">
        <v>73</v>
      </c>
      <c r="K121" s="11" t="s">
        <v>12</v>
      </c>
    </row>
    <row r="122" s="1" customFormat="1" customHeight="1" spans="1:11">
      <c r="A122" s="8" t="str">
        <f t="shared" si="11"/>
        <v>E6F</v>
      </c>
      <c r="B122" s="8" t="s">
        <v>81</v>
      </c>
      <c r="C122" s="8" t="str">
        <f>"仇婷"</f>
        <v>仇婷</v>
      </c>
      <c r="D122" s="8" t="str">
        <f t="shared" si="12"/>
        <v>女</v>
      </c>
      <c r="E122" s="8" t="str">
        <f>"2022027203"</f>
        <v>2022027203</v>
      </c>
      <c r="F122" s="8">
        <v>58.9</v>
      </c>
      <c r="G122" s="8">
        <v>76.5</v>
      </c>
      <c r="H122" s="8">
        <v>65.94</v>
      </c>
      <c r="I122" s="8">
        <v>40</v>
      </c>
      <c r="J122" s="10" t="s">
        <v>73</v>
      </c>
      <c r="K122" s="11" t="s">
        <v>12</v>
      </c>
    </row>
    <row r="123" s="1" customFormat="1" customHeight="1" spans="1:11">
      <c r="A123" s="8" t="str">
        <f t="shared" si="11"/>
        <v>E6F</v>
      </c>
      <c r="B123" s="8" t="s">
        <v>81</v>
      </c>
      <c r="C123" s="8" t="str">
        <f>"唐旭"</f>
        <v>唐旭</v>
      </c>
      <c r="D123" s="8" t="str">
        <f t="shared" si="12"/>
        <v>女</v>
      </c>
      <c r="E123" s="8" t="str">
        <f>"2022027007"</f>
        <v>2022027007</v>
      </c>
      <c r="F123" s="8">
        <v>73.7</v>
      </c>
      <c r="G123" s="8">
        <v>53.5</v>
      </c>
      <c r="H123" s="8">
        <v>65.62</v>
      </c>
      <c r="I123" s="8">
        <v>41</v>
      </c>
      <c r="J123" s="10" t="s">
        <v>73</v>
      </c>
      <c r="K123" s="11" t="s">
        <v>12</v>
      </c>
    </row>
    <row r="124" s="1" customFormat="1" customHeight="1" spans="1:11">
      <c r="A124" s="8" t="str">
        <f t="shared" si="11"/>
        <v>E6F</v>
      </c>
      <c r="B124" s="8" t="s">
        <v>81</v>
      </c>
      <c r="C124" s="8" t="str">
        <f>"周桂花"</f>
        <v>周桂花</v>
      </c>
      <c r="D124" s="8" t="str">
        <f t="shared" si="12"/>
        <v>女</v>
      </c>
      <c r="E124" s="8" t="str">
        <f>"2022027123"</f>
        <v>2022027123</v>
      </c>
      <c r="F124" s="8">
        <v>62.9</v>
      </c>
      <c r="G124" s="8">
        <v>69</v>
      </c>
      <c r="H124" s="8">
        <v>65.34</v>
      </c>
      <c r="I124" s="8">
        <v>42</v>
      </c>
      <c r="J124" s="10" t="s">
        <v>73</v>
      </c>
      <c r="K124" s="11" t="s">
        <v>12</v>
      </c>
    </row>
    <row r="125" s="1" customFormat="1" customHeight="1" spans="1:11">
      <c r="A125" s="8" t="str">
        <f t="shared" si="11"/>
        <v>E6F</v>
      </c>
      <c r="B125" s="8" t="s">
        <v>81</v>
      </c>
      <c r="C125" s="8" t="str">
        <f>"何爱菊"</f>
        <v>何爱菊</v>
      </c>
      <c r="D125" s="8" t="str">
        <f t="shared" si="12"/>
        <v>女</v>
      </c>
      <c r="E125" s="8" t="str">
        <f>"2022027010"</f>
        <v>2022027010</v>
      </c>
      <c r="F125" s="8">
        <v>66.8</v>
      </c>
      <c r="G125" s="8">
        <v>61.5</v>
      </c>
      <c r="H125" s="8">
        <v>64.68</v>
      </c>
      <c r="I125" s="8">
        <v>43</v>
      </c>
      <c r="J125" s="10" t="s">
        <v>73</v>
      </c>
      <c r="K125" s="11" t="s">
        <v>12</v>
      </c>
    </row>
    <row r="126" s="1" customFormat="1" customHeight="1" spans="1:11">
      <c r="A126" s="8" t="str">
        <f t="shared" si="11"/>
        <v>E6F</v>
      </c>
      <c r="B126" s="8" t="s">
        <v>81</v>
      </c>
      <c r="C126" s="8" t="str">
        <f>"林静"</f>
        <v>林静</v>
      </c>
      <c r="D126" s="8" t="str">
        <f t="shared" si="12"/>
        <v>女</v>
      </c>
      <c r="E126" s="8" t="str">
        <f>"2022027122"</f>
        <v>2022027122</v>
      </c>
      <c r="F126" s="8">
        <v>57.3</v>
      </c>
      <c r="G126" s="8">
        <v>74</v>
      </c>
      <c r="H126" s="8">
        <v>63.98</v>
      </c>
      <c r="I126" s="8">
        <v>44</v>
      </c>
      <c r="J126" s="10" t="s">
        <v>73</v>
      </c>
      <c r="K126" s="11" t="s">
        <v>12</v>
      </c>
    </row>
    <row r="127" s="1" customFormat="1" customHeight="1" spans="1:11">
      <c r="A127" s="8" t="str">
        <f t="shared" si="11"/>
        <v>E6F</v>
      </c>
      <c r="B127" s="8" t="s">
        <v>81</v>
      </c>
      <c r="C127" s="8" t="str">
        <f>"杨莉"</f>
        <v>杨莉</v>
      </c>
      <c r="D127" s="8" t="str">
        <f t="shared" si="12"/>
        <v>女</v>
      </c>
      <c r="E127" s="8" t="str">
        <f>"2022027102"</f>
        <v>2022027102</v>
      </c>
      <c r="F127" s="8">
        <v>61.6</v>
      </c>
      <c r="G127" s="8">
        <v>67</v>
      </c>
      <c r="H127" s="8">
        <v>63.76</v>
      </c>
      <c r="I127" s="8">
        <v>45</v>
      </c>
      <c r="J127" s="10" t="s">
        <v>73</v>
      </c>
      <c r="K127" s="11" t="s">
        <v>12</v>
      </c>
    </row>
    <row r="128" s="1" customFormat="1" customHeight="1" spans="1:11">
      <c r="A128" s="8" t="str">
        <f t="shared" si="11"/>
        <v>E6F</v>
      </c>
      <c r="B128" s="8" t="s">
        <v>81</v>
      </c>
      <c r="C128" s="8" t="str">
        <f>"陈慧"</f>
        <v>陈慧</v>
      </c>
      <c r="D128" s="8" t="str">
        <f t="shared" si="12"/>
        <v>女</v>
      </c>
      <c r="E128" s="8" t="str">
        <f>"2022027110"</f>
        <v>2022027110</v>
      </c>
      <c r="F128" s="8">
        <v>62.9</v>
      </c>
      <c r="G128" s="8">
        <v>65</v>
      </c>
      <c r="H128" s="8">
        <v>63.74</v>
      </c>
      <c r="I128" s="8">
        <v>46</v>
      </c>
      <c r="J128" s="10" t="s">
        <v>73</v>
      </c>
      <c r="K128" s="11" t="s">
        <v>12</v>
      </c>
    </row>
    <row r="129" s="1" customFormat="1" customHeight="1" spans="1:11">
      <c r="A129" s="8" t="str">
        <f t="shared" si="11"/>
        <v>E6F</v>
      </c>
      <c r="B129" s="8" t="s">
        <v>81</v>
      </c>
      <c r="C129" s="8" t="str">
        <f>"何佳慧"</f>
        <v>何佳慧</v>
      </c>
      <c r="D129" s="8" t="str">
        <f t="shared" si="12"/>
        <v>女</v>
      </c>
      <c r="E129" s="8" t="str">
        <f>"2022027030"</f>
        <v>2022027030</v>
      </c>
      <c r="F129" s="8">
        <v>56.6</v>
      </c>
      <c r="G129" s="8">
        <v>71.5</v>
      </c>
      <c r="H129" s="8">
        <v>62.56</v>
      </c>
      <c r="I129" s="8">
        <v>47</v>
      </c>
      <c r="J129" s="10" t="s">
        <v>73</v>
      </c>
      <c r="K129" s="11" t="s">
        <v>12</v>
      </c>
    </row>
    <row r="130" s="1" customFormat="1" customHeight="1" spans="1:11">
      <c r="A130" s="8" t="str">
        <f t="shared" si="11"/>
        <v>E6F</v>
      </c>
      <c r="B130" s="8" t="s">
        <v>81</v>
      </c>
      <c r="C130" s="8" t="str">
        <f>"陈炎"</f>
        <v>陈炎</v>
      </c>
      <c r="D130" s="8" t="str">
        <f t="shared" si="12"/>
        <v>女</v>
      </c>
      <c r="E130" s="8" t="str">
        <f>"2022027018"</f>
        <v>2022027018</v>
      </c>
      <c r="F130" s="8">
        <v>58.5</v>
      </c>
      <c r="G130" s="8">
        <v>68</v>
      </c>
      <c r="H130" s="8">
        <v>62.3</v>
      </c>
      <c r="I130" s="8">
        <v>48</v>
      </c>
      <c r="J130" s="10" t="s">
        <v>73</v>
      </c>
      <c r="K130" s="11" t="s">
        <v>12</v>
      </c>
    </row>
    <row r="131" s="1" customFormat="1" customHeight="1" spans="1:11">
      <c r="A131" s="8" t="str">
        <f t="shared" si="11"/>
        <v>E6F</v>
      </c>
      <c r="B131" s="8" t="s">
        <v>81</v>
      </c>
      <c r="C131" s="8" t="str">
        <f>"刘涛涛"</f>
        <v>刘涛涛</v>
      </c>
      <c r="D131" s="8" t="str">
        <f t="shared" si="12"/>
        <v>女</v>
      </c>
      <c r="E131" s="8" t="str">
        <f>"2022027118"</f>
        <v>2022027118</v>
      </c>
      <c r="F131" s="8">
        <v>59.2</v>
      </c>
      <c r="G131" s="8">
        <v>64</v>
      </c>
      <c r="H131" s="8">
        <v>61.12</v>
      </c>
      <c r="I131" s="8">
        <v>49</v>
      </c>
      <c r="J131" s="10" t="s">
        <v>73</v>
      </c>
      <c r="K131" s="11" t="s">
        <v>12</v>
      </c>
    </row>
    <row r="132" s="1" customFormat="1" customHeight="1" spans="1:11">
      <c r="A132" s="8" t="str">
        <f t="shared" si="11"/>
        <v>E6F</v>
      </c>
      <c r="B132" s="8" t="s">
        <v>81</v>
      </c>
      <c r="C132" s="8" t="str">
        <f>"肖静"</f>
        <v>肖静</v>
      </c>
      <c r="D132" s="8" t="str">
        <f t="shared" si="12"/>
        <v>女</v>
      </c>
      <c r="E132" s="8" t="str">
        <f>"2022027208"</f>
        <v>2022027208</v>
      </c>
      <c r="F132" s="8">
        <v>51.5</v>
      </c>
      <c r="G132" s="8">
        <v>68</v>
      </c>
      <c r="H132" s="8">
        <v>58.1</v>
      </c>
      <c r="I132" s="8">
        <v>50</v>
      </c>
      <c r="J132" s="10" t="s">
        <v>73</v>
      </c>
      <c r="K132" s="11" t="s">
        <v>12</v>
      </c>
    </row>
    <row r="133" s="1" customFormat="1" customHeight="1" spans="1:11">
      <c r="A133" s="8" t="str">
        <f t="shared" si="11"/>
        <v>E6F</v>
      </c>
      <c r="B133" s="8" t="s">
        <v>81</v>
      </c>
      <c r="C133" s="8" t="str">
        <f>"李宏群"</f>
        <v>李宏群</v>
      </c>
      <c r="D133" s="8" t="str">
        <f t="shared" si="12"/>
        <v>女</v>
      </c>
      <c r="E133" s="8" t="str">
        <f>"2022027111"</f>
        <v>2022027111</v>
      </c>
      <c r="F133" s="8">
        <v>60.5</v>
      </c>
      <c r="G133" s="8">
        <v>52.5</v>
      </c>
      <c r="H133" s="8">
        <v>57.3</v>
      </c>
      <c r="I133" s="8">
        <v>51</v>
      </c>
      <c r="J133" s="10" t="s">
        <v>73</v>
      </c>
      <c r="K133" s="11" t="s">
        <v>12</v>
      </c>
    </row>
    <row r="134" s="1" customFormat="1" customHeight="1" spans="1:11">
      <c r="A134" s="8" t="str">
        <f t="shared" si="11"/>
        <v>E6F</v>
      </c>
      <c r="B134" s="8" t="s">
        <v>81</v>
      </c>
      <c r="C134" s="8" t="str">
        <f>"马哲琳"</f>
        <v>马哲琳</v>
      </c>
      <c r="D134" s="8" t="str">
        <f t="shared" si="12"/>
        <v>女</v>
      </c>
      <c r="E134" s="8" t="str">
        <f>"2022027106"</f>
        <v>2022027106</v>
      </c>
      <c r="F134" s="8">
        <v>58.7</v>
      </c>
      <c r="G134" s="8">
        <v>54.5</v>
      </c>
      <c r="H134" s="8">
        <v>57.02</v>
      </c>
      <c r="I134" s="8">
        <v>52</v>
      </c>
      <c r="J134" s="10" t="s">
        <v>73</v>
      </c>
      <c r="K134" s="11" t="s">
        <v>12</v>
      </c>
    </row>
    <row r="135" s="1" customFormat="1" customHeight="1" spans="1:11">
      <c r="A135" s="8" t="str">
        <f t="shared" si="11"/>
        <v>E6F</v>
      </c>
      <c r="B135" s="8" t="s">
        <v>81</v>
      </c>
      <c r="C135" s="8" t="str">
        <f>"孙玉凤"</f>
        <v>孙玉凤</v>
      </c>
      <c r="D135" s="8" t="str">
        <f t="shared" si="12"/>
        <v>女</v>
      </c>
      <c r="E135" s="8" t="str">
        <f>"2022027209"</f>
        <v>2022027209</v>
      </c>
      <c r="F135" s="8">
        <v>56.7</v>
      </c>
      <c r="G135" s="8">
        <v>53</v>
      </c>
      <c r="H135" s="8">
        <v>55.22</v>
      </c>
      <c r="I135" s="8">
        <v>53</v>
      </c>
      <c r="J135" s="10" t="s">
        <v>73</v>
      </c>
      <c r="K135" s="11" t="s">
        <v>12</v>
      </c>
    </row>
    <row r="136" s="1" customFormat="1" customHeight="1" spans="1:11">
      <c r="A136" s="8" t="str">
        <f t="shared" si="11"/>
        <v>E6F</v>
      </c>
      <c r="B136" s="8" t="s">
        <v>81</v>
      </c>
      <c r="C136" s="8" t="str">
        <f>"李梦思"</f>
        <v>李梦思</v>
      </c>
      <c r="D136" s="8" t="str">
        <f t="shared" si="12"/>
        <v>女</v>
      </c>
      <c r="E136" s="8" t="str">
        <f>"2022027105"</f>
        <v>2022027105</v>
      </c>
      <c r="F136" s="8">
        <v>57</v>
      </c>
      <c r="G136" s="8">
        <v>50.5</v>
      </c>
      <c r="H136" s="8">
        <v>54.4</v>
      </c>
      <c r="I136" s="8">
        <v>54</v>
      </c>
      <c r="J136" s="10" t="s">
        <v>73</v>
      </c>
      <c r="K136" s="11" t="s">
        <v>12</v>
      </c>
    </row>
    <row r="137" s="1" customFormat="1" customHeight="1" spans="1:11">
      <c r="A137" s="8" t="str">
        <f t="shared" si="11"/>
        <v>E6F</v>
      </c>
      <c r="B137" s="8" t="s">
        <v>81</v>
      </c>
      <c r="C137" s="8" t="str">
        <f>"易施茜"</f>
        <v>易施茜</v>
      </c>
      <c r="D137" s="8" t="str">
        <f t="shared" si="12"/>
        <v>女</v>
      </c>
      <c r="E137" s="8" t="str">
        <f>"2022027029"</f>
        <v>2022027029</v>
      </c>
      <c r="F137" s="8">
        <v>60.6</v>
      </c>
      <c r="G137" s="8">
        <v>44</v>
      </c>
      <c r="H137" s="8">
        <v>53.96</v>
      </c>
      <c r="I137" s="8">
        <v>55</v>
      </c>
      <c r="J137" s="10" t="s">
        <v>73</v>
      </c>
      <c r="K137" s="11" t="s">
        <v>12</v>
      </c>
    </row>
    <row r="138" s="1" customFormat="1" customHeight="1" spans="1:11">
      <c r="A138" s="8" t="str">
        <f t="shared" si="11"/>
        <v>E6F</v>
      </c>
      <c r="B138" s="8" t="s">
        <v>81</v>
      </c>
      <c r="C138" s="8" t="str">
        <f>"吴丽娟"</f>
        <v>吴丽娟</v>
      </c>
      <c r="D138" s="8" t="str">
        <f t="shared" si="12"/>
        <v>女</v>
      </c>
      <c r="E138" s="8" t="str">
        <f>"2022027024"</f>
        <v>2022027024</v>
      </c>
      <c r="F138" s="8">
        <v>54.5</v>
      </c>
      <c r="G138" s="8">
        <v>49</v>
      </c>
      <c r="H138" s="8">
        <v>52.3</v>
      </c>
      <c r="I138" s="8">
        <v>56</v>
      </c>
      <c r="J138" s="10" t="s">
        <v>73</v>
      </c>
      <c r="K138" s="11" t="s">
        <v>12</v>
      </c>
    </row>
    <row r="139" s="1" customFormat="1" customHeight="1" spans="1:11">
      <c r="A139" s="8" t="str">
        <f t="shared" si="11"/>
        <v>E6F</v>
      </c>
      <c r="B139" s="8" t="s">
        <v>81</v>
      </c>
      <c r="C139" s="8" t="str">
        <f>"蒋洁"</f>
        <v>蒋洁</v>
      </c>
      <c r="D139" s="8" t="str">
        <f t="shared" si="12"/>
        <v>女</v>
      </c>
      <c r="E139" s="8" t="str">
        <f>"2022027020"</f>
        <v>2022027020</v>
      </c>
      <c r="F139" s="8">
        <v>48.9</v>
      </c>
      <c r="G139" s="8">
        <v>57</v>
      </c>
      <c r="H139" s="8">
        <v>52.14</v>
      </c>
      <c r="I139" s="8">
        <v>57</v>
      </c>
      <c r="J139" s="10" t="s">
        <v>73</v>
      </c>
      <c r="K139" s="11" t="s">
        <v>12</v>
      </c>
    </row>
    <row r="140" s="1" customFormat="1" customHeight="1" spans="1:11">
      <c r="A140" s="8" t="str">
        <f t="shared" si="11"/>
        <v>E6F</v>
      </c>
      <c r="B140" s="8" t="s">
        <v>81</v>
      </c>
      <c r="C140" s="8" t="str">
        <f>"罗岚"</f>
        <v>罗岚</v>
      </c>
      <c r="D140" s="8" t="str">
        <f t="shared" si="12"/>
        <v>女</v>
      </c>
      <c r="E140" s="8" t="str">
        <f>"2022027025"</f>
        <v>2022027025</v>
      </c>
      <c r="F140" s="8">
        <v>52.1</v>
      </c>
      <c r="G140" s="8">
        <v>52</v>
      </c>
      <c r="H140" s="8">
        <v>52.06</v>
      </c>
      <c r="I140" s="8">
        <v>58</v>
      </c>
      <c r="J140" s="10" t="s">
        <v>73</v>
      </c>
      <c r="K140" s="11" t="s">
        <v>12</v>
      </c>
    </row>
    <row r="141" s="1" customFormat="1" customHeight="1" spans="1:11">
      <c r="A141" s="8" t="str">
        <f t="shared" si="11"/>
        <v>E6F</v>
      </c>
      <c r="B141" s="8" t="s">
        <v>81</v>
      </c>
      <c r="C141" s="8" t="str">
        <f>"阳磊"</f>
        <v>阳磊</v>
      </c>
      <c r="D141" s="8" t="str">
        <f t="shared" si="12"/>
        <v>女</v>
      </c>
      <c r="E141" s="8" t="str">
        <f>"2022027218"</f>
        <v>2022027218</v>
      </c>
      <c r="F141" s="8">
        <v>46.4</v>
      </c>
      <c r="G141" s="8">
        <v>59</v>
      </c>
      <c r="H141" s="8">
        <v>51.44</v>
      </c>
      <c r="I141" s="8">
        <v>59</v>
      </c>
      <c r="J141" s="10" t="s">
        <v>73</v>
      </c>
      <c r="K141" s="11" t="s">
        <v>12</v>
      </c>
    </row>
    <row r="142" s="1" customFormat="1" customHeight="1" spans="1:11">
      <c r="A142" s="8" t="str">
        <f t="shared" si="11"/>
        <v>E6F</v>
      </c>
      <c r="B142" s="8" t="s">
        <v>81</v>
      </c>
      <c r="C142" s="8" t="str">
        <f>"张梦萍"</f>
        <v>张梦萍</v>
      </c>
      <c r="D142" s="8" t="str">
        <f t="shared" si="12"/>
        <v>女</v>
      </c>
      <c r="E142" s="8" t="str">
        <f>"2022027011"</f>
        <v>2022027011</v>
      </c>
      <c r="F142" s="8">
        <v>59.2</v>
      </c>
      <c r="G142" s="8">
        <v>37</v>
      </c>
      <c r="H142" s="8">
        <v>50.32</v>
      </c>
      <c r="I142" s="8">
        <v>60</v>
      </c>
      <c r="J142" s="10" t="s">
        <v>73</v>
      </c>
      <c r="K142" s="11" t="s">
        <v>12</v>
      </c>
    </row>
    <row r="143" s="1" customFormat="1" customHeight="1" spans="1:11">
      <c r="A143" s="8" t="str">
        <f t="shared" si="11"/>
        <v>E6F</v>
      </c>
      <c r="B143" s="8" t="s">
        <v>81</v>
      </c>
      <c r="C143" s="8" t="str">
        <f>"刘诗琴"</f>
        <v>刘诗琴</v>
      </c>
      <c r="D143" s="8" t="str">
        <f t="shared" si="12"/>
        <v>女</v>
      </c>
      <c r="E143" s="8" t="str">
        <f>"2022027131"</f>
        <v>2022027131</v>
      </c>
      <c r="F143" s="8">
        <v>41.6</v>
      </c>
      <c r="G143" s="8">
        <v>63</v>
      </c>
      <c r="H143" s="8">
        <v>50.16</v>
      </c>
      <c r="I143" s="8">
        <v>61</v>
      </c>
      <c r="J143" s="10" t="s">
        <v>73</v>
      </c>
      <c r="K143" s="11" t="s">
        <v>12</v>
      </c>
    </row>
    <row r="144" s="1" customFormat="1" customHeight="1" spans="1:11">
      <c r="A144" s="8" t="str">
        <f t="shared" si="11"/>
        <v>E6F</v>
      </c>
      <c r="B144" s="8" t="s">
        <v>81</v>
      </c>
      <c r="C144" s="8" t="str">
        <f>"杨洁"</f>
        <v>杨洁</v>
      </c>
      <c r="D144" s="8" t="str">
        <f t="shared" si="12"/>
        <v>女</v>
      </c>
      <c r="E144" s="8" t="str">
        <f>"2022027014"</f>
        <v>2022027014</v>
      </c>
      <c r="F144" s="8">
        <v>47.3</v>
      </c>
      <c r="G144" s="8">
        <v>50.5</v>
      </c>
      <c r="H144" s="8">
        <v>48.58</v>
      </c>
      <c r="I144" s="8">
        <v>62</v>
      </c>
      <c r="J144" s="10" t="s">
        <v>73</v>
      </c>
      <c r="K144" s="11" t="s">
        <v>12</v>
      </c>
    </row>
    <row r="145" s="1" customFormat="1" customHeight="1" spans="1:11">
      <c r="A145" s="8" t="str">
        <f t="shared" si="11"/>
        <v>E6F</v>
      </c>
      <c r="B145" s="8" t="s">
        <v>81</v>
      </c>
      <c r="C145" s="8" t="str">
        <f>"张群"</f>
        <v>张群</v>
      </c>
      <c r="D145" s="8" t="str">
        <f t="shared" si="12"/>
        <v>女</v>
      </c>
      <c r="E145" s="8" t="str">
        <f>"2022027219"</f>
        <v>2022027219</v>
      </c>
      <c r="F145" s="8">
        <v>50.9</v>
      </c>
      <c r="G145" s="8">
        <v>43</v>
      </c>
      <c r="H145" s="8">
        <v>47.74</v>
      </c>
      <c r="I145" s="8">
        <v>63</v>
      </c>
      <c r="J145" s="10" t="s">
        <v>73</v>
      </c>
      <c r="K145" s="11" t="s">
        <v>12</v>
      </c>
    </row>
    <row r="146" s="1" customFormat="1" customHeight="1" spans="1:11">
      <c r="A146" s="8" t="str">
        <f t="shared" si="11"/>
        <v>E6F</v>
      </c>
      <c r="B146" s="8" t="s">
        <v>81</v>
      </c>
      <c r="C146" s="8" t="str">
        <f>"潘中宝"</f>
        <v>潘中宝</v>
      </c>
      <c r="D146" s="8" t="str">
        <f t="shared" si="12"/>
        <v>女</v>
      </c>
      <c r="E146" s="8" t="str">
        <f>"2022027101"</f>
        <v>2022027101</v>
      </c>
      <c r="F146" s="8">
        <v>45.3</v>
      </c>
      <c r="G146" s="8">
        <v>47</v>
      </c>
      <c r="H146" s="8">
        <v>45.98</v>
      </c>
      <c r="I146" s="8">
        <v>64</v>
      </c>
      <c r="J146" s="10" t="s">
        <v>73</v>
      </c>
      <c r="K146" s="11" t="s">
        <v>12</v>
      </c>
    </row>
    <row r="147" s="1" customFormat="1" customHeight="1" spans="1:11">
      <c r="A147" s="8" t="str">
        <f t="shared" ref="A147:A166" si="13">"E6F"</f>
        <v>E6F</v>
      </c>
      <c r="B147" s="8" t="s">
        <v>81</v>
      </c>
      <c r="C147" s="8" t="str">
        <f>"阳叶林"</f>
        <v>阳叶林</v>
      </c>
      <c r="D147" s="8" t="str">
        <f t="shared" si="12"/>
        <v>女</v>
      </c>
      <c r="E147" s="8" t="str">
        <f>"2022027001"</f>
        <v>2022027001</v>
      </c>
      <c r="F147" s="8">
        <v>0</v>
      </c>
      <c r="G147" s="8">
        <v>0</v>
      </c>
      <c r="H147" s="8">
        <v>0</v>
      </c>
      <c r="I147" s="8">
        <v>65</v>
      </c>
      <c r="J147" s="10" t="s">
        <v>13</v>
      </c>
      <c r="K147" s="11" t="s">
        <v>12</v>
      </c>
    </row>
    <row r="148" s="1" customFormat="1" customHeight="1" spans="1:11">
      <c r="A148" s="8" t="str">
        <f t="shared" si="13"/>
        <v>E6F</v>
      </c>
      <c r="B148" s="8" t="s">
        <v>81</v>
      </c>
      <c r="C148" s="8" t="str">
        <f>"伍斯迁"</f>
        <v>伍斯迁</v>
      </c>
      <c r="D148" s="8" t="str">
        <f t="shared" si="12"/>
        <v>女</v>
      </c>
      <c r="E148" s="8" t="str">
        <f>"2022027006"</f>
        <v>2022027006</v>
      </c>
      <c r="F148" s="8">
        <v>0</v>
      </c>
      <c r="G148" s="8">
        <v>0</v>
      </c>
      <c r="H148" s="8">
        <v>0</v>
      </c>
      <c r="I148" s="8">
        <v>65</v>
      </c>
      <c r="J148" s="10" t="s">
        <v>13</v>
      </c>
      <c r="K148" s="11" t="s">
        <v>12</v>
      </c>
    </row>
    <row r="149" s="1" customFormat="1" customHeight="1" spans="1:11">
      <c r="A149" s="8" t="str">
        <f t="shared" si="13"/>
        <v>E6F</v>
      </c>
      <c r="B149" s="8" t="s">
        <v>81</v>
      </c>
      <c r="C149" s="8" t="str">
        <f>"周方元"</f>
        <v>周方元</v>
      </c>
      <c r="D149" s="8" t="str">
        <f t="shared" si="12"/>
        <v>女</v>
      </c>
      <c r="E149" s="8" t="str">
        <f>"2022027008"</f>
        <v>2022027008</v>
      </c>
      <c r="F149" s="8">
        <v>0</v>
      </c>
      <c r="G149" s="8">
        <v>0</v>
      </c>
      <c r="H149" s="8">
        <v>0</v>
      </c>
      <c r="I149" s="8">
        <v>65</v>
      </c>
      <c r="J149" s="10" t="s">
        <v>13</v>
      </c>
      <c r="K149" s="11" t="s">
        <v>12</v>
      </c>
    </row>
    <row r="150" s="1" customFormat="1" customHeight="1" spans="1:11">
      <c r="A150" s="8" t="str">
        <f t="shared" si="13"/>
        <v>E6F</v>
      </c>
      <c r="B150" s="8" t="s">
        <v>81</v>
      </c>
      <c r="C150" s="8" t="str">
        <f>"肖余平"</f>
        <v>肖余平</v>
      </c>
      <c r="D150" s="8" t="str">
        <f t="shared" si="12"/>
        <v>女</v>
      </c>
      <c r="E150" s="8" t="str">
        <f>"2022027009"</f>
        <v>2022027009</v>
      </c>
      <c r="F150" s="8">
        <v>0</v>
      </c>
      <c r="G150" s="8">
        <v>0</v>
      </c>
      <c r="H150" s="8">
        <v>0</v>
      </c>
      <c r="I150" s="8">
        <v>65</v>
      </c>
      <c r="J150" s="10" t="s">
        <v>13</v>
      </c>
      <c r="K150" s="11" t="s">
        <v>12</v>
      </c>
    </row>
    <row r="151" s="1" customFormat="1" customHeight="1" spans="1:11">
      <c r="A151" s="8" t="str">
        <f t="shared" si="13"/>
        <v>E6F</v>
      </c>
      <c r="B151" s="8" t="s">
        <v>81</v>
      </c>
      <c r="C151" s="8" t="str">
        <f>"许京花"</f>
        <v>许京花</v>
      </c>
      <c r="D151" s="8" t="str">
        <f t="shared" si="12"/>
        <v>女</v>
      </c>
      <c r="E151" s="8" t="str">
        <f>"2022027015"</f>
        <v>2022027015</v>
      </c>
      <c r="F151" s="8">
        <v>0</v>
      </c>
      <c r="G151" s="8">
        <v>0</v>
      </c>
      <c r="H151" s="8">
        <v>0</v>
      </c>
      <c r="I151" s="8">
        <v>65</v>
      </c>
      <c r="J151" s="10" t="s">
        <v>13</v>
      </c>
      <c r="K151" s="11" t="s">
        <v>12</v>
      </c>
    </row>
    <row r="152" s="1" customFormat="1" customHeight="1" spans="1:11">
      <c r="A152" s="8" t="str">
        <f t="shared" si="13"/>
        <v>E6F</v>
      </c>
      <c r="B152" s="8" t="s">
        <v>81</v>
      </c>
      <c r="C152" s="8" t="str">
        <f>"李足"</f>
        <v>李足</v>
      </c>
      <c r="D152" s="8" t="str">
        <f t="shared" si="12"/>
        <v>女</v>
      </c>
      <c r="E152" s="8" t="str">
        <f>"2022027022"</f>
        <v>2022027022</v>
      </c>
      <c r="F152" s="8">
        <v>0</v>
      </c>
      <c r="G152" s="8">
        <v>0</v>
      </c>
      <c r="H152" s="8">
        <v>0</v>
      </c>
      <c r="I152" s="8">
        <v>65</v>
      </c>
      <c r="J152" s="10" t="s">
        <v>13</v>
      </c>
      <c r="K152" s="11" t="s">
        <v>12</v>
      </c>
    </row>
    <row r="153" s="1" customFormat="1" customHeight="1" spans="1:11">
      <c r="A153" s="8" t="str">
        <f t="shared" si="13"/>
        <v>E6F</v>
      </c>
      <c r="B153" s="8" t="s">
        <v>81</v>
      </c>
      <c r="C153" s="8" t="str">
        <f>"周丽"</f>
        <v>周丽</v>
      </c>
      <c r="D153" s="8" t="str">
        <f t="shared" si="12"/>
        <v>女</v>
      </c>
      <c r="E153" s="8" t="str">
        <f>"2022027023"</f>
        <v>2022027023</v>
      </c>
      <c r="F153" s="8">
        <v>0</v>
      </c>
      <c r="G153" s="8">
        <v>0</v>
      </c>
      <c r="H153" s="8">
        <v>0</v>
      </c>
      <c r="I153" s="8">
        <v>65</v>
      </c>
      <c r="J153" s="10" t="s">
        <v>13</v>
      </c>
      <c r="K153" s="11" t="s">
        <v>12</v>
      </c>
    </row>
    <row r="154" s="1" customFormat="1" customHeight="1" spans="1:11">
      <c r="A154" s="8" t="str">
        <f t="shared" si="13"/>
        <v>E6F</v>
      </c>
      <c r="B154" s="8" t="s">
        <v>81</v>
      </c>
      <c r="C154" s="8" t="str">
        <f>"毛香玲"</f>
        <v>毛香玲</v>
      </c>
      <c r="D154" s="8" t="str">
        <f t="shared" ref="D154:D166" si="14">"女"</f>
        <v>女</v>
      </c>
      <c r="E154" s="8" t="str">
        <f>"2022027028"</f>
        <v>2022027028</v>
      </c>
      <c r="F154" s="8">
        <v>0</v>
      </c>
      <c r="G154" s="8">
        <v>0</v>
      </c>
      <c r="H154" s="8">
        <v>0</v>
      </c>
      <c r="I154" s="8">
        <v>65</v>
      </c>
      <c r="J154" s="10" t="s">
        <v>13</v>
      </c>
      <c r="K154" s="11" t="s">
        <v>12</v>
      </c>
    </row>
    <row r="155" s="1" customFormat="1" customHeight="1" spans="1:11">
      <c r="A155" s="8" t="str">
        <f t="shared" si="13"/>
        <v>E6F</v>
      </c>
      <c r="B155" s="8" t="s">
        <v>81</v>
      </c>
      <c r="C155" s="8" t="str">
        <f>"肖静"</f>
        <v>肖静</v>
      </c>
      <c r="D155" s="8" t="str">
        <f t="shared" si="14"/>
        <v>女</v>
      </c>
      <c r="E155" s="8" t="str">
        <f>"2022027104"</f>
        <v>2022027104</v>
      </c>
      <c r="F155" s="8">
        <v>0</v>
      </c>
      <c r="G155" s="8">
        <v>0</v>
      </c>
      <c r="H155" s="8">
        <v>0</v>
      </c>
      <c r="I155" s="8">
        <v>65</v>
      </c>
      <c r="J155" s="10" t="s">
        <v>13</v>
      </c>
      <c r="K155" s="11" t="s">
        <v>12</v>
      </c>
    </row>
    <row r="156" s="1" customFormat="1" customHeight="1" spans="1:11">
      <c r="A156" s="8" t="str">
        <f t="shared" si="13"/>
        <v>E6F</v>
      </c>
      <c r="B156" s="8" t="s">
        <v>81</v>
      </c>
      <c r="C156" s="8" t="str">
        <f>"刘如琴"</f>
        <v>刘如琴</v>
      </c>
      <c r="D156" s="8" t="str">
        <f t="shared" si="14"/>
        <v>女</v>
      </c>
      <c r="E156" s="8" t="str">
        <f>"2022027115"</f>
        <v>2022027115</v>
      </c>
      <c r="F156" s="8">
        <v>0</v>
      </c>
      <c r="G156" s="8">
        <v>0</v>
      </c>
      <c r="H156" s="8">
        <v>0</v>
      </c>
      <c r="I156" s="8">
        <v>65</v>
      </c>
      <c r="J156" s="10" t="s">
        <v>13</v>
      </c>
      <c r="K156" s="11" t="s">
        <v>12</v>
      </c>
    </row>
    <row r="157" s="1" customFormat="1" customHeight="1" spans="1:11">
      <c r="A157" s="8" t="str">
        <f t="shared" si="13"/>
        <v>E6F</v>
      </c>
      <c r="B157" s="8" t="s">
        <v>81</v>
      </c>
      <c r="C157" s="8" t="str">
        <f>"袁丽"</f>
        <v>袁丽</v>
      </c>
      <c r="D157" s="8" t="str">
        <f t="shared" si="14"/>
        <v>女</v>
      </c>
      <c r="E157" s="8" t="str">
        <f>"2022027120"</f>
        <v>2022027120</v>
      </c>
      <c r="F157" s="8">
        <v>0</v>
      </c>
      <c r="G157" s="8">
        <v>0</v>
      </c>
      <c r="H157" s="8">
        <v>0</v>
      </c>
      <c r="I157" s="8">
        <v>65</v>
      </c>
      <c r="J157" s="10" t="s">
        <v>13</v>
      </c>
      <c r="K157" s="11" t="s">
        <v>12</v>
      </c>
    </row>
    <row r="158" s="1" customFormat="1" customHeight="1" spans="1:11">
      <c r="A158" s="8" t="str">
        <f t="shared" si="13"/>
        <v>E6F</v>
      </c>
      <c r="B158" s="8" t="s">
        <v>81</v>
      </c>
      <c r="C158" s="8" t="str">
        <f>"殷炜叶"</f>
        <v>殷炜叶</v>
      </c>
      <c r="D158" s="8" t="str">
        <f t="shared" si="14"/>
        <v>女</v>
      </c>
      <c r="E158" s="8" t="str">
        <f>"2022027124"</f>
        <v>2022027124</v>
      </c>
      <c r="F158" s="8">
        <v>0</v>
      </c>
      <c r="G158" s="8">
        <v>0</v>
      </c>
      <c r="H158" s="8">
        <v>0</v>
      </c>
      <c r="I158" s="8">
        <v>65</v>
      </c>
      <c r="J158" s="10" t="s">
        <v>13</v>
      </c>
      <c r="K158" s="11" t="s">
        <v>12</v>
      </c>
    </row>
    <row r="159" s="1" customFormat="1" customHeight="1" spans="1:11">
      <c r="A159" s="8" t="str">
        <f t="shared" si="13"/>
        <v>E6F</v>
      </c>
      <c r="B159" s="8" t="s">
        <v>81</v>
      </c>
      <c r="C159" s="8" t="str">
        <f>"邓悠泉"</f>
        <v>邓悠泉</v>
      </c>
      <c r="D159" s="8" t="str">
        <f t="shared" si="14"/>
        <v>女</v>
      </c>
      <c r="E159" s="8" t="str">
        <f>"2022027125"</f>
        <v>2022027125</v>
      </c>
      <c r="F159" s="8">
        <v>0</v>
      </c>
      <c r="G159" s="8">
        <v>0</v>
      </c>
      <c r="H159" s="8">
        <v>0</v>
      </c>
      <c r="I159" s="8">
        <v>65</v>
      </c>
      <c r="J159" s="10" t="s">
        <v>13</v>
      </c>
      <c r="K159" s="11" t="s">
        <v>12</v>
      </c>
    </row>
    <row r="160" s="1" customFormat="1" customHeight="1" spans="1:11">
      <c r="A160" s="8" t="str">
        <f t="shared" si="13"/>
        <v>E6F</v>
      </c>
      <c r="B160" s="8" t="s">
        <v>81</v>
      </c>
      <c r="C160" s="8" t="str">
        <f>"钟楠"</f>
        <v>钟楠</v>
      </c>
      <c r="D160" s="8" t="str">
        <f t="shared" si="14"/>
        <v>女</v>
      </c>
      <c r="E160" s="8" t="str">
        <f>"2022027128"</f>
        <v>2022027128</v>
      </c>
      <c r="F160" s="8">
        <v>0</v>
      </c>
      <c r="G160" s="8">
        <v>0</v>
      </c>
      <c r="H160" s="8">
        <v>0</v>
      </c>
      <c r="I160" s="8">
        <v>65</v>
      </c>
      <c r="J160" s="10" t="s">
        <v>13</v>
      </c>
      <c r="K160" s="11" t="s">
        <v>12</v>
      </c>
    </row>
    <row r="161" s="1" customFormat="1" customHeight="1" spans="1:11">
      <c r="A161" s="8" t="str">
        <f t="shared" si="13"/>
        <v>E6F</v>
      </c>
      <c r="B161" s="8" t="s">
        <v>81</v>
      </c>
      <c r="C161" s="8" t="str">
        <f>"董湘辉"</f>
        <v>董湘辉</v>
      </c>
      <c r="D161" s="8" t="str">
        <f t="shared" si="14"/>
        <v>女</v>
      </c>
      <c r="E161" s="8" t="str">
        <f>"2022027130"</f>
        <v>2022027130</v>
      </c>
      <c r="F161" s="8">
        <v>0</v>
      </c>
      <c r="G161" s="8">
        <v>0</v>
      </c>
      <c r="H161" s="8">
        <v>0</v>
      </c>
      <c r="I161" s="8">
        <v>65</v>
      </c>
      <c r="J161" s="10" t="s">
        <v>13</v>
      </c>
      <c r="K161" s="11" t="s">
        <v>12</v>
      </c>
    </row>
    <row r="162" s="1" customFormat="1" customHeight="1" spans="1:11">
      <c r="A162" s="8" t="str">
        <f t="shared" si="13"/>
        <v>E6F</v>
      </c>
      <c r="B162" s="8" t="s">
        <v>81</v>
      </c>
      <c r="C162" s="8" t="str">
        <f>"戴林燚"</f>
        <v>戴林燚</v>
      </c>
      <c r="D162" s="8" t="str">
        <f t="shared" si="14"/>
        <v>女</v>
      </c>
      <c r="E162" s="8" t="str">
        <f>"2022027205"</f>
        <v>2022027205</v>
      </c>
      <c r="F162" s="8">
        <v>0</v>
      </c>
      <c r="G162" s="8">
        <v>0</v>
      </c>
      <c r="H162" s="8">
        <v>0</v>
      </c>
      <c r="I162" s="8">
        <v>65</v>
      </c>
      <c r="J162" s="10" t="s">
        <v>13</v>
      </c>
      <c r="K162" s="11" t="s">
        <v>12</v>
      </c>
    </row>
    <row r="163" s="1" customFormat="1" customHeight="1" spans="1:11">
      <c r="A163" s="8" t="str">
        <f t="shared" si="13"/>
        <v>E6F</v>
      </c>
      <c r="B163" s="8" t="s">
        <v>81</v>
      </c>
      <c r="C163" s="8" t="str">
        <f>"林雪红"</f>
        <v>林雪红</v>
      </c>
      <c r="D163" s="8" t="str">
        <f t="shared" si="14"/>
        <v>女</v>
      </c>
      <c r="E163" s="8" t="str">
        <f>"2022027210"</f>
        <v>2022027210</v>
      </c>
      <c r="F163" s="8">
        <v>0</v>
      </c>
      <c r="G163" s="8">
        <v>0</v>
      </c>
      <c r="H163" s="8">
        <v>0</v>
      </c>
      <c r="I163" s="8">
        <v>65</v>
      </c>
      <c r="J163" s="10" t="s">
        <v>13</v>
      </c>
      <c r="K163" s="11" t="s">
        <v>12</v>
      </c>
    </row>
    <row r="164" s="1" customFormat="1" customHeight="1" spans="1:11">
      <c r="A164" s="8" t="str">
        <f t="shared" si="13"/>
        <v>E6F</v>
      </c>
      <c r="B164" s="8" t="s">
        <v>81</v>
      </c>
      <c r="C164" s="8" t="str">
        <f>"杨艳妮"</f>
        <v>杨艳妮</v>
      </c>
      <c r="D164" s="8" t="str">
        <f t="shared" si="14"/>
        <v>女</v>
      </c>
      <c r="E164" s="8" t="str">
        <f>"2022027211"</f>
        <v>2022027211</v>
      </c>
      <c r="F164" s="8">
        <v>0</v>
      </c>
      <c r="G164" s="8">
        <v>0</v>
      </c>
      <c r="H164" s="8">
        <v>0</v>
      </c>
      <c r="I164" s="8">
        <v>65</v>
      </c>
      <c r="J164" s="10" t="s">
        <v>13</v>
      </c>
      <c r="K164" s="11" t="s">
        <v>12</v>
      </c>
    </row>
    <row r="165" s="1" customFormat="1" customHeight="1" spans="1:11">
      <c r="A165" s="8" t="str">
        <f t="shared" si="13"/>
        <v>E6F</v>
      </c>
      <c r="B165" s="8" t="s">
        <v>81</v>
      </c>
      <c r="C165" s="8" t="str">
        <f>"刘颖"</f>
        <v>刘颖</v>
      </c>
      <c r="D165" s="8" t="str">
        <f t="shared" si="14"/>
        <v>女</v>
      </c>
      <c r="E165" s="8" t="str">
        <f>"2022027213"</f>
        <v>2022027213</v>
      </c>
      <c r="F165" s="8">
        <v>0</v>
      </c>
      <c r="G165" s="8">
        <v>0</v>
      </c>
      <c r="H165" s="8">
        <v>0</v>
      </c>
      <c r="I165" s="8">
        <v>65</v>
      </c>
      <c r="J165" s="10" t="s">
        <v>13</v>
      </c>
      <c r="K165" s="11" t="s">
        <v>12</v>
      </c>
    </row>
    <row r="166" s="1" customFormat="1" customHeight="1" spans="1:11">
      <c r="A166" s="8" t="str">
        <f t="shared" si="13"/>
        <v>E6F</v>
      </c>
      <c r="B166" s="8" t="s">
        <v>81</v>
      </c>
      <c r="C166" s="8" t="str">
        <f>"杨钟琦"</f>
        <v>杨钟琦</v>
      </c>
      <c r="D166" s="8" t="str">
        <f t="shared" si="14"/>
        <v>女</v>
      </c>
      <c r="E166" s="8" t="str">
        <f>"2022027216"</f>
        <v>2022027216</v>
      </c>
      <c r="F166" s="8">
        <v>0</v>
      </c>
      <c r="G166" s="8">
        <v>0</v>
      </c>
      <c r="H166" s="8">
        <v>0</v>
      </c>
      <c r="I166" s="8">
        <v>65</v>
      </c>
      <c r="J166" s="10" t="s">
        <v>13</v>
      </c>
      <c r="K166" s="11" t="s">
        <v>12</v>
      </c>
    </row>
    <row r="167" s="1" customFormat="1" customHeight="1" spans="1:11">
      <c r="A167" s="8" t="str">
        <f t="shared" ref="A167:A177" si="15">"E7F"</f>
        <v>E7F</v>
      </c>
      <c r="B167" s="8" t="s">
        <v>82</v>
      </c>
      <c r="C167" s="8" t="str">
        <f>"尹珣"</f>
        <v>尹珣</v>
      </c>
      <c r="D167" s="8" t="str">
        <f t="shared" ref="D167:D180" si="16">"男"</f>
        <v>男</v>
      </c>
      <c r="E167" s="8" t="str">
        <f>"2022027226"</f>
        <v>2022027226</v>
      </c>
      <c r="F167" s="9">
        <v>76.3</v>
      </c>
      <c r="G167" s="9">
        <v>81</v>
      </c>
      <c r="H167" s="9">
        <v>78.18</v>
      </c>
      <c r="I167" s="9">
        <v>1</v>
      </c>
      <c r="J167" s="10" t="s">
        <v>73</v>
      </c>
      <c r="K167" s="11" t="s">
        <v>11</v>
      </c>
    </row>
    <row r="168" s="1" customFormat="1" customHeight="1" spans="1:11">
      <c r="A168" s="8" t="str">
        <f t="shared" si="15"/>
        <v>E7F</v>
      </c>
      <c r="B168" s="8" t="s">
        <v>82</v>
      </c>
      <c r="C168" s="8" t="str">
        <f>"李勇"</f>
        <v>李勇</v>
      </c>
      <c r="D168" s="8" t="str">
        <f t="shared" si="16"/>
        <v>男</v>
      </c>
      <c r="E168" s="8" t="str">
        <f>"2022027225"</f>
        <v>2022027225</v>
      </c>
      <c r="F168" s="9">
        <v>73.8</v>
      </c>
      <c r="G168" s="9">
        <v>69.5</v>
      </c>
      <c r="H168" s="9">
        <v>72.08</v>
      </c>
      <c r="I168" s="9">
        <v>2</v>
      </c>
      <c r="J168" s="10" t="s">
        <v>73</v>
      </c>
      <c r="K168" s="11" t="s">
        <v>12</v>
      </c>
    </row>
    <row r="169" s="1" customFormat="1" customHeight="1" spans="1:11">
      <c r="A169" s="8" t="str">
        <f t="shared" si="15"/>
        <v>E7F</v>
      </c>
      <c r="B169" s="8" t="s">
        <v>82</v>
      </c>
      <c r="C169" s="8" t="str">
        <f>"王彰浩"</f>
        <v>王彰浩</v>
      </c>
      <c r="D169" s="8" t="str">
        <f t="shared" si="16"/>
        <v>男</v>
      </c>
      <c r="E169" s="8" t="str">
        <f>"2022027222"</f>
        <v>2022027222</v>
      </c>
      <c r="F169" s="9">
        <v>73.4</v>
      </c>
      <c r="G169" s="9">
        <v>69.5</v>
      </c>
      <c r="H169" s="9">
        <v>71.84</v>
      </c>
      <c r="I169" s="9">
        <v>3</v>
      </c>
      <c r="J169" s="10" t="s">
        <v>73</v>
      </c>
      <c r="K169" s="11" t="s">
        <v>12</v>
      </c>
    </row>
    <row r="170" s="1" customFormat="1" customHeight="1" spans="1:11">
      <c r="A170" s="8" t="str">
        <f t="shared" si="15"/>
        <v>E7F</v>
      </c>
      <c r="B170" s="8" t="s">
        <v>82</v>
      </c>
      <c r="C170" s="8" t="str">
        <f>"匡荣华"</f>
        <v>匡荣华</v>
      </c>
      <c r="D170" s="8" t="str">
        <f t="shared" si="16"/>
        <v>男</v>
      </c>
      <c r="E170" s="8" t="str">
        <f>"2022027228"</f>
        <v>2022027228</v>
      </c>
      <c r="F170" s="9">
        <v>69.1</v>
      </c>
      <c r="G170" s="9">
        <v>68</v>
      </c>
      <c r="H170" s="9">
        <v>68.66</v>
      </c>
      <c r="I170" s="9">
        <v>4</v>
      </c>
      <c r="J170" s="10" t="s">
        <v>73</v>
      </c>
      <c r="K170" s="11" t="s">
        <v>12</v>
      </c>
    </row>
    <row r="171" s="1" customFormat="1" customHeight="1" spans="1:11">
      <c r="A171" s="8" t="str">
        <f t="shared" si="15"/>
        <v>E7F</v>
      </c>
      <c r="B171" s="8" t="s">
        <v>82</v>
      </c>
      <c r="C171" s="8" t="str">
        <f>"杨焕"</f>
        <v>杨焕</v>
      </c>
      <c r="D171" s="8" t="str">
        <f t="shared" si="16"/>
        <v>男</v>
      </c>
      <c r="E171" s="8" t="str">
        <f>"2022027220"</f>
        <v>2022027220</v>
      </c>
      <c r="F171" s="9">
        <v>59.6</v>
      </c>
      <c r="G171" s="9">
        <v>54.5</v>
      </c>
      <c r="H171" s="9">
        <v>57.56</v>
      </c>
      <c r="I171" s="9">
        <v>5</v>
      </c>
      <c r="J171" s="10" t="s">
        <v>73</v>
      </c>
      <c r="K171" s="11" t="s">
        <v>12</v>
      </c>
    </row>
    <row r="172" s="1" customFormat="1" customHeight="1" spans="1:11">
      <c r="A172" s="8" t="str">
        <f t="shared" si="15"/>
        <v>E7F</v>
      </c>
      <c r="B172" s="8" t="s">
        <v>82</v>
      </c>
      <c r="C172" s="8" t="str">
        <f>"杨进友"</f>
        <v>杨进友</v>
      </c>
      <c r="D172" s="8" t="str">
        <f t="shared" si="16"/>
        <v>男</v>
      </c>
      <c r="E172" s="8" t="str">
        <f>"2022027224"</f>
        <v>2022027224</v>
      </c>
      <c r="F172" s="9">
        <v>50.3</v>
      </c>
      <c r="G172" s="9">
        <v>67.5</v>
      </c>
      <c r="H172" s="9">
        <v>57.18</v>
      </c>
      <c r="I172" s="9">
        <v>6</v>
      </c>
      <c r="J172" s="10" t="s">
        <v>73</v>
      </c>
      <c r="K172" s="11" t="s">
        <v>12</v>
      </c>
    </row>
    <row r="173" s="1" customFormat="1" customHeight="1" spans="1:11">
      <c r="A173" s="8" t="str">
        <f t="shared" si="15"/>
        <v>E7F</v>
      </c>
      <c r="B173" s="8" t="s">
        <v>82</v>
      </c>
      <c r="C173" s="8" t="str">
        <f>"蒋先明"</f>
        <v>蒋先明</v>
      </c>
      <c r="D173" s="8" t="str">
        <f t="shared" si="16"/>
        <v>男</v>
      </c>
      <c r="E173" s="8" t="str">
        <f>"2022027227"</f>
        <v>2022027227</v>
      </c>
      <c r="F173" s="9">
        <v>53.6</v>
      </c>
      <c r="G173" s="9">
        <v>60</v>
      </c>
      <c r="H173" s="9">
        <v>56.16</v>
      </c>
      <c r="I173" s="9">
        <v>7</v>
      </c>
      <c r="J173" s="10" t="s">
        <v>73</v>
      </c>
      <c r="K173" s="11" t="s">
        <v>12</v>
      </c>
    </row>
    <row r="174" s="1" customFormat="1" customHeight="1" spans="1:11">
      <c r="A174" s="8" t="str">
        <f t="shared" si="15"/>
        <v>E7F</v>
      </c>
      <c r="B174" s="8" t="s">
        <v>82</v>
      </c>
      <c r="C174" s="8" t="str">
        <f>"杨肖文"</f>
        <v>杨肖文</v>
      </c>
      <c r="D174" s="8" t="str">
        <f t="shared" si="16"/>
        <v>男</v>
      </c>
      <c r="E174" s="8" t="str">
        <f>"2022027223"</f>
        <v>2022027223</v>
      </c>
      <c r="F174" s="9">
        <v>45.3</v>
      </c>
      <c r="G174" s="9">
        <v>71.5</v>
      </c>
      <c r="H174" s="9">
        <v>55.78</v>
      </c>
      <c r="I174" s="9">
        <v>8</v>
      </c>
      <c r="J174" s="10" t="s">
        <v>73</v>
      </c>
      <c r="K174" s="11" t="s">
        <v>12</v>
      </c>
    </row>
    <row r="175" s="1" customFormat="1" customHeight="1" spans="1:11">
      <c r="A175" s="8" t="str">
        <f t="shared" si="15"/>
        <v>E7F</v>
      </c>
      <c r="B175" s="8" t="s">
        <v>82</v>
      </c>
      <c r="C175" s="8" t="str">
        <f>"周志东"</f>
        <v>周志东</v>
      </c>
      <c r="D175" s="8" t="str">
        <f t="shared" si="16"/>
        <v>男</v>
      </c>
      <c r="E175" s="8" t="str">
        <f>"2022027230"</f>
        <v>2022027230</v>
      </c>
      <c r="F175" s="9">
        <v>50.2</v>
      </c>
      <c r="G175" s="9">
        <v>55</v>
      </c>
      <c r="H175" s="9">
        <v>52.12</v>
      </c>
      <c r="I175" s="9">
        <v>9</v>
      </c>
      <c r="J175" s="10" t="s">
        <v>73</v>
      </c>
      <c r="K175" s="11" t="s">
        <v>12</v>
      </c>
    </row>
    <row r="176" s="1" customFormat="1" customHeight="1" spans="1:11">
      <c r="A176" s="8" t="str">
        <f t="shared" si="15"/>
        <v>E7F</v>
      </c>
      <c r="B176" s="8" t="s">
        <v>82</v>
      </c>
      <c r="C176" s="8" t="str">
        <f>"钱苏乾"</f>
        <v>钱苏乾</v>
      </c>
      <c r="D176" s="8" t="str">
        <f t="shared" si="16"/>
        <v>男</v>
      </c>
      <c r="E176" s="8" t="str">
        <f>"2022027221"</f>
        <v>2022027221</v>
      </c>
      <c r="F176" s="9">
        <v>0</v>
      </c>
      <c r="G176" s="9">
        <v>0</v>
      </c>
      <c r="H176" s="9">
        <v>0</v>
      </c>
      <c r="I176" s="9">
        <v>10</v>
      </c>
      <c r="J176" s="10" t="s">
        <v>13</v>
      </c>
      <c r="K176" s="11" t="s">
        <v>12</v>
      </c>
    </row>
    <row r="177" s="1" customFormat="1" customHeight="1" spans="1:11">
      <c r="A177" s="8" t="str">
        <f t="shared" si="15"/>
        <v>E7F</v>
      </c>
      <c r="B177" s="8" t="s">
        <v>82</v>
      </c>
      <c r="C177" s="8" t="str">
        <f>"邵晨光"</f>
        <v>邵晨光</v>
      </c>
      <c r="D177" s="8" t="str">
        <f t="shared" si="16"/>
        <v>男</v>
      </c>
      <c r="E177" s="8" t="str">
        <f>"2022027229"</f>
        <v>2022027229</v>
      </c>
      <c r="F177" s="9">
        <v>0</v>
      </c>
      <c r="G177" s="9">
        <v>0</v>
      </c>
      <c r="H177" s="9">
        <v>0</v>
      </c>
      <c r="I177" s="9">
        <v>10</v>
      </c>
      <c r="J177" s="10" t="s">
        <v>13</v>
      </c>
      <c r="K177" s="11" t="s">
        <v>12</v>
      </c>
    </row>
    <row r="178" s="1" customFormat="1" customHeight="1" spans="1:11">
      <c r="A178" s="8" t="str">
        <f t="shared" ref="A178:A191" si="17">"E9F"</f>
        <v>E9F</v>
      </c>
      <c r="B178" s="8" t="s">
        <v>83</v>
      </c>
      <c r="C178" s="8" t="str">
        <f>"龚铭有"</f>
        <v>龚铭有</v>
      </c>
      <c r="D178" s="8" t="str">
        <f t="shared" si="16"/>
        <v>男</v>
      </c>
      <c r="E178" s="8" t="str">
        <f>"2022027908"</f>
        <v>2022027908</v>
      </c>
      <c r="F178" s="9">
        <v>73</v>
      </c>
      <c r="G178" s="9">
        <v>71</v>
      </c>
      <c r="H178" s="9">
        <v>72.2</v>
      </c>
      <c r="I178" s="9">
        <v>1</v>
      </c>
      <c r="J178" s="10" t="s">
        <v>73</v>
      </c>
      <c r="K178" s="11" t="s">
        <v>11</v>
      </c>
    </row>
    <row r="179" s="1" customFormat="1" customHeight="1" spans="1:11">
      <c r="A179" s="8" t="str">
        <f t="shared" si="17"/>
        <v>E9F</v>
      </c>
      <c r="B179" s="8" t="s">
        <v>83</v>
      </c>
      <c r="C179" s="8" t="str">
        <f>"胡焕昕"</f>
        <v>胡焕昕</v>
      </c>
      <c r="D179" s="8" t="str">
        <f t="shared" si="16"/>
        <v>男</v>
      </c>
      <c r="E179" s="8" t="str">
        <f>"2022027909"</f>
        <v>2022027909</v>
      </c>
      <c r="F179" s="9">
        <v>68.2</v>
      </c>
      <c r="G179" s="9">
        <v>78</v>
      </c>
      <c r="H179" s="9">
        <v>72.12</v>
      </c>
      <c r="I179" s="9">
        <v>2</v>
      </c>
      <c r="J179" s="10" t="s">
        <v>73</v>
      </c>
      <c r="K179" s="11" t="s">
        <v>11</v>
      </c>
    </row>
    <row r="180" s="1" customFormat="1" customHeight="1" spans="1:11">
      <c r="A180" s="8" t="str">
        <f t="shared" si="17"/>
        <v>E9F</v>
      </c>
      <c r="B180" s="8" t="s">
        <v>83</v>
      </c>
      <c r="C180" s="8" t="str">
        <f>"成永栋"</f>
        <v>成永栋</v>
      </c>
      <c r="D180" s="8" t="str">
        <f t="shared" si="16"/>
        <v>男</v>
      </c>
      <c r="E180" s="8" t="str">
        <f>"2022027904"</f>
        <v>2022027904</v>
      </c>
      <c r="F180" s="9">
        <v>67.8</v>
      </c>
      <c r="G180" s="9">
        <v>77</v>
      </c>
      <c r="H180" s="9">
        <v>71.48</v>
      </c>
      <c r="I180" s="9">
        <v>3</v>
      </c>
      <c r="J180" s="10" t="s">
        <v>73</v>
      </c>
      <c r="K180" s="11" t="s">
        <v>11</v>
      </c>
    </row>
    <row r="181" s="1" customFormat="1" customHeight="1" spans="1:11">
      <c r="A181" s="8" t="str">
        <f t="shared" si="17"/>
        <v>E9F</v>
      </c>
      <c r="B181" s="8" t="s">
        <v>83</v>
      </c>
      <c r="C181" s="8" t="str">
        <f>"伍潇"</f>
        <v>伍潇</v>
      </c>
      <c r="D181" s="8" t="str">
        <f t="shared" ref="D181:D186" si="18">"女"</f>
        <v>女</v>
      </c>
      <c r="E181" s="8" t="str">
        <f>"2022027914"</f>
        <v>2022027914</v>
      </c>
      <c r="F181" s="9">
        <v>63.4</v>
      </c>
      <c r="G181" s="9">
        <v>82</v>
      </c>
      <c r="H181" s="9">
        <v>70.84</v>
      </c>
      <c r="I181" s="9">
        <v>4</v>
      </c>
      <c r="J181" s="10" t="s">
        <v>73</v>
      </c>
      <c r="K181" s="11" t="s">
        <v>12</v>
      </c>
    </row>
    <row r="182" s="1" customFormat="1" customHeight="1" spans="1:11">
      <c r="A182" s="8" t="str">
        <f t="shared" si="17"/>
        <v>E9F</v>
      </c>
      <c r="B182" s="8" t="s">
        <v>83</v>
      </c>
      <c r="C182" s="8" t="str">
        <f>"龙会胜"</f>
        <v>龙会胜</v>
      </c>
      <c r="D182" s="8" t="str">
        <f>"男"</f>
        <v>男</v>
      </c>
      <c r="E182" s="8" t="str">
        <f>"2022027901"</f>
        <v>2022027901</v>
      </c>
      <c r="F182" s="9">
        <v>64</v>
      </c>
      <c r="G182" s="9">
        <v>79</v>
      </c>
      <c r="H182" s="9">
        <v>70</v>
      </c>
      <c r="I182" s="9">
        <v>5</v>
      </c>
      <c r="J182" s="10" t="s">
        <v>73</v>
      </c>
      <c r="K182" s="11" t="s">
        <v>12</v>
      </c>
    </row>
    <row r="183" s="1" customFormat="1" customHeight="1" spans="1:11">
      <c r="A183" s="8" t="str">
        <f t="shared" si="17"/>
        <v>E9F</v>
      </c>
      <c r="B183" s="8" t="s">
        <v>83</v>
      </c>
      <c r="C183" s="8" t="str">
        <f>"陶小婵"</f>
        <v>陶小婵</v>
      </c>
      <c r="D183" s="8" t="str">
        <f t="shared" si="18"/>
        <v>女</v>
      </c>
      <c r="E183" s="8" t="str">
        <f>"2022027913"</f>
        <v>2022027913</v>
      </c>
      <c r="F183" s="9">
        <v>69.6</v>
      </c>
      <c r="G183" s="9">
        <v>70</v>
      </c>
      <c r="H183" s="9">
        <v>69.76</v>
      </c>
      <c r="I183" s="9">
        <v>6</v>
      </c>
      <c r="J183" s="10" t="s">
        <v>73</v>
      </c>
      <c r="K183" s="11" t="s">
        <v>12</v>
      </c>
    </row>
    <row r="184" s="1" customFormat="1" customHeight="1" spans="1:11">
      <c r="A184" s="8" t="str">
        <f t="shared" si="17"/>
        <v>E9F</v>
      </c>
      <c r="B184" s="8" t="s">
        <v>83</v>
      </c>
      <c r="C184" s="8" t="str">
        <f>"杨玲艳"</f>
        <v>杨玲艳</v>
      </c>
      <c r="D184" s="8" t="str">
        <f t="shared" si="18"/>
        <v>女</v>
      </c>
      <c r="E184" s="8" t="str">
        <f>"2022027906"</f>
        <v>2022027906</v>
      </c>
      <c r="F184" s="9">
        <v>60.8</v>
      </c>
      <c r="G184" s="9">
        <v>80</v>
      </c>
      <c r="H184" s="9">
        <v>68.48</v>
      </c>
      <c r="I184" s="9">
        <v>7</v>
      </c>
      <c r="J184" s="10" t="s">
        <v>73</v>
      </c>
      <c r="K184" s="11" t="s">
        <v>12</v>
      </c>
    </row>
    <row r="185" s="1" customFormat="1" customHeight="1" spans="1:11">
      <c r="A185" s="8" t="str">
        <f t="shared" si="17"/>
        <v>E9F</v>
      </c>
      <c r="B185" s="8" t="s">
        <v>83</v>
      </c>
      <c r="C185" s="8" t="str">
        <f>"戴海艳"</f>
        <v>戴海艳</v>
      </c>
      <c r="D185" s="8" t="str">
        <f t="shared" si="18"/>
        <v>女</v>
      </c>
      <c r="E185" s="8" t="str">
        <f>"2022027910"</f>
        <v>2022027910</v>
      </c>
      <c r="F185" s="9">
        <v>60.8</v>
      </c>
      <c r="G185" s="9">
        <v>77</v>
      </c>
      <c r="H185" s="9">
        <v>67.28</v>
      </c>
      <c r="I185" s="9">
        <v>8</v>
      </c>
      <c r="J185" s="10" t="s">
        <v>73</v>
      </c>
      <c r="K185" s="11" t="s">
        <v>12</v>
      </c>
    </row>
    <row r="186" s="1" customFormat="1" customHeight="1" spans="1:11">
      <c r="A186" s="8" t="str">
        <f t="shared" si="17"/>
        <v>E9F</v>
      </c>
      <c r="B186" s="8" t="s">
        <v>83</v>
      </c>
      <c r="C186" s="8" t="str">
        <f>"唐媛"</f>
        <v>唐媛</v>
      </c>
      <c r="D186" s="8" t="str">
        <f t="shared" si="18"/>
        <v>女</v>
      </c>
      <c r="E186" s="8" t="str">
        <f>"2022027905"</f>
        <v>2022027905</v>
      </c>
      <c r="F186" s="9">
        <v>62.6</v>
      </c>
      <c r="G186" s="9">
        <v>73</v>
      </c>
      <c r="H186" s="9">
        <v>66.76</v>
      </c>
      <c r="I186" s="9">
        <v>9</v>
      </c>
      <c r="J186" s="10" t="s">
        <v>73</v>
      </c>
      <c r="K186" s="11" t="s">
        <v>12</v>
      </c>
    </row>
    <row r="187" s="1" customFormat="1" customHeight="1" spans="1:11">
      <c r="A187" s="8" t="str">
        <f t="shared" si="17"/>
        <v>E9F</v>
      </c>
      <c r="B187" s="8" t="s">
        <v>83</v>
      </c>
      <c r="C187" s="8" t="str">
        <f>"义伟全"</f>
        <v>义伟全</v>
      </c>
      <c r="D187" s="8" t="str">
        <f t="shared" ref="D187:D190" si="19">"男"</f>
        <v>男</v>
      </c>
      <c r="E187" s="8" t="str">
        <f>"2022027907"</f>
        <v>2022027907</v>
      </c>
      <c r="F187" s="9">
        <v>57.6</v>
      </c>
      <c r="G187" s="9">
        <v>78</v>
      </c>
      <c r="H187" s="9">
        <v>65.76</v>
      </c>
      <c r="I187" s="9">
        <v>10</v>
      </c>
      <c r="J187" s="10" t="s">
        <v>73</v>
      </c>
      <c r="K187" s="11" t="s">
        <v>12</v>
      </c>
    </row>
    <row r="188" s="1" customFormat="1" customHeight="1" spans="1:11">
      <c r="A188" s="8" t="str">
        <f t="shared" si="17"/>
        <v>E9F</v>
      </c>
      <c r="B188" s="8" t="s">
        <v>83</v>
      </c>
      <c r="C188" s="8" t="str">
        <f>"方超超"</f>
        <v>方超超</v>
      </c>
      <c r="D188" s="8" t="str">
        <f t="shared" ref="D188:D195" si="20">"女"</f>
        <v>女</v>
      </c>
      <c r="E188" s="8" t="str">
        <f>"2022027912"</f>
        <v>2022027912</v>
      </c>
      <c r="F188" s="9">
        <v>59.6</v>
      </c>
      <c r="G188" s="9">
        <v>70</v>
      </c>
      <c r="H188" s="9">
        <v>63.76</v>
      </c>
      <c r="I188" s="9">
        <v>11</v>
      </c>
      <c r="J188" s="10" t="s">
        <v>73</v>
      </c>
      <c r="K188" s="11" t="s">
        <v>12</v>
      </c>
    </row>
    <row r="189" s="1" customFormat="1" customHeight="1" spans="1:11">
      <c r="A189" s="8" t="str">
        <f t="shared" si="17"/>
        <v>E9F</v>
      </c>
      <c r="B189" s="8" t="s">
        <v>83</v>
      </c>
      <c r="C189" s="8" t="str">
        <f>"陈良发"</f>
        <v>陈良发</v>
      </c>
      <c r="D189" s="8" t="str">
        <f t="shared" si="19"/>
        <v>男</v>
      </c>
      <c r="E189" s="8" t="str">
        <f>"2022027903"</f>
        <v>2022027903</v>
      </c>
      <c r="F189" s="9">
        <v>55.2</v>
      </c>
      <c r="G189" s="9">
        <v>70</v>
      </c>
      <c r="H189" s="9">
        <v>61.12</v>
      </c>
      <c r="I189" s="9">
        <v>12</v>
      </c>
      <c r="J189" s="10" t="s">
        <v>73</v>
      </c>
      <c r="K189" s="11" t="s">
        <v>12</v>
      </c>
    </row>
    <row r="190" s="1" customFormat="1" customHeight="1" spans="1:11">
      <c r="A190" s="8" t="str">
        <f t="shared" si="17"/>
        <v>E9F</v>
      </c>
      <c r="B190" s="8" t="s">
        <v>83</v>
      </c>
      <c r="C190" s="8" t="str">
        <f>"陈明"</f>
        <v>陈明</v>
      </c>
      <c r="D190" s="8" t="str">
        <f t="shared" si="19"/>
        <v>男</v>
      </c>
      <c r="E190" s="8" t="str">
        <f>"2022027902"</f>
        <v>2022027902</v>
      </c>
      <c r="F190" s="9">
        <v>0</v>
      </c>
      <c r="G190" s="9">
        <v>0</v>
      </c>
      <c r="H190" s="9">
        <v>0</v>
      </c>
      <c r="I190" s="9">
        <v>13</v>
      </c>
      <c r="J190" s="10" t="s">
        <v>13</v>
      </c>
      <c r="K190" s="11" t="s">
        <v>12</v>
      </c>
    </row>
    <row r="191" s="1" customFormat="1" customHeight="1" spans="1:11">
      <c r="A191" s="8" t="str">
        <f t="shared" si="17"/>
        <v>E9F</v>
      </c>
      <c r="B191" s="8" t="s">
        <v>83</v>
      </c>
      <c r="C191" s="8" t="str">
        <f>"段菲"</f>
        <v>段菲</v>
      </c>
      <c r="D191" s="8" t="str">
        <f t="shared" si="20"/>
        <v>女</v>
      </c>
      <c r="E191" s="8" t="str">
        <f>"2022027911"</f>
        <v>2022027911</v>
      </c>
      <c r="F191" s="9">
        <v>0</v>
      </c>
      <c r="G191" s="9">
        <v>0</v>
      </c>
      <c r="H191" s="9">
        <v>0</v>
      </c>
      <c r="I191" s="9">
        <v>13</v>
      </c>
      <c r="J191" s="10" t="s">
        <v>13</v>
      </c>
      <c r="K191" s="11" t="s">
        <v>12</v>
      </c>
    </row>
    <row r="192" s="1" customFormat="1" customHeight="1" spans="1:11">
      <c r="A192" s="8" t="str">
        <f t="shared" ref="A192:A198" si="21">"F10G"</f>
        <v>F10G</v>
      </c>
      <c r="B192" s="8" t="s">
        <v>84</v>
      </c>
      <c r="C192" s="8" t="str">
        <f>"张泽丽"</f>
        <v>张泽丽</v>
      </c>
      <c r="D192" s="8" t="str">
        <f t="shared" si="20"/>
        <v>女</v>
      </c>
      <c r="E192" s="8" t="str">
        <f>"2022027602"</f>
        <v>2022027602</v>
      </c>
      <c r="F192" s="9">
        <v>56.8</v>
      </c>
      <c r="G192" s="9">
        <v>51</v>
      </c>
      <c r="H192" s="9">
        <v>54.48</v>
      </c>
      <c r="I192" s="9">
        <v>1</v>
      </c>
      <c r="J192" s="10" t="s">
        <v>73</v>
      </c>
      <c r="K192" s="11" t="s">
        <v>11</v>
      </c>
    </row>
    <row r="193" s="1" customFormat="1" customHeight="1" spans="1:11">
      <c r="A193" s="8" t="str">
        <f t="shared" si="21"/>
        <v>F10G</v>
      </c>
      <c r="B193" s="8" t="s">
        <v>84</v>
      </c>
      <c r="C193" s="8" t="str">
        <f>"姚丽萍"</f>
        <v>姚丽萍</v>
      </c>
      <c r="D193" s="8" t="str">
        <f t="shared" si="20"/>
        <v>女</v>
      </c>
      <c r="E193" s="8" t="str">
        <f>"2022027606"</f>
        <v>2022027606</v>
      </c>
      <c r="F193" s="9">
        <v>44.2</v>
      </c>
      <c r="G193" s="9">
        <v>63</v>
      </c>
      <c r="H193" s="9">
        <v>51.72</v>
      </c>
      <c r="I193" s="9">
        <v>2</v>
      </c>
      <c r="J193" s="10" t="s">
        <v>73</v>
      </c>
      <c r="K193" s="11" t="s">
        <v>12</v>
      </c>
    </row>
    <row r="194" s="1" customFormat="1" customHeight="1" spans="1:11">
      <c r="A194" s="8" t="str">
        <f t="shared" si="21"/>
        <v>F10G</v>
      </c>
      <c r="B194" s="8" t="s">
        <v>84</v>
      </c>
      <c r="C194" s="8" t="str">
        <f>"杨婷"</f>
        <v>杨婷</v>
      </c>
      <c r="D194" s="8" t="str">
        <f t="shared" si="20"/>
        <v>女</v>
      </c>
      <c r="E194" s="8" t="str">
        <f>"2022027604"</f>
        <v>2022027604</v>
      </c>
      <c r="F194" s="9">
        <v>43.9</v>
      </c>
      <c r="G194" s="9">
        <v>62</v>
      </c>
      <c r="H194" s="9">
        <v>51.14</v>
      </c>
      <c r="I194" s="9">
        <v>3</v>
      </c>
      <c r="J194" s="10" t="s">
        <v>73</v>
      </c>
      <c r="K194" s="11" t="s">
        <v>12</v>
      </c>
    </row>
    <row r="195" s="1" customFormat="1" customHeight="1" spans="1:11">
      <c r="A195" s="8" t="str">
        <f t="shared" si="21"/>
        <v>F10G</v>
      </c>
      <c r="B195" s="8" t="s">
        <v>84</v>
      </c>
      <c r="C195" s="8" t="str">
        <f>"张银萍"</f>
        <v>张银萍</v>
      </c>
      <c r="D195" s="8" t="str">
        <f t="shared" si="20"/>
        <v>女</v>
      </c>
      <c r="E195" s="8" t="str">
        <f>"2022027601"</f>
        <v>2022027601</v>
      </c>
      <c r="F195" s="9">
        <v>46.7</v>
      </c>
      <c r="G195" s="9">
        <v>55</v>
      </c>
      <c r="H195" s="9">
        <v>50.02</v>
      </c>
      <c r="I195" s="9">
        <v>4</v>
      </c>
      <c r="J195" s="10" t="s">
        <v>73</v>
      </c>
      <c r="K195" s="11" t="s">
        <v>12</v>
      </c>
    </row>
    <row r="196" s="1" customFormat="1" customHeight="1" spans="1:11">
      <c r="A196" s="8" t="str">
        <f t="shared" si="21"/>
        <v>F10G</v>
      </c>
      <c r="B196" s="8" t="s">
        <v>84</v>
      </c>
      <c r="C196" s="8" t="str">
        <f>" 龙景晖"</f>
        <v> 龙景晖</v>
      </c>
      <c r="D196" s="8" t="str">
        <f>"男"</f>
        <v>男</v>
      </c>
      <c r="E196" s="8" t="str">
        <f>"2022027605"</f>
        <v>2022027605</v>
      </c>
      <c r="F196" s="9">
        <v>41.1</v>
      </c>
      <c r="G196" s="9">
        <v>63</v>
      </c>
      <c r="H196" s="9">
        <v>49.86</v>
      </c>
      <c r="I196" s="9">
        <v>5</v>
      </c>
      <c r="J196" s="10" t="s">
        <v>73</v>
      </c>
      <c r="K196" s="11" t="s">
        <v>12</v>
      </c>
    </row>
    <row r="197" s="1" customFormat="1" customHeight="1" spans="1:11">
      <c r="A197" s="8" t="str">
        <f t="shared" si="21"/>
        <v>F10G</v>
      </c>
      <c r="B197" s="8" t="s">
        <v>84</v>
      </c>
      <c r="C197" s="8" t="str">
        <f>"谢开元"</f>
        <v>谢开元</v>
      </c>
      <c r="D197" s="8" t="str">
        <f>"男"</f>
        <v>男</v>
      </c>
      <c r="E197" s="8" t="str">
        <f>"2022027607"</f>
        <v>2022027607</v>
      </c>
      <c r="F197" s="9">
        <v>24.1</v>
      </c>
      <c r="G197" s="9">
        <v>61.5</v>
      </c>
      <c r="H197" s="9">
        <v>39.06</v>
      </c>
      <c r="I197" s="9">
        <v>6</v>
      </c>
      <c r="J197" s="10" t="s">
        <v>73</v>
      </c>
      <c r="K197" s="11" t="s">
        <v>12</v>
      </c>
    </row>
    <row r="198" s="1" customFormat="1" customHeight="1" spans="1:11">
      <c r="A198" s="8" t="str">
        <f t="shared" si="21"/>
        <v>F10G</v>
      </c>
      <c r="B198" s="8" t="s">
        <v>84</v>
      </c>
      <c r="C198" s="8" t="str">
        <f>"蒋怡慧"</f>
        <v>蒋怡慧</v>
      </c>
      <c r="D198" s="8" t="str">
        <f t="shared" ref="D198:D203" si="22">"女"</f>
        <v>女</v>
      </c>
      <c r="E198" s="8" t="str">
        <f>"2022027603"</f>
        <v>2022027603</v>
      </c>
      <c r="F198" s="9">
        <v>25.4</v>
      </c>
      <c r="G198" s="9">
        <v>59</v>
      </c>
      <c r="H198" s="9">
        <v>38.84</v>
      </c>
      <c r="I198" s="9">
        <v>7</v>
      </c>
      <c r="J198" s="10" t="s">
        <v>73</v>
      </c>
      <c r="K198" s="11" t="s">
        <v>12</v>
      </c>
    </row>
    <row r="199" s="1" customFormat="1" customHeight="1" spans="1:11">
      <c r="A199" s="8" t="str">
        <f t="shared" ref="A199:A221" si="23">"F11F"</f>
        <v>F11F</v>
      </c>
      <c r="B199" s="8" t="s">
        <v>85</v>
      </c>
      <c r="C199" s="8" t="str">
        <f>"陈正红"</f>
        <v>陈正红</v>
      </c>
      <c r="D199" s="8" t="str">
        <f t="shared" si="22"/>
        <v>女</v>
      </c>
      <c r="E199" s="8" t="str">
        <f>"2022027618"</f>
        <v>2022027618</v>
      </c>
      <c r="F199" s="9">
        <v>63.4</v>
      </c>
      <c r="G199" s="9">
        <v>79</v>
      </c>
      <c r="H199" s="9">
        <v>69.64</v>
      </c>
      <c r="I199" s="9">
        <v>1</v>
      </c>
      <c r="J199" s="10" t="s">
        <v>73</v>
      </c>
      <c r="K199" s="11" t="s">
        <v>11</v>
      </c>
    </row>
    <row r="200" s="1" customFormat="1" customHeight="1" spans="1:11">
      <c r="A200" s="8" t="str">
        <f t="shared" si="23"/>
        <v>F11F</v>
      </c>
      <c r="B200" s="8" t="s">
        <v>85</v>
      </c>
      <c r="C200" s="8" t="str">
        <f>"杨倩"</f>
        <v>杨倩</v>
      </c>
      <c r="D200" s="8" t="str">
        <f t="shared" si="22"/>
        <v>女</v>
      </c>
      <c r="E200" s="8" t="str">
        <f>"2022027608"</f>
        <v>2022027608</v>
      </c>
      <c r="F200" s="9">
        <v>62.2</v>
      </c>
      <c r="G200" s="9">
        <v>72.5</v>
      </c>
      <c r="H200" s="9">
        <v>66.32</v>
      </c>
      <c r="I200" s="9">
        <v>2</v>
      </c>
      <c r="J200" s="10" t="s">
        <v>73</v>
      </c>
      <c r="K200" s="11" t="s">
        <v>12</v>
      </c>
    </row>
    <row r="201" s="1" customFormat="1" customHeight="1" spans="1:11">
      <c r="A201" s="8" t="str">
        <f t="shared" si="23"/>
        <v>F11F</v>
      </c>
      <c r="B201" s="8" t="s">
        <v>85</v>
      </c>
      <c r="C201" s="8" t="str">
        <f>"杨美红"</f>
        <v>杨美红</v>
      </c>
      <c r="D201" s="8" t="str">
        <f t="shared" si="22"/>
        <v>女</v>
      </c>
      <c r="E201" s="8" t="str">
        <f>"2022027622"</f>
        <v>2022027622</v>
      </c>
      <c r="F201" s="9">
        <v>58.2</v>
      </c>
      <c r="G201" s="9">
        <v>73</v>
      </c>
      <c r="H201" s="9">
        <v>64.12</v>
      </c>
      <c r="I201" s="9">
        <v>3</v>
      </c>
      <c r="J201" s="10" t="s">
        <v>73</v>
      </c>
      <c r="K201" s="11" t="s">
        <v>12</v>
      </c>
    </row>
    <row r="202" s="1" customFormat="1" customHeight="1" spans="1:11">
      <c r="A202" s="8" t="str">
        <f t="shared" si="23"/>
        <v>F11F</v>
      </c>
      <c r="B202" s="8" t="s">
        <v>85</v>
      </c>
      <c r="C202" s="8" t="str">
        <f>"黄金燕"</f>
        <v>黄金燕</v>
      </c>
      <c r="D202" s="8" t="str">
        <f t="shared" si="22"/>
        <v>女</v>
      </c>
      <c r="E202" s="8" t="str">
        <f>"2022027619"</f>
        <v>2022027619</v>
      </c>
      <c r="F202" s="9">
        <v>49.2</v>
      </c>
      <c r="G202" s="9">
        <v>74.5</v>
      </c>
      <c r="H202" s="9">
        <v>59.32</v>
      </c>
      <c r="I202" s="9">
        <v>4</v>
      </c>
      <c r="J202" s="10" t="s">
        <v>73</v>
      </c>
      <c r="K202" s="11" t="s">
        <v>12</v>
      </c>
    </row>
    <row r="203" s="1" customFormat="1" customHeight="1" spans="1:11">
      <c r="A203" s="8" t="str">
        <f t="shared" si="23"/>
        <v>F11F</v>
      </c>
      <c r="B203" s="8" t="s">
        <v>85</v>
      </c>
      <c r="C203" s="8" t="str">
        <f>"龙青云"</f>
        <v>龙青云</v>
      </c>
      <c r="D203" s="8" t="str">
        <f t="shared" si="22"/>
        <v>女</v>
      </c>
      <c r="E203" s="8" t="str">
        <f>"2022027609"</f>
        <v>2022027609</v>
      </c>
      <c r="F203" s="9">
        <v>49.6</v>
      </c>
      <c r="G203" s="9">
        <v>61</v>
      </c>
      <c r="H203" s="9">
        <v>54.16</v>
      </c>
      <c r="I203" s="9">
        <v>5</v>
      </c>
      <c r="J203" s="10" t="s">
        <v>73</v>
      </c>
      <c r="K203" s="11" t="s">
        <v>12</v>
      </c>
    </row>
    <row r="204" s="1" customFormat="1" customHeight="1" spans="1:11">
      <c r="A204" s="8" t="str">
        <f t="shared" si="23"/>
        <v>F11F</v>
      </c>
      <c r="B204" s="8" t="s">
        <v>85</v>
      </c>
      <c r="C204" s="8" t="str">
        <f>"肖辉湖"</f>
        <v>肖辉湖</v>
      </c>
      <c r="D204" s="8" t="str">
        <f>"男"</f>
        <v>男</v>
      </c>
      <c r="E204" s="8" t="str">
        <f>"2022027630"</f>
        <v>2022027630</v>
      </c>
      <c r="F204" s="9">
        <v>39.8</v>
      </c>
      <c r="G204" s="9">
        <v>63.6</v>
      </c>
      <c r="H204" s="9">
        <v>49.32</v>
      </c>
      <c r="I204" s="9">
        <v>6</v>
      </c>
      <c r="J204" s="10" t="s">
        <v>73</v>
      </c>
      <c r="K204" s="11" t="s">
        <v>12</v>
      </c>
    </row>
    <row r="205" s="1" customFormat="1" customHeight="1" spans="1:11">
      <c r="A205" s="8" t="str">
        <f t="shared" si="23"/>
        <v>F11F</v>
      </c>
      <c r="B205" s="8" t="s">
        <v>85</v>
      </c>
      <c r="C205" s="8" t="str">
        <f>"曾纪焱"</f>
        <v>曾纪焱</v>
      </c>
      <c r="D205" s="8" t="str">
        <f t="shared" ref="D205:D216" si="24">"女"</f>
        <v>女</v>
      </c>
      <c r="E205" s="8" t="str">
        <f>"2022027629"</f>
        <v>2022027629</v>
      </c>
      <c r="F205" s="9">
        <v>43.8</v>
      </c>
      <c r="G205" s="9">
        <v>52</v>
      </c>
      <c r="H205" s="9">
        <v>47.08</v>
      </c>
      <c r="I205" s="9">
        <v>7</v>
      </c>
      <c r="J205" s="10" t="s">
        <v>73</v>
      </c>
      <c r="K205" s="11" t="s">
        <v>12</v>
      </c>
    </row>
    <row r="206" s="1" customFormat="1" customHeight="1" spans="1:11">
      <c r="A206" s="8" t="str">
        <f t="shared" si="23"/>
        <v>F11F</v>
      </c>
      <c r="B206" s="8" t="s">
        <v>85</v>
      </c>
      <c r="C206" s="8" t="str">
        <f>"张楚钥"</f>
        <v>张楚钥</v>
      </c>
      <c r="D206" s="8" t="str">
        <f t="shared" si="24"/>
        <v>女</v>
      </c>
      <c r="E206" s="8" t="str">
        <f>"2022027616"</f>
        <v>2022027616</v>
      </c>
      <c r="F206" s="9">
        <v>38.6</v>
      </c>
      <c r="G206" s="9">
        <v>58.4</v>
      </c>
      <c r="H206" s="9">
        <v>46.52</v>
      </c>
      <c r="I206" s="9">
        <v>8</v>
      </c>
      <c r="J206" s="10" t="s">
        <v>73</v>
      </c>
      <c r="K206" s="11" t="s">
        <v>12</v>
      </c>
    </row>
    <row r="207" s="1" customFormat="1" customHeight="1" spans="1:11">
      <c r="A207" s="8" t="str">
        <f t="shared" si="23"/>
        <v>F11F</v>
      </c>
      <c r="B207" s="8" t="s">
        <v>85</v>
      </c>
      <c r="C207" s="8" t="str">
        <f>"杨路峣"</f>
        <v>杨路峣</v>
      </c>
      <c r="D207" s="8" t="str">
        <f>"男"</f>
        <v>男</v>
      </c>
      <c r="E207" s="8" t="str">
        <f>"2022027617"</f>
        <v>2022027617</v>
      </c>
      <c r="F207" s="9">
        <v>32.8</v>
      </c>
      <c r="G207" s="9">
        <v>62</v>
      </c>
      <c r="H207" s="9">
        <v>44.48</v>
      </c>
      <c r="I207" s="9">
        <v>9</v>
      </c>
      <c r="J207" s="10" t="s">
        <v>73</v>
      </c>
      <c r="K207" s="11" t="s">
        <v>12</v>
      </c>
    </row>
    <row r="208" s="1" customFormat="1" customHeight="1" spans="1:11">
      <c r="A208" s="8" t="str">
        <f t="shared" si="23"/>
        <v>F11F</v>
      </c>
      <c r="B208" s="8" t="s">
        <v>85</v>
      </c>
      <c r="C208" s="8" t="str">
        <f>"肖洋"</f>
        <v>肖洋</v>
      </c>
      <c r="D208" s="8" t="str">
        <f t="shared" si="24"/>
        <v>女</v>
      </c>
      <c r="E208" s="8" t="str">
        <f>"2022027613"</f>
        <v>2022027613</v>
      </c>
      <c r="F208" s="9">
        <v>41</v>
      </c>
      <c r="G208" s="9">
        <v>44.8</v>
      </c>
      <c r="H208" s="9">
        <v>42.52</v>
      </c>
      <c r="I208" s="9">
        <v>10</v>
      </c>
      <c r="J208" s="10" t="s">
        <v>73</v>
      </c>
      <c r="K208" s="11" t="s">
        <v>12</v>
      </c>
    </row>
    <row r="209" s="1" customFormat="1" customHeight="1" spans="1:11">
      <c r="A209" s="8" t="str">
        <f t="shared" si="23"/>
        <v>F11F</v>
      </c>
      <c r="B209" s="8" t="s">
        <v>85</v>
      </c>
      <c r="C209" s="8" t="str">
        <f>"兰明婷"</f>
        <v>兰明婷</v>
      </c>
      <c r="D209" s="8" t="str">
        <f t="shared" si="24"/>
        <v>女</v>
      </c>
      <c r="E209" s="8" t="str">
        <f>"2022027623"</f>
        <v>2022027623</v>
      </c>
      <c r="F209" s="9">
        <v>34</v>
      </c>
      <c r="G209" s="9">
        <v>53.6</v>
      </c>
      <c r="H209" s="9">
        <v>41.84</v>
      </c>
      <c r="I209" s="9">
        <v>11</v>
      </c>
      <c r="J209" s="10" t="s">
        <v>73</v>
      </c>
      <c r="K209" s="11" t="s">
        <v>12</v>
      </c>
    </row>
    <row r="210" s="1" customFormat="1" customHeight="1" spans="1:11">
      <c r="A210" s="8" t="str">
        <f t="shared" si="23"/>
        <v>F11F</v>
      </c>
      <c r="B210" s="8" t="s">
        <v>85</v>
      </c>
      <c r="C210" s="8" t="str">
        <f>"覃小红"</f>
        <v>覃小红</v>
      </c>
      <c r="D210" s="8" t="str">
        <f t="shared" si="24"/>
        <v>女</v>
      </c>
      <c r="E210" s="8" t="str">
        <f>"2022027628"</f>
        <v>2022027628</v>
      </c>
      <c r="F210" s="9">
        <v>41</v>
      </c>
      <c r="G210" s="9">
        <v>43</v>
      </c>
      <c r="H210" s="9">
        <v>41.8</v>
      </c>
      <c r="I210" s="9">
        <v>12</v>
      </c>
      <c r="J210" s="10" t="s">
        <v>73</v>
      </c>
      <c r="K210" s="11" t="s">
        <v>12</v>
      </c>
    </row>
    <row r="211" s="1" customFormat="1" customHeight="1" spans="1:11">
      <c r="A211" s="8" t="str">
        <f t="shared" si="23"/>
        <v>F11F</v>
      </c>
      <c r="B211" s="8" t="s">
        <v>85</v>
      </c>
      <c r="C211" s="8" t="str">
        <f>"刘欣"</f>
        <v>刘欣</v>
      </c>
      <c r="D211" s="8" t="str">
        <f t="shared" si="24"/>
        <v>女</v>
      </c>
      <c r="E211" s="8" t="str">
        <f>"2022027611"</f>
        <v>2022027611</v>
      </c>
      <c r="F211" s="9">
        <v>37</v>
      </c>
      <c r="G211" s="9">
        <v>47</v>
      </c>
      <c r="H211" s="9">
        <v>41</v>
      </c>
      <c r="I211" s="9">
        <v>13</v>
      </c>
      <c r="J211" s="10" t="s">
        <v>73</v>
      </c>
      <c r="K211" s="11" t="s">
        <v>12</v>
      </c>
    </row>
    <row r="212" s="1" customFormat="1" customHeight="1" spans="1:11">
      <c r="A212" s="8" t="str">
        <f t="shared" si="23"/>
        <v>F11F</v>
      </c>
      <c r="B212" s="8" t="s">
        <v>85</v>
      </c>
      <c r="C212" s="8" t="str">
        <f>"杨婷"</f>
        <v>杨婷</v>
      </c>
      <c r="D212" s="8" t="str">
        <f t="shared" si="24"/>
        <v>女</v>
      </c>
      <c r="E212" s="8" t="str">
        <f>"2022027615"</f>
        <v>2022027615</v>
      </c>
      <c r="F212" s="9">
        <v>37</v>
      </c>
      <c r="G212" s="9">
        <v>46</v>
      </c>
      <c r="H212" s="9">
        <v>40.6</v>
      </c>
      <c r="I212" s="9">
        <v>14</v>
      </c>
      <c r="J212" s="10" t="s">
        <v>73</v>
      </c>
      <c r="K212" s="11" t="s">
        <v>12</v>
      </c>
    </row>
    <row r="213" s="1" customFormat="1" customHeight="1" spans="1:11">
      <c r="A213" s="8" t="str">
        <f t="shared" si="23"/>
        <v>F11F</v>
      </c>
      <c r="B213" s="8" t="s">
        <v>85</v>
      </c>
      <c r="C213" s="8" t="str">
        <f>"杨桂兰"</f>
        <v>杨桂兰</v>
      </c>
      <c r="D213" s="8" t="str">
        <f t="shared" si="24"/>
        <v>女</v>
      </c>
      <c r="E213" s="8" t="str">
        <f>"2022027620"</f>
        <v>2022027620</v>
      </c>
      <c r="F213" s="9">
        <v>42.4</v>
      </c>
      <c r="G213" s="9">
        <v>37.5</v>
      </c>
      <c r="H213" s="9">
        <v>40.44</v>
      </c>
      <c r="I213" s="9">
        <v>15</v>
      </c>
      <c r="J213" s="10" t="s">
        <v>73</v>
      </c>
      <c r="K213" s="11" t="s">
        <v>12</v>
      </c>
    </row>
    <row r="214" s="1" customFormat="1" customHeight="1" spans="1:11">
      <c r="A214" s="8" t="str">
        <f t="shared" si="23"/>
        <v>F11F</v>
      </c>
      <c r="B214" s="8" t="s">
        <v>85</v>
      </c>
      <c r="C214" s="8" t="str">
        <f>"杨巧羽"</f>
        <v>杨巧羽</v>
      </c>
      <c r="D214" s="8" t="str">
        <f t="shared" si="24"/>
        <v>女</v>
      </c>
      <c r="E214" s="8" t="str">
        <f>"2022027612"</f>
        <v>2022027612</v>
      </c>
      <c r="F214" s="9">
        <v>28.4</v>
      </c>
      <c r="G214" s="9">
        <v>56.8</v>
      </c>
      <c r="H214" s="9">
        <v>39.76</v>
      </c>
      <c r="I214" s="9">
        <v>16</v>
      </c>
      <c r="J214" s="10" t="s">
        <v>73</v>
      </c>
      <c r="K214" s="11" t="s">
        <v>12</v>
      </c>
    </row>
    <row r="215" s="1" customFormat="1" customHeight="1" spans="1:11">
      <c r="A215" s="8" t="str">
        <f t="shared" si="23"/>
        <v>F11F</v>
      </c>
      <c r="B215" s="8" t="s">
        <v>85</v>
      </c>
      <c r="C215" s="8" t="str">
        <f>"阮月红"</f>
        <v>阮月红</v>
      </c>
      <c r="D215" s="8" t="str">
        <f t="shared" si="24"/>
        <v>女</v>
      </c>
      <c r="E215" s="8" t="str">
        <f>"2022027626"</f>
        <v>2022027626</v>
      </c>
      <c r="F215" s="9">
        <v>34.2</v>
      </c>
      <c r="G215" s="9">
        <v>45.6</v>
      </c>
      <c r="H215" s="9">
        <v>38.76</v>
      </c>
      <c r="I215" s="9">
        <v>17</v>
      </c>
      <c r="J215" s="10" t="s">
        <v>73</v>
      </c>
      <c r="K215" s="11" t="s">
        <v>12</v>
      </c>
    </row>
    <row r="216" s="1" customFormat="1" customHeight="1" spans="1:11">
      <c r="A216" s="8" t="str">
        <f t="shared" si="23"/>
        <v>F11F</v>
      </c>
      <c r="B216" s="8" t="s">
        <v>85</v>
      </c>
      <c r="C216" s="8" t="str">
        <f>"关雯倩"</f>
        <v>关雯倩</v>
      </c>
      <c r="D216" s="8" t="str">
        <f t="shared" si="24"/>
        <v>女</v>
      </c>
      <c r="E216" s="8" t="str">
        <f>"2022027624"</f>
        <v>2022027624</v>
      </c>
      <c r="F216" s="9">
        <v>31.4</v>
      </c>
      <c r="G216" s="9">
        <v>49.5</v>
      </c>
      <c r="H216" s="9">
        <v>38.64</v>
      </c>
      <c r="I216" s="9">
        <v>18</v>
      </c>
      <c r="J216" s="10" t="s">
        <v>73</v>
      </c>
      <c r="K216" s="11" t="s">
        <v>12</v>
      </c>
    </row>
    <row r="217" s="1" customFormat="1" customHeight="1" spans="1:11">
      <c r="A217" s="8" t="str">
        <f t="shared" si="23"/>
        <v>F11F</v>
      </c>
      <c r="B217" s="8" t="s">
        <v>85</v>
      </c>
      <c r="C217" s="8" t="str">
        <f>"丁俊杰"</f>
        <v>丁俊杰</v>
      </c>
      <c r="D217" s="8" t="str">
        <f>"男"</f>
        <v>男</v>
      </c>
      <c r="E217" s="8" t="str">
        <f>"2022027627"</f>
        <v>2022027627</v>
      </c>
      <c r="F217" s="9">
        <v>25.4</v>
      </c>
      <c r="G217" s="9">
        <v>50</v>
      </c>
      <c r="H217" s="9">
        <v>35.24</v>
      </c>
      <c r="I217" s="9">
        <v>19</v>
      </c>
      <c r="J217" s="10" t="s">
        <v>73</v>
      </c>
      <c r="K217" s="11" t="s">
        <v>12</v>
      </c>
    </row>
    <row r="218" s="1" customFormat="1" customHeight="1" spans="1:11">
      <c r="A218" s="8" t="str">
        <f t="shared" si="23"/>
        <v>F11F</v>
      </c>
      <c r="B218" s="8" t="s">
        <v>85</v>
      </c>
      <c r="C218" s="8" t="str">
        <f>"肖佘燕"</f>
        <v>肖佘燕</v>
      </c>
      <c r="D218" s="8" t="str">
        <f t="shared" ref="D218:D221" si="25">"女"</f>
        <v>女</v>
      </c>
      <c r="E218" s="8" t="str">
        <f>"2022027614"</f>
        <v>2022027614</v>
      </c>
      <c r="F218" s="9">
        <v>30.8</v>
      </c>
      <c r="G218" s="9">
        <v>40</v>
      </c>
      <c r="H218" s="9">
        <v>34.48</v>
      </c>
      <c r="I218" s="9">
        <v>20</v>
      </c>
      <c r="J218" s="10" t="s">
        <v>73</v>
      </c>
      <c r="K218" s="11" t="s">
        <v>12</v>
      </c>
    </row>
    <row r="219" s="1" customFormat="1" customHeight="1" spans="1:11">
      <c r="A219" s="8" t="str">
        <f t="shared" si="23"/>
        <v>F11F</v>
      </c>
      <c r="B219" s="8" t="s">
        <v>85</v>
      </c>
      <c r="C219" s="8" t="str">
        <f>"唐蜜"</f>
        <v>唐蜜</v>
      </c>
      <c r="D219" s="8" t="str">
        <f t="shared" si="25"/>
        <v>女</v>
      </c>
      <c r="E219" s="8" t="str">
        <f>"2022027625"</f>
        <v>2022027625</v>
      </c>
      <c r="F219" s="9">
        <v>32.6</v>
      </c>
      <c r="G219" s="9">
        <v>29</v>
      </c>
      <c r="H219" s="9">
        <v>31.16</v>
      </c>
      <c r="I219" s="9">
        <v>21</v>
      </c>
      <c r="J219" s="10" t="s">
        <v>73</v>
      </c>
      <c r="K219" s="11" t="s">
        <v>12</v>
      </c>
    </row>
    <row r="220" s="1" customFormat="1" customHeight="1" spans="1:11">
      <c r="A220" s="8" t="str">
        <f t="shared" si="23"/>
        <v>F11F</v>
      </c>
      <c r="B220" s="8" t="s">
        <v>85</v>
      </c>
      <c r="C220" s="8" t="str">
        <f>"张陈梅"</f>
        <v>张陈梅</v>
      </c>
      <c r="D220" s="8" t="str">
        <f t="shared" si="25"/>
        <v>女</v>
      </c>
      <c r="E220" s="8" t="str">
        <f>"2022027610"</f>
        <v>2022027610</v>
      </c>
      <c r="F220" s="9">
        <v>21.4</v>
      </c>
      <c r="G220" s="9">
        <v>29.5</v>
      </c>
      <c r="H220" s="9">
        <v>24.64</v>
      </c>
      <c r="I220" s="9">
        <v>22</v>
      </c>
      <c r="J220" s="10" t="s">
        <v>73</v>
      </c>
      <c r="K220" s="11" t="s">
        <v>12</v>
      </c>
    </row>
    <row r="221" s="1" customFormat="1" customHeight="1" spans="1:11">
      <c r="A221" s="8" t="str">
        <f t="shared" si="23"/>
        <v>F11F</v>
      </c>
      <c r="B221" s="8" t="s">
        <v>85</v>
      </c>
      <c r="C221" s="8" t="str">
        <f>"杨玲"</f>
        <v>杨玲</v>
      </c>
      <c r="D221" s="8" t="str">
        <f t="shared" si="25"/>
        <v>女</v>
      </c>
      <c r="E221" s="8" t="str">
        <f>"2022027621"</f>
        <v>2022027621</v>
      </c>
      <c r="F221" s="9">
        <v>0</v>
      </c>
      <c r="G221" s="9">
        <v>0</v>
      </c>
      <c r="H221" s="9">
        <v>0</v>
      </c>
      <c r="I221" s="9">
        <v>23</v>
      </c>
      <c r="J221" s="10" t="s">
        <v>13</v>
      </c>
      <c r="K221" s="11" t="s">
        <v>12</v>
      </c>
    </row>
    <row r="222" s="1" customFormat="1" customHeight="1" spans="1:11">
      <c r="A222" s="8" t="s">
        <v>86</v>
      </c>
      <c r="B222" s="8" t="s">
        <v>87</v>
      </c>
      <c r="C222" s="8" t="s">
        <v>88</v>
      </c>
      <c r="D222" s="8" t="s">
        <v>89</v>
      </c>
      <c r="E222" s="8" t="s">
        <v>90</v>
      </c>
      <c r="F222" s="9">
        <v>76.3</v>
      </c>
      <c r="G222" s="9">
        <v>73</v>
      </c>
      <c r="H222" s="9">
        <v>74.98</v>
      </c>
      <c r="I222" s="9">
        <v>1</v>
      </c>
      <c r="J222" s="10" t="s">
        <v>73</v>
      </c>
      <c r="K222" s="11" t="s">
        <v>11</v>
      </c>
    </row>
    <row r="223" s="1" customFormat="1" customHeight="1" spans="1:11">
      <c r="A223" s="8" t="s">
        <v>86</v>
      </c>
      <c r="B223" s="8" t="s">
        <v>87</v>
      </c>
      <c r="C223" s="8" t="s">
        <v>91</v>
      </c>
      <c r="D223" s="8" t="s">
        <v>89</v>
      </c>
      <c r="E223" s="8" t="s">
        <v>92</v>
      </c>
      <c r="F223" s="9">
        <v>67</v>
      </c>
      <c r="G223" s="9">
        <v>82.5</v>
      </c>
      <c r="H223" s="9">
        <v>73.2</v>
      </c>
      <c r="I223" s="9">
        <v>2</v>
      </c>
      <c r="J223" s="10" t="s">
        <v>73</v>
      </c>
      <c r="K223" s="11" t="s">
        <v>11</v>
      </c>
    </row>
    <row r="224" s="1" customFormat="1" customHeight="1" spans="1:11">
      <c r="A224" s="8" t="s">
        <v>86</v>
      </c>
      <c r="B224" s="8" t="s">
        <v>87</v>
      </c>
      <c r="C224" s="8" t="s">
        <v>93</v>
      </c>
      <c r="D224" s="8" t="s">
        <v>89</v>
      </c>
      <c r="E224" s="8" t="s">
        <v>94</v>
      </c>
      <c r="F224" s="9">
        <v>65.2</v>
      </c>
      <c r="G224" s="9">
        <v>80.5</v>
      </c>
      <c r="H224" s="9">
        <v>71.32</v>
      </c>
      <c r="I224" s="9">
        <v>3</v>
      </c>
      <c r="J224" s="10" t="s">
        <v>73</v>
      </c>
      <c r="K224" s="11" t="s">
        <v>12</v>
      </c>
    </row>
    <row r="225" s="1" customFormat="1" customHeight="1" spans="1:11">
      <c r="A225" s="8" t="s">
        <v>86</v>
      </c>
      <c r="B225" s="8" t="s">
        <v>87</v>
      </c>
      <c r="C225" s="8" t="s">
        <v>95</v>
      </c>
      <c r="D225" s="8" t="s">
        <v>89</v>
      </c>
      <c r="E225" s="8" t="s">
        <v>96</v>
      </c>
      <c r="F225" s="9">
        <v>68</v>
      </c>
      <c r="G225" s="9">
        <v>76</v>
      </c>
      <c r="H225" s="9">
        <v>71.2</v>
      </c>
      <c r="I225" s="9">
        <v>4</v>
      </c>
      <c r="J225" s="10" t="s">
        <v>73</v>
      </c>
      <c r="K225" s="11" t="s">
        <v>12</v>
      </c>
    </row>
    <row r="226" s="1" customFormat="1" customHeight="1" spans="1:11">
      <c r="A226" s="8" t="s">
        <v>86</v>
      </c>
      <c r="B226" s="8" t="s">
        <v>87</v>
      </c>
      <c r="C226" s="8" t="s">
        <v>97</v>
      </c>
      <c r="D226" s="8" t="s">
        <v>89</v>
      </c>
      <c r="E226" s="8" t="s">
        <v>98</v>
      </c>
      <c r="F226" s="9">
        <v>69.1</v>
      </c>
      <c r="G226" s="9">
        <v>70.5</v>
      </c>
      <c r="H226" s="9">
        <v>69.66</v>
      </c>
      <c r="I226" s="9">
        <v>5</v>
      </c>
      <c r="J226" s="10" t="s">
        <v>73</v>
      </c>
      <c r="K226" s="11" t="s">
        <v>12</v>
      </c>
    </row>
    <row r="227" s="1" customFormat="1" customHeight="1" spans="1:11">
      <c r="A227" s="8" t="s">
        <v>86</v>
      </c>
      <c r="B227" s="8" t="s">
        <v>87</v>
      </c>
      <c r="C227" s="8" t="s">
        <v>99</v>
      </c>
      <c r="D227" s="8" t="s">
        <v>89</v>
      </c>
      <c r="E227" s="8" t="s">
        <v>100</v>
      </c>
      <c r="F227" s="9">
        <v>64.3</v>
      </c>
      <c r="G227" s="9">
        <v>56</v>
      </c>
      <c r="H227" s="9">
        <v>60.98</v>
      </c>
      <c r="I227" s="9">
        <v>6</v>
      </c>
      <c r="J227" s="10" t="s">
        <v>73</v>
      </c>
      <c r="K227" s="11" t="s">
        <v>12</v>
      </c>
    </row>
    <row r="228" s="1" customFormat="1" customHeight="1" spans="1:11">
      <c r="A228" s="8" t="s">
        <v>86</v>
      </c>
      <c r="B228" s="8" t="s">
        <v>87</v>
      </c>
      <c r="C228" s="8" t="s">
        <v>101</v>
      </c>
      <c r="D228" s="8" t="s">
        <v>89</v>
      </c>
      <c r="E228" s="8" t="s">
        <v>102</v>
      </c>
      <c r="F228" s="9">
        <v>47.7</v>
      </c>
      <c r="G228" s="9">
        <v>52.5</v>
      </c>
      <c r="H228" s="9">
        <v>49.62</v>
      </c>
      <c r="I228" s="9">
        <v>7</v>
      </c>
      <c r="J228" s="10" t="s">
        <v>73</v>
      </c>
      <c r="K228" s="11" t="s">
        <v>12</v>
      </c>
    </row>
    <row r="229" s="1" customFormat="1" customHeight="1" spans="1:11">
      <c r="A229" s="8" t="s">
        <v>86</v>
      </c>
      <c r="B229" s="8" t="s">
        <v>87</v>
      </c>
      <c r="C229" s="8" t="s">
        <v>103</v>
      </c>
      <c r="D229" s="8" t="s">
        <v>89</v>
      </c>
      <c r="E229" s="8" t="s">
        <v>104</v>
      </c>
      <c r="F229" s="9">
        <v>48.8</v>
      </c>
      <c r="G229" s="9">
        <v>38</v>
      </c>
      <c r="H229" s="9">
        <v>44.48</v>
      </c>
      <c r="I229" s="9">
        <v>8</v>
      </c>
      <c r="J229" s="10" t="s">
        <v>73</v>
      </c>
      <c r="K229" s="11" t="s">
        <v>12</v>
      </c>
    </row>
    <row r="230" s="1" customFormat="1" customHeight="1" spans="1:11">
      <c r="A230" s="8" t="str">
        <f t="shared" ref="A230:A293" si="26">"F13F"</f>
        <v>F13F</v>
      </c>
      <c r="B230" s="8" t="s">
        <v>105</v>
      </c>
      <c r="C230" s="8" t="str">
        <f>"阳绪文"</f>
        <v>阳绪文</v>
      </c>
      <c r="D230" s="8" t="str">
        <f t="shared" ref="D230:D293" si="27">"女"</f>
        <v>女</v>
      </c>
      <c r="E230" s="8" t="str">
        <f>"2022026627"</f>
        <v>2022026627</v>
      </c>
      <c r="F230" s="9">
        <v>82.6</v>
      </c>
      <c r="G230" s="9">
        <v>87</v>
      </c>
      <c r="H230" s="9">
        <v>84.36</v>
      </c>
      <c r="I230" s="9">
        <v>1</v>
      </c>
      <c r="J230" s="10" t="s">
        <v>73</v>
      </c>
      <c r="K230" s="11" t="s">
        <v>11</v>
      </c>
    </row>
    <row r="231" s="1" customFormat="1" customHeight="1" spans="1:11">
      <c r="A231" s="8" t="str">
        <f t="shared" si="26"/>
        <v>F13F</v>
      </c>
      <c r="B231" s="8" t="s">
        <v>105</v>
      </c>
      <c r="C231" s="8" t="str">
        <f>"杨漱玉"</f>
        <v>杨漱玉</v>
      </c>
      <c r="D231" s="8" t="str">
        <f t="shared" si="27"/>
        <v>女</v>
      </c>
      <c r="E231" s="8" t="str">
        <f>"2022026710"</f>
        <v>2022026710</v>
      </c>
      <c r="F231" s="9">
        <v>77.8</v>
      </c>
      <c r="G231" s="9">
        <v>85</v>
      </c>
      <c r="H231" s="9">
        <v>80.68</v>
      </c>
      <c r="I231" s="9">
        <v>2</v>
      </c>
      <c r="J231" s="10" t="s">
        <v>73</v>
      </c>
      <c r="K231" s="11" t="s">
        <v>11</v>
      </c>
    </row>
    <row r="232" s="1" customFormat="1" customHeight="1" spans="1:11">
      <c r="A232" s="8" t="str">
        <f t="shared" si="26"/>
        <v>F13F</v>
      </c>
      <c r="B232" s="8" t="s">
        <v>105</v>
      </c>
      <c r="C232" s="8" t="str">
        <f>"潘小珍"</f>
        <v>潘小珍</v>
      </c>
      <c r="D232" s="8" t="str">
        <f t="shared" si="27"/>
        <v>女</v>
      </c>
      <c r="E232" s="8" t="str">
        <f>"2022026606"</f>
        <v>2022026606</v>
      </c>
      <c r="F232" s="9">
        <v>74.9</v>
      </c>
      <c r="G232" s="9">
        <v>87</v>
      </c>
      <c r="H232" s="9">
        <v>79.74</v>
      </c>
      <c r="I232" s="9">
        <v>3</v>
      </c>
      <c r="J232" s="10" t="s">
        <v>73</v>
      </c>
      <c r="K232" s="11" t="s">
        <v>12</v>
      </c>
    </row>
    <row r="233" s="1" customFormat="1" customHeight="1" spans="1:11">
      <c r="A233" s="8" t="str">
        <f t="shared" si="26"/>
        <v>F13F</v>
      </c>
      <c r="B233" s="8" t="s">
        <v>105</v>
      </c>
      <c r="C233" s="8" t="str">
        <f>"陈小英"</f>
        <v>陈小英</v>
      </c>
      <c r="D233" s="8" t="str">
        <f t="shared" si="27"/>
        <v>女</v>
      </c>
      <c r="E233" s="8" t="str">
        <f>"2022026625"</f>
        <v>2022026625</v>
      </c>
      <c r="F233" s="9">
        <v>74.7</v>
      </c>
      <c r="G233" s="9">
        <v>86</v>
      </c>
      <c r="H233" s="9">
        <v>79.22</v>
      </c>
      <c r="I233" s="9">
        <v>4</v>
      </c>
      <c r="J233" s="10" t="s">
        <v>73</v>
      </c>
      <c r="K233" s="11" t="s">
        <v>12</v>
      </c>
    </row>
    <row r="234" s="1" customFormat="1" customHeight="1" spans="1:11">
      <c r="A234" s="8" t="str">
        <f t="shared" si="26"/>
        <v>F13F</v>
      </c>
      <c r="B234" s="8" t="s">
        <v>105</v>
      </c>
      <c r="C234" s="8" t="str">
        <f>"江雯"</f>
        <v>江雯</v>
      </c>
      <c r="D234" s="8" t="str">
        <f t="shared" si="27"/>
        <v>女</v>
      </c>
      <c r="E234" s="8" t="str">
        <f>"2022026524"</f>
        <v>2022026524</v>
      </c>
      <c r="F234" s="9">
        <v>70.4</v>
      </c>
      <c r="G234" s="9">
        <v>88</v>
      </c>
      <c r="H234" s="9">
        <v>77.44</v>
      </c>
      <c r="I234" s="9">
        <v>5</v>
      </c>
      <c r="J234" s="10" t="s">
        <v>73</v>
      </c>
      <c r="K234" s="11" t="s">
        <v>12</v>
      </c>
    </row>
    <row r="235" s="1" customFormat="1" customHeight="1" spans="1:11">
      <c r="A235" s="8" t="str">
        <f t="shared" si="26"/>
        <v>F13F</v>
      </c>
      <c r="B235" s="8" t="s">
        <v>105</v>
      </c>
      <c r="C235" s="8" t="str">
        <f>"肖潇"</f>
        <v>肖潇</v>
      </c>
      <c r="D235" s="8" t="str">
        <f t="shared" si="27"/>
        <v>女</v>
      </c>
      <c r="E235" s="8" t="str">
        <f>"2022026711"</f>
        <v>2022026711</v>
      </c>
      <c r="F235" s="9">
        <v>74.5</v>
      </c>
      <c r="G235" s="9">
        <v>81</v>
      </c>
      <c r="H235" s="9">
        <v>77.1</v>
      </c>
      <c r="I235" s="9">
        <v>6</v>
      </c>
      <c r="J235" s="10" t="s">
        <v>73</v>
      </c>
      <c r="K235" s="11" t="s">
        <v>12</v>
      </c>
    </row>
    <row r="236" s="1" customFormat="1" customHeight="1" spans="1:11">
      <c r="A236" s="8" t="str">
        <f t="shared" si="26"/>
        <v>F13F</v>
      </c>
      <c r="B236" s="8" t="s">
        <v>105</v>
      </c>
      <c r="C236" s="8" t="str">
        <f>"肖淑娥"</f>
        <v>肖淑娥</v>
      </c>
      <c r="D236" s="8" t="str">
        <f t="shared" si="27"/>
        <v>女</v>
      </c>
      <c r="E236" s="8" t="str">
        <f>"2022026523"</f>
        <v>2022026523</v>
      </c>
      <c r="F236" s="9">
        <v>73.6</v>
      </c>
      <c r="G236" s="9">
        <v>78</v>
      </c>
      <c r="H236" s="9">
        <v>75.36</v>
      </c>
      <c r="I236" s="9">
        <v>7</v>
      </c>
      <c r="J236" s="10" t="s">
        <v>73</v>
      </c>
      <c r="K236" s="11" t="s">
        <v>12</v>
      </c>
    </row>
    <row r="237" s="1" customFormat="1" customHeight="1" spans="1:11">
      <c r="A237" s="8" t="str">
        <f t="shared" si="26"/>
        <v>F13F</v>
      </c>
      <c r="B237" s="8" t="s">
        <v>105</v>
      </c>
      <c r="C237" s="8" t="str">
        <f>"杨颖超"</f>
        <v>杨颖超</v>
      </c>
      <c r="D237" s="8" t="str">
        <f t="shared" si="27"/>
        <v>女</v>
      </c>
      <c r="E237" s="8" t="str">
        <f>"2022026619"</f>
        <v>2022026619</v>
      </c>
      <c r="F237" s="9">
        <v>76.4</v>
      </c>
      <c r="G237" s="9">
        <v>72</v>
      </c>
      <c r="H237" s="9">
        <v>74.64</v>
      </c>
      <c r="I237" s="9">
        <v>8</v>
      </c>
      <c r="J237" s="10" t="s">
        <v>73</v>
      </c>
      <c r="K237" s="11" t="s">
        <v>12</v>
      </c>
    </row>
    <row r="238" s="1" customFormat="1" customHeight="1" spans="1:11">
      <c r="A238" s="8" t="str">
        <f t="shared" si="26"/>
        <v>F13F</v>
      </c>
      <c r="B238" s="8" t="s">
        <v>105</v>
      </c>
      <c r="C238" s="8" t="str">
        <f>"张璨"</f>
        <v>张璨</v>
      </c>
      <c r="D238" s="8" t="str">
        <f t="shared" si="27"/>
        <v>女</v>
      </c>
      <c r="E238" s="8" t="str">
        <f>"2022026706"</f>
        <v>2022026706</v>
      </c>
      <c r="F238" s="9">
        <v>71.9</v>
      </c>
      <c r="G238" s="9">
        <v>78.5</v>
      </c>
      <c r="H238" s="9">
        <v>74.54</v>
      </c>
      <c r="I238" s="9">
        <v>9</v>
      </c>
      <c r="J238" s="10" t="s">
        <v>73</v>
      </c>
      <c r="K238" s="11" t="s">
        <v>12</v>
      </c>
    </row>
    <row r="239" s="1" customFormat="1" customHeight="1" spans="1:11">
      <c r="A239" s="8" t="str">
        <f t="shared" si="26"/>
        <v>F13F</v>
      </c>
      <c r="B239" s="8" t="s">
        <v>105</v>
      </c>
      <c r="C239" s="8" t="str">
        <f>"易为芳"</f>
        <v>易为芳</v>
      </c>
      <c r="D239" s="8" t="str">
        <f t="shared" si="27"/>
        <v>女</v>
      </c>
      <c r="E239" s="8" t="str">
        <f>"2022026608"</f>
        <v>2022026608</v>
      </c>
      <c r="F239" s="9">
        <v>70.4</v>
      </c>
      <c r="G239" s="9">
        <v>78.5</v>
      </c>
      <c r="H239" s="9">
        <v>73.64</v>
      </c>
      <c r="I239" s="9">
        <v>10</v>
      </c>
      <c r="J239" s="10" t="s">
        <v>73</v>
      </c>
      <c r="K239" s="11" t="s">
        <v>12</v>
      </c>
    </row>
    <row r="240" s="1" customFormat="1" customHeight="1" spans="1:11">
      <c r="A240" s="8" t="str">
        <f t="shared" si="26"/>
        <v>F13F</v>
      </c>
      <c r="B240" s="8" t="s">
        <v>105</v>
      </c>
      <c r="C240" s="8" t="str">
        <f>"龚梦琼"</f>
        <v>龚梦琼</v>
      </c>
      <c r="D240" s="8" t="str">
        <f t="shared" si="27"/>
        <v>女</v>
      </c>
      <c r="E240" s="8" t="str">
        <f>"2022026529"</f>
        <v>2022026529</v>
      </c>
      <c r="F240" s="9">
        <v>64</v>
      </c>
      <c r="G240" s="9">
        <v>88</v>
      </c>
      <c r="H240" s="9">
        <v>73.6</v>
      </c>
      <c r="I240" s="9">
        <v>11</v>
      </c>
      <c r="J240" s="10" t="s">
        <v>73</v>
      </c>
      <c r="K240" s="11" t="s">
        <v>12</v>
      </c>
    </row>
    <row r="241" s="1" customFormat="1" customHeight="1" spans="1:11">
      <c r="A241" s="8" t="str">
        <f t="shared" si="26"/>
        <v>F13F</v>
      </c>
      <c r="B241" s="8" t="s">
        <v>105</v>
      </c>
      <c r="C241" s="8" t="str">
        <f>"王超"</f>
        <v>王超</v>
      </c>
      <c r="D241" s="8" t="str">
        <f t="shared" si="27"/>
        <v>女</v>
      </c>
      <c r="E241" s="8" t="str">
        <f>"2022026703"</f>
        <v>2022026703</v>
      </c>
      <c r="F241" s="9">
        <v>75.1</v>
      </c>
      <c r="G241" s="9">
        <v>71</v>
      </c>
      <c r="H241" s="9">
        <v>73.46</v>
      </c>
      <c r="I241" s="9">
        <v>12</v>
      </c>
      <c r="J241" s="10" t="s">
        <v>73</v>
      </c>
      <c r="K241" s="11" t="s">
        <v>12</v>
      </c>
    </row>
    <row r="242" s="1" customFormat="1" customHeight="1" spans="1:11">
      <c r="A242" s="8" t="str">
        <f t="shared" si="26"/>
        <v>F13F</v>
      </c>
      <c r="B242" s="8" t="s">
        <v>105</v>
      </c>
      <c r="C242" s="8" t="str">
        <f>"李超平"</f>
        <v>李超平</v>
      </c>
      <c r="D242" s="8" t="str">
        <f t="shared" si="27"/>
        <v>女</v>
      </c>
      <c r="E242" s="8" t="str">
        <f>"2022026515"</f>
        <v>2022026515</v>
      </c>
      <c r="F242" s="9">
        <v>66.6</v>
      </c>
      <c r="G242" s="9">
        <v>82.5</v>
      </c>
      <c r="H242" s="9">
        <v>72.96</v>
      </c>
      <c r="I242" s="9">
        <v>13</v>
      </c>
      <c r="J242" s="10" t="s">
        <v>73</v>
      </c>
      <c r="K242" s="11" t="s">
        <v>12</v>
      </c>
    </row>
    <row r="243" s="1" customFormat="1" customHeight="1" spans="1:11">
      <c r="A243" s="8" t="str">
        <f t="shared" si="26"/>
        <v>F13F</v>
      </c>
      <c r="B243" s="8" t="s">
        <v>105</v>
      </c>
      <c r="C243" s="8" t="str">
        <f>"黄丹萍"</f>
        <v>黄丹萍</v>
      </c>
      <c r="D243" s="8" t="str">
        <f t="shared" si="27"/>
        <v>女</v>
      </c>
      <c r="E243" s="8" t="str">
        <f>"2022026715"</f>
        <v>2022026715</v>
      </c>
      <c r="F243" s="9">
        <v>66.8</v>
      </c>
      <c r="G243" s="9">
        <v>79</v>
      </c>
      <c r="H243" s="9">
        <v>71.68</v>
      </c>
      <c r="I243" s="9">
        <v>14</v>
      </c>
      <c r="J243" s="10" t="s">
        <v>73</v>
      </c>
      <c r="K243" s="11" t="s">
        <v>12</v>
      </c>
    </row>
    <row r="244" s="1" customFormat="1" customHeight="1" spans="1:11">
      <c r="A244" s="8" t="str">
        <f t="shared" si="26"/>
        <v>F13F</v>
      </c>
      <c r="B244" s="8" t="s">
        <v>105</v>
      </c>
      <c r="C244" s="8" t="str">
        <f>"刘宝菊"</f>
        <v>刘宝菊</v>
      </c>
      <c r="D244" s="8" t="str">
        <f t="shared" si="27"/>
        <v>女</v>
      </c>
      <c r="E244" s="8" t="str">
        <f>"2022026709"</f>
        <v>2022026709</v>
      </c>
      <c r="F244" s="9">
        <v>70.7</v>
      </c>
      <c r="G244" s="9">
        <v>70.5</v>
      </c>
      <c r="H244" s="9">
        <v>70.62</v>
      </c>
      <c r="I244" s="9">
        <v>15</v>
      </c>
      <c r="J244" s="10" t="s">
        <v>73</v>
      </c>
      <c r="K244" s="11" t="s">
        <v>12</v>
      </c>
    </row>
    <row r="245" s="1" customFormat="1" customHeight="1" spans="1:11">
      <c r="A245" s="8" t="str">
        <f t="shared" si="26"/>
        <v>F13F</v>
      </c>
      <c r="B245" s="8" t="s">
        <v>105</v>
      </c>
      <c r="C245" s="8" t="str">
        <f>"杨剑莉"</f>
        <v>杨剑莉</v>
      </c>
      <c r="D245" s="8" t="str">
        <f t="shared" si="27"/>
        <v>女</v>
      </c>
      <c r="E245" s="8" t="str">
        <f>"2022026717"</f>
        <v>2022026717</v>
      </c>
      <c r="F245" s="9">
        <v>65.6</v>
      </c>
      <c r="G245" s="9">
        <v>77.9</v>
      </c>
      <c r="H245" s="9">
        <v>70.52</v>
      </c>
      <c r="I245" s="9">
        <v>16</v>
      </c>
      <c r="J245" s="10" t="s">
        <v>73</v>
      </c>
      <c r="K245" s="11" t="s">
        <v>12</v>
      </c>
    </row>
    <row r="246" s="1" customFormat="1" customHeight="1" spans="1:11">
      <c r="A246" s="8" t="str">
        <f t="shared" si="26"/>
        <v>F13F</v>
      </c>
      <c r="B246" s="8" t="s">
        <v>105</v>
      </c>
      <c r="C246" s="8" t="str">
        <f>"杨慧孜"</f>
        <v>杨慧孜</v>
      </c>
      <c r="D246" s="8" t="str">
        <f t="shared" si="27"/>
        <v>女</v>
      </c>
      <c r="E246" s="8" t="str">
        <f>"2022026530"</f>
        <v>2022026530</v>
      </c>
      <c r="F246" s="9">
        <v>67.2</v>
      </c>
      <c r="G246" s="9">
        <v>74</v>
      </c>
      <c r="H246" s="9">
        <v>69.92</v>
      </c>
      <c r="I246" s="9">
        <v>17</v>
      </c>
      <c r="J246" s="10" t="s">
        <v>73</v>
      </c>
      <c r="K246" s="11" t="s">
        <v>12</v>
      </c>
    </row>
    <row r="247" s="1" customFormat="1" customHeight="1" spans="1:11">
      <c r="A247" s="8" t="str">
        <f t="shared" si="26"/>
        <v>F13F</v>
      </c>
      <c r="B247" s="8" t="s">
        <v>105</v>
      </c>
      <c r="C247" s="8" t="str">
        <f>"刘玲艳"</f>
        <v>刘玲艳</v>
      </c>
      <c r="D247" s="8" t="str">
        <f t="shared" si="27"/>
        <v>女</v>
      </c>
      <c r="E247" s="8" t="str">
        <f>"2022026713"</f>
        <v>2022026713</v>
      </c>
      <c r="F247" s="9">
        <v>63.2</v>
      </c>
      <c r="G247" s="9">
        <v>79</v>
      </c>
      <c r="H247" s="9">
        <v>69.52</v>
      </c>
      <c r="I247" s="9">
        <v>18</v>
      </c>
      <c r="J247" s="10" t="s">
        <v>73</v>
      </c>
      <c r="K247" s="11" t="s">
        <v>12</v>
      </c>
    </row>
    <row r="248" s="1" customFormat="1" customHeight="1" spans="1:11">
      <c r="A248" s="8" t="str">
        <f t="shared" si="26"/>
        <v>F13F</v>
      </c>
      <c r="B248" s="8" t="s">
        <v>105</v>
      </c>
      <c r="C248" s="8" t="str">
        <f>"易能慧"</f>
        <v>易能慧</v>
      </c>
      <c r="D248" s="8" t="str">
        <f t="shared" si="27"/>
        <v>女</v>
      </c>
      <c r="E248" s="8" t="str">
        <f>"2022026518"</f>
        <v>2022026518</v>
      </c>
      <c r="F248" s="9">
        <v>62.8</v>
      </c>
      <c r="G248" s="9">
        <v>74</v>
      </c>
      <c r="H248" s="9">
        <v>67.28</v>
      </c>
      <c r="I248" s="9">
        <v>19</v>
      </c>
      <c r="J248" s="10" t="s">
        <v>73</v>
      </c>
      <c r="K248" s="11" t="s">
        <v>12</v>
      </c>
    </row>
    <row r="249" s="1" customFormat="1" customHeight="1" spans="1:11">
      <c r="A249" s="8" t="str">
        <f t="shared" si="26"/>
        <v>F13F</v>
      </c>
      <c r="B249" s="8" t="s">
        <v>105</v>
      </c>
      <c r="C249" s="8" t="str">
        <f>"曾鹏"</f>
        <v>曾鹏</v>
      </c>
      <c r="D249" s="8" t="str">
        <f t="shared" si="27"/>
        <v>女</v>
      </c>
      <c r="E249" s="8" t="str">
        <f>"2022026726"</f>
        <v>2022026726</v>
      </c>
      <c r="F249" s="9">
        <v>63.5</v>
      </c>
      <c r="G249" s="9">
        <v>72.5</v>
      </c>
      <c r="H249" s="9">
        <v>67.1</v>
      </c>
      <c r="I249" s="9">
        <v>20</v>
      </c>
      <c r="J249" s="10" t="s">
        <v>73</v>
      </c>
      <c r="K249" s="11" t="s">
        <v>12</v>
      </c>
    </row>
    <row r="250" s="1" customFormat="1" customHeight="1" spans="1:11">
      <c r="A250" s="8" t="str">
        <f t="shared" si="26"/>
        <v>F13F</v>
      </c>
      <c r="B250" s="8" t="s">
        <v>105</v>
      </c>
      <c r="C250" s="8" t="str">
        <f>"杨梅花"</f>
        <v>杨梅花</v>
      </c>
      <c r="D250" s="8" t="str">
        <f t="shared" si="27"/>
        <v>女</v>
      </c>
      <c r="E250" s="8" t="str">
        <f>"2022026610"</f>
        <v>2022026610</v>
      </c>
      <c r="F250" s="9">
        <v>63.7</v>
      </c>
      <c r="G250" s="9">
        <v>72</v>
      </c>
      <c r="H250" s="9">
        <v>67.02</v>
      </c>
      <c r="I250" s="9">
        <v>21</v>
      </c>
      <c r="J250" s="10" t="s">
        <v>73</v>
      </c>
      <c r="K250" s="11" t="s">
        <v>12</v>
      </c>
    </row>
    <row r="251" s="1" customFormat="1" customHeight="1" spans="1:11">
      <c r="A251" s="8" t="str">
        <f t="shared" si="26"/>
        <v>F13F</v>
      </c>
      <c r="B251" s="8" t="s">
        <v>105</v>
      </c>
      <c r="C251" s="8" t="str">
        <f>"伍月华"</f>
        <v>伍月华</v>
      </c>
      <c r="D251" s="8" t="str">
        <f t="shared" si="27"/>
        <v>女</v>
      </c>
      <c r="E251" s="8" t="str">
        <f>"2022026618"</f>
        <v>2022026618</v>
      </c>
      <c r="F251" s="9">
        <v>68.7</v>
      </c>
      <c r="G251" s="9">
        <v>64</v>
      </c>
      <c r="H251" s="9">
        <v>66.82</v>
      </c>
      <c r="I251" s="9">
        <v>22</v>
      </c>
      <c r="J251" s="10" t="s">
        <v>73</v>
      </c>
      <c r="K251" s="11" t="s">
        <v>12</v>
      </c>
    </row>
    <row r="252" s="1" customFormat="1" customHeight="1" spans="1:11">
      <c r="A252" s="8" t="str">
        <f t="shared" si="26"/>
        <v>F13F</v>
      </c>
      <c r="B252" s="8" t="s">
        <v>105</v>
      </c>
      <c r="C252" s="8" t="str">
        <f>"彭玉冰"</f>
        <v>彭玉冰</v>
      </c>
      <c r="D252" s="8" t="str">
        <f t="shared" si="27"/>
        <v>女</v>
      </c>
      <c r="E252" s="8" t="str">
        <f>"2022026510"</f>
        <v>2022026510</v>
      </c>
      <c r="F252" s="9">
        <v>67.5</v>
      </c>
      <c r="G252" s="9">
        <v>65.5</v>
      </c>
      <c r="H252" s="9">
        <v>66.7</v>
      </c>
      <c r="I252" s="9">
        <v>23</v>
      </c>
      <c r="J252" s="10" t="s">
        <v>73</v>
      </c>
      <c r="K252" s="11" t="s">
        <v>12</v>
      </c>
    </row>
    <row r="253" s="1" customFormat="1" customHeight="1" spans="1:11">
      <c r="A253" s="8" t="str">
        <f t="shared" si="26"/>
        <v>F13F</v>
      </c>
      <c r="B253" s="8" t="s">
        <v>105</v>
      </c>
      <c r="C253" s="8" t="str">
        <f>"杨兰芳"</f>
        <v>杨兰芳</v>
      </c>
      <c r="D253" s="8" t="str">
        <f t="shared" si="27"/>
        <v>女</v>
      </c>
      <c r="E253" s="8" t="str">
        <f>"2022026508"</f>
        <v>2022026508</v>
      </c>
      <c r="F253" s="9">
        <v>61.4</v>
      </c>
      <c r="G253" s="9">
        <v>74.5</v>
      </c>
      <c r="H253" s="9">
        <v>66.64</v>
      </c>
      <c r="I253" s="9">
        <v>24</v>
      </c>
      <c r="J253" s="10" t="s">
        <v>73</v>
      </c>
      <c r="K253" s="11" t="s">
        <v>12</v>
      </c>
    </row>
    <row r="254" s="1" customFormat="1" customHeight="1" spans="1:11">
      <c r="A254" s="8" t="str">
        <f t="shared" si="26"/>
        <v>F13F</v>
      </c>
      <c r="B254" s="8" t="s">
        <v>105</v>
      </c>
      <c r="C254" s="8" t="str">
        <f>"孟素兰"</f>
        <v>孟素兰</v>
      </c>
      <c r="D254" s="8" t="str">
        <f t="shared" si="27"/>
        <v>女</v>
      </c>
      <c r="E254" s="8" t="str">
        <f>"2022026614"</f>
        <v>2022026614</v>
      </c>
      <c r="F254" s="9">
        <v>70.6</v>
      </c>
      <c r="G254" s="9">
        <v>60</v>
      </c>
      <c r="H254" s="9">
        <v>66.36</v>
      </c>
      <c r="I254" s="9">
        <v>25</v>
      </c>
      <c r="J254" s="10" t="s">
        <v>73</v>
      </c>
      <c r="K254" s="11" t="s">
        <v>12</v>
      </c>
    </row>
    <row r="255" s="1" customFormat="1" customHeight="1" spans="1:11">
      <c r="A255" s="8" t="str">
        <f t="shared" si="26"/>
        <v>F13F</v>
      </c>
      <c r="B255" s="8" t="s">
        <v>105</v>
      </c>
      <c r="C255" s="8" t="str">
        <f>"王杏丹"</f>
        <v>王杏丹</v>
      </c>
      <c r="D255" s="8" t="str">
        <f t="shared" si="27"/>
        <v>女</v>
      </c>
      <c r="E255" s="8" t="str">
        <f>"2022026704"</f>
        <v>2022026704</v>
      </c>
      <c r="F255" s="9">
        <v>61.2</v>
      </c>
      <c r="G255" s="9">
        <v>73.5</v>
      </c>
      <c r="H255" s="9">
        <v>66.12</v>
      </c>
      <c r="I255" s="9">
        <v>26</v>
      </c>
      <c r="J255" s="10" t="s">
        <v>73</v>
      </c>
      <c r="K255" s="11" t="s">
        <v>12</v>
      </c>
    </row>
    <row r="256" s="1" customFormat="1" customHeight="1" spans="1:11">
      <c r="A256" s="8" t="str">
        <f t="shared" si="26"/>
        <v>F13F</v>
      </c>
      <c r="B256" s="8" t="s">
        <v>105</v>
      </c>
      <c r="C256" s="8" t="str">
        <f>"陈桂娥"</f>
        <v>陈桂娥</v>
      </c>
      <c r="D256" s="8" t="str">
        <f t="shared" si="27"/>
        <v>女</v>
      </c>
      <c r="E256" s="8" t="str">
        <f>"2022026728"</f>
        <v>2022026728</v>
      </c>
      <c r="F256" s="9">
        <v>64.4</v>
      </c>
      <c r="G256" s="9">
        <v>68</v>
      </c>
      <c r="H256" s="9">
        <v>65.84</v>
      </c>
      <c r="I256" s="9">
        <v>27</v>
      </c>
      <c r="J256" s="10" t="s">
        <v>73</v>
      </c>
      <c r="K256" s="11" t="s">
        <v>12</v>
      </c>
    </row>
    <row r="257" s="1" customFormat="1" customHeight="1" spans="1:11">
      <c r="A257" s="8" t="str">
        <f t="shared" si="26"/>
        <v>F13F</v>
      </c>
      <c r="B257" s="8" t="s">
        <v>105</v>
      </c>
      <c r="C257" s="8" t="str">
        <f>"姚婷云"</f>
        <v>姚婷云</v>
      </c>
      <c r="D257" s="8" t="str">
        <f t="shared" si="27"/>
        <v>女</v>
      </c>
      <c r="E257" s="8" t="str">
        <f>"2022026724"</f>
        <v>2022026724</v>
      </c>
      <c r="F257" s="9">
        <v>65.5</v>
      </c>
      <c r="G257" s="9">
        <v>65.5</v>
      </c>
      <c r="H257" s="9">
        <v>65.5</v>
      </c>
      <c r="I257" s="9">
        <v>28</v>
      </c>
      <c r="J257" s="10" t="s">
        <v>73</v>
      </c>
      <c r="K257" s="11" t="s">
        <v>12</v>
      </c>
    </row>
    <row r="258" s="1" customFormat="1" customHeight="1" spans="1:11">
      <c r="A258" s="8" t="str">
        <f t="shared" si="26"/>
        <v>F13F</v>
      </c>
      <c r="B258" s="8" t="s">
        <v>105</v>
      </c>
      <c r="C258" s="8" t="str">
        <f>"刘楠芳"</f>
        <v>刘楠芳</v>
      </c>
      <c r="D258" s="8" t="str">
        <f t="shared" si="27"/>
        <v>女</v>
      </c>
      <c r="E258" s="8" t="str">
        <f>"2022026603"</f>
        <v>2022026603</v>
      </c>
      <c r="F258" s="9">
        <v>67.7</v>
      </c>
      <c r="G258" s="9">
        <v>62</v>
      </c>
      <c r="H258" s="9">
        <v>65.42</v>
      </c>
      <c r="I258" s="9">
        <v>29</v>
      </c>
      <c r="J258" s="10" t="s">
        <v>73</v>
      </c>
      <c r="K258" s="11" t="s">
        <v>12</v>
      </c>
    </row>
    <row r="259" s="1" customFormat="1" customHeight="1" spans="1:11">
      <c r="A259" s="8" t="str">
        <f t="shared" si="26"/>
        <v>F13F</v>
      </c>
      <c r="B259" s="8" t="s">
        <v>105</v>
      </c>
      <c r="C259" s="8" t="str">
        <f>"彭秋红"</f>
        <v>彭秋红</v>
      </c>
      <c r="D259" s="8" t="str">
        <f t="shared" si="27"/>
        <v>女</v>
      </c>
      <c r="E259" s="8" t="str">
        <f>"2022026725"</f>
        <v>2022026725</v>
      </c>
      <c r="F259" s="9">
        <v>66.5</v>
      </c>
      <c r="G259" s="9">
        <v>63</v>
      </c>
      <c r="H259" s="9">
        <v>65.1</v>
      </c>
      <c r="I259" s="9">
        <v>30</v>
      </c>
      <c r="J259" s="10" t="s">
        <v>73</v>
      </c>
      <c r="K259" s="11" t="s">
        <v>12</v>
      </c>
    </row>
    <row r="260" s="1" customFormat="1" customHeight="1" spans="1:11">
      <c r="A260" s="8" t="str">
        <f t="shared" si="26"/>
        <v>F13F</v>
      </c>
      <c r="B260" s="8" t="s">
        <v>105</v>
      </c>
      <c r="C260" s="8" t="str">
        <f>"袁梓三"</f>
        <v>袁梓三</v>
      </c>
      <c r="D260" s="8" t="str">
        <f t="shared" si="27"/>
        <v>女</v>
      </c>
      <c r="E260" s="8" t="str">
        <f>"2022026514"</f>
        <v>2022026514</v>
      </c>
      <c r="F260" s="9">
        <v>71</v>
      </c>
      <c r="G260" s="9">
        <v>55.5</v>
      </c>
      <c r="H260" s="9">
        <v>64.8</v>
      </c>
      <c r="I260" s="9">
        <v>31</v>
      </c>
      <c r="J260" s="10" t="s">
        <v>73</v>
      </c>
      <c r="K260" s="11" t="s">
        <v>12</v>
      </c>
    </row>
    <row r="261" s="1" customFormat="1" customHeight="1" spans="1:11">
      <c r="A261" s="8" t="str">
        <f t="shared" si="26"/>
        <v>F13F</v>
      </c>
      <c r="B261" s="8" t="s">
        <v>105</v>
      </c>
      <c r="C261" s="8" t="str">
        <f>"饶巧娟"</f>
        <v>饶巧娟</v>
      </c>
      <c r="D261" s="8" t="str">
        <f t="shared" si="27"/>
        <v>女</v>
      </c>
      <c r="E261" s="8" t="str">
        <f>"2022026730"</f>
        <v>2022026730</v>
      </c>
      <c r="F261" s="9">
        <v>59.2</v>
      </c>
      <c r="G261" s="9">
        <v>72</v>
      </c>
      <c r="H261" s="9">
        <v>64.32</v>
      </c>
      <c r="I261" s="9">
        <v>32</v>
      </c>
      <c r="J261" s="10" t="s">
        <v>73</v>
      </c>
      <c r="K261" s="11" t="s">
        <v>12</v>
      </c>
    </row>
    <row r="262" s="1" customFormat="1" customHeight="1" spans="1:11">
      <c r="A262" s="8" t="str">
        <f t="shared" si="26"/>
        <v>F13F</v>
      </c>
      <c r="B262" s="8" t="s">
        <v>105</v>
      </c>
      <c r="C262" s="8" t="str">
        <f>"胡鹭"</f>
        <v>胡鹭</v>
      </c>
      <c r="D262" s="8" t="str">
        <f t="shared" si="27"/>
        <v>女</v>
      </c>
      <c r="E262" s="8" t="str">
        <f>"2022026520"</f>
        <v>2022026520</v>
      </c>
      <c r="F262" s="9">
        <v>63.9</v>
      </c>
      <c r="G262" s="9">
        <v>64.5</v>
      </c>
      <c r="H262" s="9">
        <v>64.14</v>
      </c>
      <c r="I262" s="9">
        <v>33</v>
      </c>
      <c r="J262" s="10" t="s">
        <v>73</v>
      </c>
      <c r="K262" s="11" t="s">
        <v>12</v>
      </c>
    </row>
    <row r="263" s="1" customFormat="1" customHeight="1" spans="1:11">
      <c r="A263" s="8" t="str">
        <f t="shared" si="26"/>
        <v>F13F</v>
      </c>
      <c r="B263" s="8" t="s">
        <v>105</v>
      </c>
      <c r="C263" s="8" t="str">
        <f>"熊蕾"</f>
        <v>熊蕾</v>
      </c>
      <c r="D263" s="8" t="str">
        <f t="shared" si="27"/>
        <v>女</v>
      </c>
      <c r="E263" s="8" t="str">
        <f>"2022026527"</f>
        <v>2022026527</v>
      </c>
      <c r="F263" s="9">
        <v>58.7</v>
      </c>
      <c r="G263" s="9">
        <v>71</v>
      </c>
      <c r="H263" s="9">
        <v>63.62</v>
      </c>
      <c r="I263" s="9">
        <v>34</v>
      </c>
      <c r="J263" s="10" t="s">
        <v>73</v>
      </c>
      <c r="K263" s="11" t="s">
        <v>12</v>
      </c>
    </row>
    <row r="264" s="1" customFormat="1" customHeight="1" spans="1:11">
      <c r="A264" s="8" t="str">
        <f t="shared" si="26"/>
        <v>F13F</v>
      </c>
      <c r="B264" s="8" t="s">
        <v>105</v>
      </c>
      <c r="C264" s="8" t="str">
        <f>"戴雨霞"</f>
        <v>戴雨霞</v>
      </c>
      <c r="D264" s="8" t="str">
        <f t="shared" si="27"/>
        <v>女</v>
      </c>
      <c r="E264" s="8" t="str">
        <f>"2022026626"</f>
        <v>2022026626</v>
      </c>
      <c r="F264" s="9">
        <v>55.6</v>
      </c>
      <c r="G264" s="9">
        <v>75</v>
      </c>
      <c r="H264" s="9">
        <v>63.36</v>
      </c>
      <c r="I264" s="9">
        <v>35</v>
      </c>
      <c r="J264" s="10" t="s">
        <v>73</v>
      </c>
      <c r="K264" s="11" t="s">
        <v>12</v>
      </c>
    </row>
    <row r="265" s="1" customFormat="1" customHeight="1" spans="1:11">
      <c r="A265" s="8" t="str">
        <f t="shared" si="26"/>
        <v>F13F</v>
      </c>
      <c r="B265" s="8" t="s">
        <v>105</v>
      </c>
      <c r="C265" s="8" t="str">
        <f>"蒙叶玲"</f>
        <v>蒙叶玲</v>
      </c>
      <c r="D265" s="8" t="str">
        <f t="shared" si="27"/>
        <v>女</v>
      </c>
      <c r="E265" s="8" t="str">
        <f>"2022026629"</f>
        <v>2022026629</v>
      </c>
      <c r="F265" s="9">
        <v>61.1</v>
      </c>
      <c r="G265" s="9">
        <v>66</v>
      </c>
      <c r="H265" s="9">
        <v>63.06</v>
      </c>
      <c r="I265" s="9">
        <v>36</v>
      </c>
      <c r="J265" s="10" t="s">
        <v>73</v>
      </c>
      <c r="K265" s="11" t="s">
        <v>12</v>
      </c>
    </row>
    <row r="266" s="1" customFormat="1" customHeight="1" spans="1:11">
      <c r="A266" s="8" t="str">
        <f t="shared" si="26"/>
        <v>F13F</v>
      </c>
      <c r="B266" s="8" t="s">
        <v>105</v>
      </c>
      <c r="C266" s="8" t="str">
        <f>"李娟文"</f>
        <v>李娟文</v>
      </c>
      <c r="D266" s="8" t="str">
        <f t="shared" si="27"/>
        <v>女</v>
      </c>
      <c r="E266" s="8" t="str">
        <f>"2022026526"</f>
        <v>2022026526</v>
      </c>
      <c r="F266" s="9">
        <v>62.9</v>
      </c>
      <c r="G266" s="9">
        <v>63</v>
      </c>
      <c r="H266" s="9">
        <v>62.94</v>
      </c>
      <c r="I266" s="9">
        <v>37</v>
      </c>
      <c r="J266" s="10" t="s">
        <v>73</v>
      </c>
      <c r="K266" s="11" t="s">
        <v>12</v>
      </c>
    </row>
    <row r="267" s="1" customFormat="1" customHeight="1" spans="1:11">
      <c r="A267" s="8" t="str">
        <f t="shared" si="26"/>
        <v>F13F</v>
      </c>
      <c r="B267" s="8" t="s">
        <v>105</v>
      </c>
      <c r="C267" s="8" t="str">
        <f>"肖婷"</f>
        <v>肖婷</v>
      </c>
      <c r="D267" s="8" t="str">
        <f t="shared" si="27"/>
        <v>女</v>
      </c>
      <c r="E267" s="8" t="str">
        <f>"2022026611"</f>
        <v>2022026611</v>
      </c>
      <c r="F267" s="9">
        <v>63.1</v>
      </c>
      <c r="G267" s="9">
        <v>62</v>
      </c>
      <c r="H267" s="9">
        <v>62.66</v>
      </c>
      <c r="I267" s="9">
        <v>38</v>
      </c>
      <c r="J267" s="10" t="s">
        <v>73</v>
      </c>
      <c r="K267" s="11" t="s">
        <v>12</v>
      </c>
    </row>
    <row r="268" s="1" customFormat="1" customHeight="1" spans="1:11">
      <c r="A268" s="8" t="str">
        <f t="shared" si="26"/>
        <v>F13F</v>
      </c>
      <c r="B268" s="8" t="s">
        <v>105</v>
      </c>
      <c r="C268" s="8" t="str">
        <f>"刘啸"</f>
        <v>刘啸</v>
      </c>
      <c r="D268" s="8" t="str">
        <f t="shared" si="27"/>
        <v>女</v>
      </c>
      <c r="E268" s="8" t="str">
        <f>"2022026714"</f>
        <v>2022026714</v>
      </c>
      <c r="F268" s="9">
        <v>58.8</v>
      </c>
      <c r="G268" s="9">
        <v>68.3</v>
      </c>
      <c r="H268" s="9">
        <v>62.6</v>
      </c>
      <c r="I268" s="9">
        <v>39</v>
      </c>
      <c r="J268" s="10" t="s">
        <v>73</v>
      </c>
      <c r="K268" s="11" t="s">
        <v>12</v>
      </c>
    </row>
    <row r="269" s="1" customFormat="1" customHeight="1" spans="1:11">
      <c r="A269" s="8" t="str">
        <f t="shared" si="26"/>
        <v>F13F</v>
      </c>
      <c r="B269" s="8" t="s">
        <v>105</v>
      </c>
      <c r="C269" s="8" t="str">
        <f>"杨婧"</f>
        <v>杨婧</v>
      </c>
      <c r="D269" s="8" t="str">
        <f t="shared" si="27"/>
        <v>女</v>
      </c>
      <c r="E269" s="8" t="str">
        <f>"2022026605"</f>
        <v>2022026605</v>
      </c>
      <c r="F269" s="9">
        <v>54</v>
      </c>
      <c r="G269" s="9">
        <v>74</v>
      </c>
      <c r="H269" s="9">
        <v>62</v>
      </c>
      <c r="I269" s="9">
        <v>40</v>
      </c>
      <c r="J269" s="10" t="s">
        <v>73</v>
      </c>
      <c r="K269" s="11" t="s">
        <v>12</v>
      </c>
    </row>
    <row r="270" s="1" customFormat="1" customHeight="1" spans="1:11">
      <c r="A270" s="8" t="str">
        <f t="shared" si="26"/>
        <v>F13F</v>
      </c>
      <c r="B270" s="8" t="s">
        <v>105</v>
      </c>
      <c r="C270" s="8" t="str">
        <f>"刘茜"</f>
        <v>刘茜</v>
      </c>
      <c r="D270" s="8" t="str">
        <f t="shared" si="27"/>
        <v>女</v>
      </c>
      <c r="E270" s="8" t="str">
        <f>"2022026522"</f>
        <v>2022026522</v>
      </c>
      <c r="F270" s="9">
        <v>51.6</v>
      </c>
      <c r="G270" s="9">
        <v>77.5</v>
      </c>
      <c r="H270" s="9">
        <v>61.96</v>
      </c>
      <c r="I270" s="9">
        <v>41</v>
      </c>
      <c r="J270" s="10" t="s">
        <v>73</v>
      </c>
      <c r="K270" s="11" t="s">
        <v>12</v>
      </c>
    </row>
    <row r="271" s="1" customFormat="1" customHeight="1" spans="1:11">
      <c r="A271" s="8" t="str">
        <f t="shared" si="26"/>
        <v>F13F</v>
      </c>
      <c r="B271" s="8" t="s">
        <v>105</v>
      </c>
      <c r="C271" s="8" t="str">
        <f>"王微"</f>
        <v>王微</v>
      </c>
      <c r="D271" s="8" t="str">
        <f t="shared" si="27"/>
        <v>女</v>
      </c>
      <c r="E271" s="8" t="str">
        <f>"2022026517"</f>
        <v>2022026517</v>
      </c>
      <c r="F271" s="9">
        <v>57</v>
      </c>
      <c r="G271" s="9">
        <v>68.5</v>
      </c>
      <c r="H271" s="9">
        <v>61.6</v>
      </c>
      <c r="I271" s="9">
        <v>42</v>
      </c>
      <c r="J271" s="10" t="s">
        <v>73</v>
      </c>
      <c r="K271" s="11" t="s">
        <v>12</v>
      </c>
    </row>
    <row r="272" s="1" customFormat="1" customHeight="1" spans="1:11">
      <c r="A272" s="8" t="str">
        <f t="shared" si="26"/>
        <v>F13F</v>
      </c>
      <c r="B272" s="8" t="s">
        <v>105</v>
      </c>
      <c r="C272" s="8" t="str">
        <f>"杨蕙宇"</f>
        <v>杨蕙宇</v>
      </c>
      <c r="D272" s="8" t="str">
        <f t="shared" si="27"/>
        <v>女</v>
      </c>
      <c r="E272" s="8" t="str">
        <f>"2022026628"</f>
        <v>2022026628</v>
      </c>
      <c r="F272" s="9">
        <v>62</v>
      </c>
      <c r="G272" s="9">
        <v>60.5</v>
      </c>
      <c r="H272" s="9">
        <v>61.4</v>
      </c>
      <c r="I272" s="9">
        <v>43</v>
      </c>
      <c r="J272" s="10" t="s">
        <v>73</v>
      </c>
      <c r="K272" s="11" t="s">
        <v>12</v>
      </c>
    </row>
    <row r="273" s="1" customFormat="1" customHeight="1" spans="1:11">
      <c r="A273" s="8" t="str">
        <f t="shared" si="26"/>
        <v>F13F</v>
      </c>
      <c r="B273" s="8" t="s">
        <v>105</v>
      </c>
      <c r="C273" s="8" t="str">
        <f>"李立洁"</f>
        <v>李立洁</v>
      </c>
      <c r="D273" s="8" t="str">
        <f t="shared" si="27"/>
        <v>女</v>
      </c>
      <c r="E273" s="8" t="str">
        <f>"2022026521"</f>
        <v>2022026521</v>
      </c>
      <c r="F273" s="9">
        <v>61.2</v>
      </c>
      <c r="G273" s="9">
        <v>61</v>
      </c>
      <c r="H273" s="9">
        <v>61.12</v>
      </c>
      <c r="I273" s="9">
        <v>44</v>
      </c>
      <c r="J273" s="10" t="s">
        <v>73</v>
      </c>
      <c r="K273" s="11" t="s">
        <v>12</v>
      </c>
    </row>
    <row r="274" s="1" customFormat="1" customHeight="1" spans="1:11">
      <c r="A274" s="8" t="str">
        <f t="shared" si="26"/>
        <v>F13F</v>
      </c>
      <c r="B274" s="8" t="s">
        <v>105</v>
      </c>
      <c r="C274" s="8" t="str">
        <f>"袁培琳"</f>
        <v>袁培琳</v>
      </c>
      <c r="D274" s="8" t="str">
        <f t="shared" si="27"/>
        <v>女</v>
      </c>
      <c r="E274" s="8" t="str">
        <f>"2022026615"</f>
        <v>2022026615</v>
      </c>
      <c r="F274" s="9">
        <v>56.5</v>
      </c>
      <c r="G274" s="9">
        <v>67</v>
      </c>
      <c r="H274" s="9">
        <v>60.7</v>
      </c>
      <c r="I274" s="9">
        <v>45</v>
      </c>
      <c r="J274" s="10" t="s">
        <v>73</v>
      </c>
      <c r="K274" s="11" t="s">
        <v>12</v>
      </c>
    </row>
    <row r="275" s="1" customFormat="1" customHeight="1" spans="1:11">
      <c r="A275" s="8" t="str">
        <f t="shared" si="26"/>
        <v>F13F</v>
      </c>
      <c r="B275" s="8" t="s">
        <v>105</v>
      </c>
      <c r="C275" s="8" t="str">
        <f>"钟湘丽"</f>
        <v>钟湘丽</v>
      </c>
      <c r="D275" s="8" t="str">
        <f t="shared" si="27"/>
        <v>女</v>
      </c>
      <c r="E275" s="8" t="str">
        <f>"2022026612"</f>
        <v>2022026612</v>
      </c>
      <c r="F275" s="9">
        <v>60.4</v>
      </c>
      <c r="G275" s="9">
        <v>60.5</v>
      </c>
      <c r="H275" s="9">
        <v>60.44</v>
      </c>
      <c r="I275" s="9">
        <v>46</v>
      </c>
      <c r="J275" s="10" t="s">
        <v>73</v>
      </c>
      <c r="K275" s="11" t="s">
        <v>12</v>
      </c>
    </row>
    <row r="276" s="1" customFormat="1" customHeight="1" spans="1:11">
      <c r="A276" s="8" t="str">
        <f t="shared" si="26"/>
        <v>F13F</v>
      </c>
      <c r="B276" s="8" t="s">
        <v>105</v>
      </c>
      <c r="C276" s="8" t="str">
        <f>"李霞"</f>
        <v>李霞</v>
      </c>
      <c r="D276" s="8" t="str">
        <f t="shared" si="27"/>
        <v>女</v>
      </c>
      <c r="E276" s="8" t="str">
        <f>"2022026528"</f>
        <v>2022026528</v>
      </c>
      <c r="F276" s="9">
        <v>55.3</v>
      </c>
      <c r="G276" s="9">
        <v>68</v>
      </c>
      <c r="H276" s="9">
        <v>60.38</v>
      </c>
      <c r="I276" s="9">
        <v>47</v>
      </c>
      <c r="J276" s="10" t="s">
        <v>73</v>
      </c>
      <c r="K276" s="11" t="s">
        <v>12</v>
      </c>
    </row>
    <row r="277" s="1" customFormat="1" customHeight="1" spans="1:11">
      <c r="A277" s="8" t="str">
        <f t="shared" si="26"/>
        <v>F13F</v>
      </c>
      <c r="B277" s="8" t="s">
        <v>105</v>
      </c>
      <c r="C277" s="8" t="str">
        <f>"段汝琴"</f>
        <v>段汝琴</v>
      </c>
      <c r="D277" s="8" t="str">
        <f t="shared" si="27"/>
        <v>女</v>
      </c>
      <c r="E277" s="8" t="str">
        <f>"2022026616"</f>
        <v>2022026616</v>
      </c>
      <c r="F277" s="9">
        <v>62.1</v>
      </c>
      <c r="G277" s="9">
        <v>55</v>
      </c>
      <c r="H277" s="9">
        <v>59.26</v>
      </c>
      <c r="I277" s="9">
        <v>48</v>
      </c>
      <c r="J277" s="10" t="s">
        <v>73</v>
      </c>
      <c r="K277" s="11" t="s">
        <v>12</v>
      </c>
    </row>
    <row r="278" s="1" customFormat="1" customHeight="1" spans="1:11">
      <c r="A278" s="8" t="str">
        <f t="shared" si="26"/>
        <v>F13F</v>
      </c>
      <c r="B278" s="8" t="s">
        <v>105</v>
      </c>
      <c r="C278" s="8" t="str">
        <f>"贺莉"</f>
        <v>贺莉</v>
      </c>
      <c r="D278" s="8" t="str">
        <f t="shared" si="27"/>
        <v>女</v>
      </c>
      <c r="E278" s="8" t="str">
        <f>"2022026708"</f>
        <v>2022026708</v>
      </c>
      <c r="F278" s="9">
        <v>54</v>
      </c>
      <c r="G278" s="9">
        <v>67</v>
      </c>
      <c r="H278" s="9">
        <v>59.2</v>
      </c>
      <c r="I278" s="9">
        <v>49</v>
      </c>
      <c r="J278" s="10" t="s">
        <v>73</v>
      </c>
      <c r="K278" s="11" t="s">
        <v>12</v>
      </c>
    </row>
    <row r="279" s="1" customFormat="1" customHeight="1" spans="1:11">
      <c r="A279" s="8" t="str">
        <f t="shared" si="26"/>
        <v>F13F</v>
      </c>
      <c r="B279" s="8" t="s">
        <v>105</v>
      </c>
      <c r="C279" s="8" t="str">
        <f>"杨思敏"</f>
        <v>杨思敏</v>
      </c>
      <c r="D279" s="8" t="str">
        <f t="shared" si="27"/>
        <v>女</v>
      </c>
      <c r="E279" s="8" t="str">
        <f>"2022026720"</f>
        <v>2022026720</v>
      </c>
      <c r="F279" s="9">
        <v>63.1</v>
      </c>
      <c r="G279" s="9">
        <v>51.5</v>
      </c>
      <c r="H279" s="9">
        <v>58.46</v>
      </c>
      <c r="I279" s="9">
        <v>50</v>
      </c>
      <c r="J279" s="10" t="s">
        <v>73</v>
      </c>
      <c r="K279" s="11" t="s">
        <v>12</v>
      </c>
    </row>
    <row r="280" s="1" customFormat="1" customHeight="1" spans="1:11">
      <c r="A280" s="8" t="str">
        <f t="shared" si="26"/>
        <v>F13F</v>
      </c>
      <c r="B280" s="8" t="s">
        <v>105</v>
      </c>
      <c r="C280" s="8" t="str">
        <f>"祝倩"</f>
        <v>祝倩</v>
      </c>
      <c r="D280" s="8" t="str">
        <f t="shared" si="27"/>
        <v>女</v>
      </c>
      <c r="E280" s="8" t="str">
        <f>"2022026525"</f>
        <v>2022026525</v>
      </c>
      <c r="F280" s="9">
        <v>56.7</v>
      </c>
      <c r="G280" s="9">
        <v>60.5</v>
      </c>
      <c r="H280" s="9">
        <v>58.22</v>
      </c>
      <c r="I280" s="9">
        <v>51</v>
      </c>
      <c r="J280" s="10" t="s">
        <v>73</v>
      </c>
      <c r="K280" s="11" t="s">
        <v>12</v>
      </c>
    </row>
    <row r="281" s="1" customFormat="1" customHeight="1" spans="1:11">
      <c r="A281" s="8" t="str">
        <f t="shared" si="26"/>
        <v>F13F</v>
      </c>
      <c r="B281" s="8" t="s">
        <v>105</v>
      </c>
      <c r="C281" s="8" t="str">
        <f>"陈绍阳"</f>
        <v>陈绍阳</v>
      </c>
      <c r="D281" s="8" t="str">
        <f t="shared" si="27"/>
        <v>女</v>
      </c>
      <c r="E281" s="8" t="str">
        <f>"2022026623"</f>
        <v>2022026623</v>
      </c>
      <c r="F281" s="9">
        <v>55.3</v>
      </c>
      <c r="G281" s="9">
        <v>62</v>
      </c>
      <c r="H281" s="9">
        <v>57.98</v>
      </c>
      <c r="I281" s="9">
        <v>52</v>
      </c>
      <c r="J281" s="10" t="s">
        <v>73</v>
      </c>
      <c r="K281" s="11" t="s">
        <v>12</v>
      </c>
    </row>
    <row r="282" s="1" customFormat="1" customHeight="1" spans="1:11">
      <c r="A282" s="8" t="str">
        <f t="shared" si="26"/>
        <v>F13F</v>
      </c>
      <c r="B282" s="8" t="s">
        <v>105</v>
      </c>
      <c r="C282" s="8" t="str">
        <f>"唐艳丽"</f>
        <v>唐艳丽</v>
      </c>
      <c r="D282" s="8" t="str">
        <f t="shared" si="27"/>
        <v>女</v>
      </c>
      <c r="E282" s="8" t="str">
        <f>"2022026723"</f>
        <v>2022026723</v>
      </c>
      <c r="F282" s="9">
        <v>52</v>
      </c>
      <c r="G282" s="9">
        <v>63</v>
      </c>
      <c r="H282" s="9">
        <v>56.4</v>
      </c>
      <c r="I282" s="9">
        <v>53</v>
      </c>
      <c r="J282" s="10" t="s">
        <v>73</v>
      </c>
      <c r="K282" s="11" t="s">
        <v>12</v>
      </c>
    </row>
    <row r="283" s="1" customFormat="1" customHeight="1" spans="1:11">
      <c r="A283" s="8" t="str">
        <f t="shared" si="26"/>
        <v>F13F</v>
      </c>
      <c r="B283" s="8" t="s">
        <v>105</v>
      </c>
      <c r="C283" s="8" t="str">
        <f>"杨奕"</f>
        <v>杨奕</v>
      </c>
      <c r="D283" s="8" t="str">
        <f t="shared" si="27"/>
        <v>女</v>
      </c>
      <c r="E283" s="8" t="str">
        <f>"2022026607"</f>
        <v>2022026607</v>
      </c>
      <c r="F283" s="9">
        <v>51.9</v>
      </c>
      <c r="G283" s="9">
        <v>63</v>
      </c>
      <c r="H283" s="9">
        <v>56.34</v>
      </c>
      <c r="I283" s="9">
        <v>54</v>
      </c>
      <c r="J283" s="10" t="s">
        <v>73</v>
      </c>
      <c r="K283" s="11" t="s">
        <v>12</v>
      </c>
    </row>
    <row r="284" s="1" customFormat="1" customHeight="1" spans="1:11">
      <c r="A284" s="8" t="str">
        <f t="shared" si="26"/>
        <v>F13F</v>
      </c>
      <c r="B284" s="8" t="s">
        <v>105</v>
      </c>
      <c r="C284" s="8" t="str">
        <f>"袁媛"</f>
        <v>袁媛</v>
      </c>
      <c r="D284" s="8" t="str">
        <f t="shared" si="27"/>
        <v>女</v>
      </c>
      <c r="E284" s="8" t="str">
        <f>"2022026716"</f>
        <v>2022026716</v>
      </c>
      <c r="F284" s="9">
        <v>45.2</v>
      </c>
      <c r="G284" s="9">
        <v>73</v>
      </c>
      <c r="H284" s="9">
        <v>56.32</v>
      </c>
      <c r="I284" s="9">
        <v>55</v>
      </c>
      <c r="J284" s="10" t="s">
        <v>73</v>
      </c>
      <c r="K284" s="11" t="s">
        <v>12</v>
      </c>
    </row>
    <row r="285" s="1" customFormat="1" customHeight="1" spans="1:11">
      <c r="A285" s="8" t="str">
        <f t="shared" si="26"/>
        <v>F13F</v>
      </c>
      <c r="B285" s="8" t="s">
        <v>105</v>
      </c>
      <c r="C285" s="8" t="str">
        <f>"梁文昱"</f>
        <v>梁文昱</v>
      </c>
      <c r="D285" s="8" t="str">
        <f t="shared" si="27"/>
        <v>女</v>
      </c>
      <c r="E285" s="8" t="str">
        <f>"2022026624"</f>
        <v>2022026624</v>
      </c>
      <c r="F285" s="9">
        <v>60.6</v>
      </c>
      <c r="G285" s="9">
        <v>49.5</v>
      </c>
      <c r="H285" s="9">
        <v>56.16</v>
      </c>
      <c r="I285" s="9">
        <v>56</v>
      </c>
      <c r="J285" s="10" t="s">
        <v>73</v>
      </c>
      <c r="K285" s="11" t="s">
        <v>12</v>
      </c>
    </row>
    <row r="286" s="1" customFormat="1" customHeight="1" spans="1:11">
      <c r="A286" s="8" t="str">
        <f t="shared" si="26"/>
        <v>F13F</v>
      </c>
      <c r="B286" s="8" t="s">
        <v>105</v>
      </c>
      <c r="C286" s="8" t="str">
        <f>"李慧英"</f>
        <v>李慧英</v>
      </c>
      <c r="D286" s="8" t="str">
        <f t="shared" si="27"/>
        <v>女</v>
      </c>
      <c r="E286" s="8" t="str">
        <f>"2022026718"</f>
        <v>2022026718</v>
      </c>
      <c r="F286" s="9">
        <v>57.8</v>
      </c>
      <c r="G286" s="9">
        <v>53</v>
      </c>
      <c r="H286" s="9">
        <v>55.88</v>
      </c>
      <c r="I286" s="9">
        <v>57</v>
      </c>
      <c r="J286" s="10" t="s">
        <v>73</v>
      </c>
      <c r="K286" s="11" t="s">
        <v>12</v>
      </c>
    </row>
    <row r="287" s="1" customFormat="1" customHeight="1" spans="1:11">
      <c r="A287" s="8" t="str">
        <f t="shared" si="26"/>
        <v>F13F</v>
      </c>
      <c r="B287" s="8" t="s">
        <v>105</v>
      </c>
      <c r="C287" s="8" t="str">
        <f>"段婷"</f>
        <v>段婷</v>
      </c>
      <c r="D287" s="8" t="str">
        <f t="shared" si="27"/>
        <v>女</v>
      </c>
      <c r="E287" s="8" t="str">
        <f>"2022026701"</f>
        <v>2022026701</v>
      </c>
      <c r="F287" s="9">
        <v>47.5</v>
      </c>
      <c r="G287" s="9">
        <v>66</v>
      </c>
      <c r="H287" s="9">
        <v>54.9</v>
      </c>
      <c r="I287" s="9">
        <v>58</v>
      </c>
      <c r="J287" s="10" t="s">
        <v>73</v>
      </c>
      <c r="K287" s="11" t="s">
        <v>12</v>
      </c>
    </row>
    <row r="288" s="1" customFormat="1" customHeight="1" spans="1:11">
      <c r="A288" s="8" t="str">
        <f t="shared" si="26"/>
        <v>F13F</v>
      </c>
      <c r="B288" s="8" t="s">
        <v>105</v>
      </c>
      <c r="C288" s="8" t="str">
        <f>"谭昱昱"</f>
        <v>谭昱昱</v>
      </c>
      <c r="D288" s="8" t="str">
        <f t="shared" si="27"/>
        <v>女</v>
      </c>
      <c r="E288" s="8" t="str">
        <f>"2022026507"</f>
        <v>2022026507</v>
      </c>
      <c r="F288" s="9">
        <v>45.3</v>
      </c>
      <c r="G288" s="9">
        <v>65</v>
      </c>
      <c r="H288" s="9">
        <v>53.18</v>
      </c>
      <c r="I288" s="9">
        <v>59</v>
      </c>
      <c r="J288" s="10" t="s">
        <v>73</v>
      </c>
      <c r="K288" s="11" t="s">
        <v>12</v>
      </c>
    </row>
    <row r="289" s="1" customFormat="1" customHeight="1" spans="1:11">
      <c r="A289" s="8" t="str">
        <f t="shared" si="26"/>
        <v>F13F</v>
      </c>
      <c r="B289" s="8" t="s">
        <v>105</v>
      </c>
      <c r="C289" s="8" t="str">
        <f>"陆雨"</f>
        <v>陆雨</v>
      </c>
      <c r="D289" s="8" t="str">
        <f t="shared" si="27"/>
        <v>女</v>
      </c>
      <c r="E289" s="8" t="str">
        <f>"2022026604"</f>
        <v>2022026604</v>
      </c>
      <c r="F289" s="9">
        <v>51.9</v>
      </c>
      <c r="G289" s="9">
        <v>55</v>
      </c>
      <c r="H289" s="9">
        <v>53.14</v>
      </c>
      <c r="I289" s="9">
        <v>60</v>
      </c>
      <c r="J289" s="10" t="s">
        <v>73</v>
      </c>
      <c r="K289" s="11" t="s">
        <v>12</v>
      </c>
    </row>
    <row r="290" s="1" customFormat="1" customHeight="1" spans="1:11">
      <c r="A290" s="8" t="str">
        <f t="shared" si="26"/>
        <v>F13F</v>
      </c>
      <c r="B290" s="8" t="s">
        <v>105</v>
      </c>
      <c r="C290" s="8" t="str">
        <f>"黄艳芳"</f>
        <v>黄艳芳</v>
      </c>
      <c r="D290" s="8" t="str">
        <f t="shared" si="27"/>
        <v>女</v>
      </c>
      <c r="E290" s="8" t="str">
        <f>"2022026509"</f>
        <v>2022026509</v>
      </c>
      <c r="F290" s="9">
        <v>46.2</v>
      </c>
      <c r="G290" s="9">
        <v>60</v>
      </c>
      <c r="H290" s="9">
        <v>51.72</v>
      </c>
      <c r="I290" s="9">
        <v>61</v>
      </c>
      <c r="J290" s="10" t="s">
        <v>73</v>
      </c>
      <c r="K290" s="11" t="s">
        <v>12</v>
      </c>
    </row>
    <row r="291" s="1" customFormat="1" customHeight="1" spans="1:11">
      <c r="A291" s="8" t="str">
        <f t="shared" si="26"/>
        <v>F13F</v>
      </c>
      <c r="B291" s="8" t="s">
        <v>105</v>
      </c>
      <c r="C291" s="8" t="str">
        <f>"阳远婷"</f>
        <v>阳远婷</v>
      </c>
      <c r="D291" s="8" t="str">
        <f t="shared" si="27"/>
        <v>女</v>
      </c>
      <c r="E291" s="8" t="str">
        <f>"2022026721"</f>
        <v>2022026721</v>
      </c>
      <c r="F291" s="9">
        <v>52.9</v>
      </c>
      <c r="G291" s="9">
        <v>49.5</v>
      </c>
      <c r="H291" s="9">
        <v>51.54</v>
      </c>
      <c r="I291" s="9">
        <v>62</v>
      </c>
      <c r="J291" s="10" t="s">
        <v>73</v>
      </c>
      <c r="K291" s="11" t="s">
        <v>12</v>
      </c>
    </row>
    <row r="292" s="1" customFormat="1" customHeight="1" spans="1:11">
      <c r="A292" s="8" t="str">
        <f t="shared" si="26"/>
        <v>F13F</v>
      </c>
      <c r="B292" s="8" t="s">
        <v>105</v>
      </c>
      <c r="C292" s="8" t="str">
        <f>"肖榴娣"</f>
        <v>肖榴娣</v>
      </c>
      <c r="D292" s="8" t="str">
        <f t="shared" si="27"/>
        <v>女</v>
      </c>
      <c r="E292" s="8" t="str">
        <f>"2022026516"</f>
        <v>2022026516</v>
      </c>
      <c r="F292" s="9">
        <v>48.6</v>
      </c>
      <c r="G292" s="9">
        <v>54.5</v>
      </c>
      <c r="H292" s="9">
        <v>50.96</v>
      </c>
      <c r="I292" s="9">
        <v>63</v>
      </c>
      <c r="J292" s="10" t="s">
        <v>73</v>
      </c>
      <c r="K292" s="11" t="s">
        <v>12</v>
      </c>
    </row>
    <row r="293" s="1" customFormat="1" customHeight="1" spans="1:11">
      <c r="A293" s="8" t="str">
        <f t="shared" si="26"/>
        <v>F13F</v>
      </c>
      <c r="B293" s="8" t="s">
        <v>105</v>
      </c>
      <c r="C293" s="8" t="str">
        <f>"陈美娟"</f>
        <v>陈美娟</v>
      </c>
      <c r="D293" s="8" t="str">
        <f t="shared" si="27"/>
        <v>女</v>
      </c>
      <c r="E293" s="8" t="str">
        <f>"2022026609"</f>
        <v>2022026609</v>
      </c>
      <c r="F293" s="9">
        <v>56.8</v>
      </c>
      <c r="G293" s="9">
        <v>41</v>
      </c>
      <c r="H293" s="9">
        <v>50.48</v>
      </c>
      <c r="I293" s="9">
        <v>64</v>
      </c>
      <c r="J293" s="10" t="s">
        <v>73</v>
      </c>
      <c r="K293" s="11" t="s">
        <v>12</v>
      </c>
    </row>
    <row r="294" s="1" customFormat="1" customHeight="1" spans="1:11">
      <c r="A294" s="8" t="str">
        <f t="shared" ref="A294:A314" si="28">"F13F"</f>
        <v>F13F</v>
      </c>
      <c r="B294" s="8" t="s">
        <v>105</v>
      </c>
      <c r="C294" s="8" t="str">
        <f>"戴仁丽"</f>
        <v>戴仁丽</v>
      </c>
      <c r="D294" s="8" t="str">
        <f t="shared" ref="D294:D315" si="29">"女"</f>
        <v>女</v>
      </c>
      <c r="E294" s="8" t="str">
        <f>"2022026513"</f>
        <v>2022026513</v>
      </c>
      <c r="F294" s="9">
        <v>48.6</v>
      </c>
      <c r="G294" s="9">
        <v>53</v>
      </c>
      <c r="H294" s="9">
        <v>50.36</v>
      </c>
      <c r="I294" s="9">
        <v>65</v>
      </c>
      <c r="J294" s="10" t="s">
        <v>73</v>
      </c>
      <c r="K294" s="11" t="s">
        <v>12</v>
      </c>
    </row>
    <row r="295" s="1" customFormat="1" customHeight="1" spans="1:11">
      <c r="A295" s="8" t="str">
        <f t="shared" si="28"/>
        <v>F13F</v>
      </c>
      <c r="B295" s="8" t="s">
        <v>105</v>
      </c>
      <c r="C295" s="8" t="str">
        <f>"肖依"</f>
        <v>肖依</v>
      </c>
      <c r="D295" s="8" t="str">
        <f t="shared" si="29"/>
        <v>女</v>
      </c>
      <c r="E295" s="8" t="str">
        <f>"2022026712"</f>
        <v>2022026712</v>
      </c>
      <c r="F295" s="9">
        <v>47.1</v>
      </c>
      <c r="G295" s="9">
        <v>55</v>
      </c>
      <c r="H295" s="9">
        <v>50.26</v>
      </c>
      <c r="I295" s="9">
        <v>66</v>
      </c>
      <c r="J295" s="10" t="s">
        <v>73</v>
      </c>
      <c r="K295" s="11" t="s">
        <v>12</v>
      </c>
    </row>
    <row r="296" s="1" customFormat="1" customHeight="1" spans="1:11">
      <c r="A296" s="8" t="str">
        <f t="shared" si="28"/>
        <v>F13F</v>
      </c>
      <c r="B296" s="8" t="s">
        <v>105</v>
      </c>
      <c r="C296" s="8" t="str">
        <f>"杨海盈"</f>
        <v>杨海盈</v>
      </c>
      <c r="D296" s="8" t="str">
        <f t="shared" si="29"/>
        <v>女</v>
      </c>
      <c r="E296" s="8" t="str">
        <f>"2022026620"</f>
        <v>2022026620</v>
      </c>
      <c r="F296" s="9">
        <v>53.8</v>
      </c>
      <c r="G296" s="9">
        <v>44</v>
      </c>
      <c r="H296" s="9">
        <v>49.88</v>
      </c>
      <c r="I296" s="9">
        <v>67</v>
      </c>
      <c r="J296" s="10" t="s">
        <v>73</v>
      </c>
      <c r="K296" s="11" t="s">
        <v>12</v>
      </c>
    </row>
    <row r="297" s="1" customFormat="1" customHeight="1" spans="1:11">
      <c r="A297" s="8" t="str">
        <f t="shared" si="28"/>
        <v>F13F</v>
      </c>
      <c r="B297" s="8" t="s">
        <v>105</v>
      </c>
      <c r="C297" s="8" t="str">
        <f>"吴赛男"</f>
        <v>吴赛男</v>
      </c>
      <c r="D297" s="8" t="str">
        <f t="shared" si="29"/>
        <v>女</v>
      </c>
      <c r="E297" s="8" t="str">
        <f>"2022026506"</f>
        <v>2022026506</v>
      </c>
      <c r="F297" s="9">
        <v>46.4</v>
      </c>
      <c r="G297" s="9">
        <v>49.5</v>
      </c>
      <c r="H297" s="9">
        <v>47.64</v>
      </c>
      <c r="I297" s="9">
        <v>68</v>
      </c>
      <c r="J297" s="10" t="s">
        <v>73</v>
      </c>
      <c r="K297" s="11" t="s">
        <v>12</v>
      </c>
    </row>
    <row r="298" s="1" customFormat="1" customHeight="1" spans="1:11">
      <c r="A298" s="8" t="str">
        <f t="shared" si="28"/>
        <v>F13F</v>
      </c>
      <c r="B298" s="8" t="s">
        <v>105</v>
      </c>
      <c r="C298" s="8" t="str">
        <f>"杨雪"</f>
        <v>杨雪</v>
      </c>
      <c r="D298" s="8" t="str">
        <f t="shared" si="29"/>
        <v>女</v>
      </c>
      <c r="E298" s="8" t="str">
        <f>"2022026727"</f>
        <v>2022026727</v>
      </c>
      <c r="F298" s="9">
        <v>52.7</v>
      </c>
      <c r="G298" s="9">
        <v>40</v>
      </c>
      <c r="H298" s="9">
        <v>47.62</v>
      </c>
      <c r="I298" s="9">
        <v>69</v>
      </c>
      <c r="J298" s="10" t="s">
        <v>73</v>
      </c>
      <c r="K298" s="11" t="s">
        <v>12</v>
      </c>
    </row>
    <row r="299" s="1" customFormat="1" customHeight="1" spans="1:11">
      <c r="A299" s="8" t="str">
        <f t="shared" si="28"/>
        <v>F13F</v>
      </c>
      <c r="B299" s="8" t="s">
        <v>105</v>
      </c>
      <c r="C299" s="8" t="str">
        <f>"肖可心"</f>
        <v>肖可心</v>
      </c>
      <c r="D299" s="8" t="str">
        <f t="shared" si="29"/>
        <v>女</v>
      </c>
      <c r="E299" s="8" t="str">
        <f>"2022026722"</f>
        <v>2022026722</v>
      </c>
      <c r="F299" s="9">
        <v>49.1</v>
      </c>
      <c r="G299" s="9">
        <v>43</v>
      </c>
      <c r="H299" s="9">
        <v>46.66</v>
      </c>
      <c r="I299" s="9">
        <v>70</v>
      </c>
      <c r="J299" s="10" t="s">
        <v>73</v>
      </c>
      <c r="K299" s="11" t="s">
        <v>12</v>
      </c>
    </row>
    <row r="300" s="1" customFormat="1" customHeight="1" spans="1:11">
      <c r="A300" s="8" t="str">
        <f t="shared" si="28"/>
        <v>F13F</v>
      </c>
      <c r="B300" s="8" t="s">
        <v>105</v>
      </c>
      <c r="C300" s="8" t="str">
        <f>"杨柳云"</f>
        <v>杨柳云</v>
      </c>
      <c r="D300" s="8" t="str">
        <f t="shared" si="29"/>
        <v>女</v>
      </c>
      <c r="E300" s="8" t="str">
        <f>"2022026702"</f>
        <v>2022026702</v>
      </c>
      <c r="F300" s="9">
        <v>45.6</v>
      </c>
      <c r="G300" s="9">
        <v>47.5</v>
      </c>
      <c r="H300" s="9">
        <v>46.36</v>
      </c>
      <c r="I300" s="9">
        <v>71</v>
      </c>
      <c r="J300" s="10" t="s">
        <v>73</v>
      </c>
      <c r="K300" s="11" t="s">
        <v>12</v>
      </c>
    </row>
    <row r="301" s="1" customFormat="1" customHeight="1" spans="1:11">
      <c r="A301" s="8" t="str">
        <f t="shared" si="28"/>
        <v>F13F</v>
      </c>
      <c r="B301" s="8" t="s">
        <v>105</v>
      </c>
      <c r="C301" s="8" t="str">
        <f>"李芳"</f>
        <v>李芳</v>
      </c>
      <c r="D301" s="8" t="str">
        <f t="shared" si="29"/>
        <v>女</v>
      </c>
      <c r="E301" s="8" t="str">
        <f>"2022026705"</f>
        <v>2022026705</v>
      </c>
      <c r="F301" s="9">
        <v>53</v>
      </c>
      <c r="G301" s="9">
        <v>35.5</v>
      </c>
      <c r="H301" s="9">
        <v>46</v>
      </c>
      <c r="I301" s="9">
        <v>72</v>
      </c>
      <c r="J301" s="10" t="s">
        <v>73</v>
      </c>
      <c r="K301" s="11" t="s">
        <v>12</v>
      </c>
    </row>
    <row r="302" s="1" customFormat="1" customHeight="1" spans="1:11">
      <c r="A302" s="8" t="str">
        <f t="shared" si="28"/>
        <v>F13F</v>
      </c>
      <c r="B302" s="8" t="s">
        <v>105</v>
      </c>
      <c r="C302" s="8" t="str">
        <f>"颜雅婕"</f>
        <v>颜雅婕</v>
      </c>
      <c r="D302" s="8" t="str">
        <f t="shared" si="29"/>
        <v>女</v>
      </c>
      <c r="E302" s="8" t="str">
        <f>"2022026601"</f>
        <v>2022026601</v>
      </c>
      <c r="F302" s="9">
        <v>37.7</v>
      </c>
      <c r="G302" s="9">
        <v>48.5</v>
      </c>
      <c r="H302" s="9">
        <v>42.02</v>
      </c>
      <c r="I302" s="9">
        <v>73</v>
      </c>
      <c r="J302" s="10" t="s">
        <v>73</v>
      </c>
      <c r="K302" s="11" t="s">
        <v>12</v>
      </c>
    </row>
    <row r="303" s="1" customFormat="1" customHeight="1" spans="1:11">
      <c r="A303" s="8" t="str">
        <f t="shared" si="28"/>
        <v>F13F</v>
      </c>
      <c r="B303" s="8" t="s">
        <v>105</v>
      </c>
      <c r="C303" s="8" t="str">
        <f>"陈红"</f>
        <v>陈红</v>
      </c>
      <c r="D303" s="8" t="str">
        <f t="shared" si="29"/>
        <v>女</v>
      </c>
      <c r="E303" s="8" t="str">
        <f>"2022026519"</f>
        <v>2022026519</v>
      </c>
      <c r="F303" s="9">
        <v>43.1</v>
      </c>
      <c r="G303" s="9">
        <v>34</v>
      </c>
      <c r="H303" s="9">
        <v>39.46</v>
      </c>
      <c r="I303" s="9">
        <v>74</v>
      </c>
      <c r="J303" s="10" t="s">
        <v>73</v>
      </c>
      <c r="K303" s="11" t="s">
        <v>12</v>
      </c>
    </row>
    <row r="304" s="1" customFormat="1" customHeight="1" spans="1:11">
      <c r="A304" s="8" t="str">
        <f t="shared" si="28"/>
        <v>F13F</v>
      </c>
      <c r="B304" s="8" t="s">
        <v>105</v>
      </c>
      <c r="C304" s="8" t="str">
        <f>"饶沐婕"</f>
        <v>饶沐婕</v>
      </c>
      <c r="D304" s="8" t="str">
        <f t="shared" si="29"/>
        <v>女</v>
      </c>
      <c r="E304" s="8" t="str">
        <f>"2022026511"</f>
        <v>2022026511</v>
      </c>
      <c r="F304" s="9">
        <v>38.3</v>
      </c>
      <c r="G304" s="9">
        <v>32</v>
      </c>
      <c r="H304" s="9">
        <v>35.78</v>
      </c>
      <c r="I304" s="9">
        <v>75</v>
      </c>
      <c r="J304" s="10" t="s">
        <v>73</v>
      </c>
      <c r="K304" s="11" t="s">
        <v>12</v>
      </c>
    </row>
    <row r="305" s="1" customFormat="1" customHeight="1" spans="1:11">
      <c r="A305" s="8" t="str">
        <f t="shared" si="28"/>
        <v>F13F</v>
      </c>
      <c r="B305" s="8" t="s">
        <v>105</v>
      </c>
      <c r="C305" s="8" t="str">
        <f>"马加琳"</f>
        <v>马加琳</v>
      </c>
      <c r="D305" s="8" t="str">
        <f t="shared" si="29"/>
        <v>女</v>
      </c>
      <c r="E305" s="8" t="str">
        <f>"2022026512"</f>
        <v>2022026512</v>
      </c>
      <c r="F305" s="9">
        <v>0</v>
      </c>
      <c r="G305" s="9">
        <v>0</v>
      </c>
      <c r="H305" s="9">
        <v>0</v>
      </c>
      <c r="I305" s="9">
        <v>76</v>
      </c>
      <c r="J305" s="10" t="s">
        <v>13</v>
      </c>
      <c r="K305" s="11" t="s">
        <v>12</v>
      </c>
    </row>
    <row r="306" s="1" customFormat="1" customHeight="1" spans="1:11">
      <c r="A306" s="8" t="str">
        <f t="shared" si="28"/>
        <v>F13F</v>
      </c>
      <c r="B306" s="8" t="s">
        <v>105</v>
      </c>
      <c r="C306" s="8" t="str">
        <f>"曾祥"</f>
        <v>曾祥</v>
      </c>
      <c r="D306" s="8" t="str">
        <f t="shared" si="29"/>
        <v>女</v>
      </c>
      <c r="E306" s="8" t="str">
        <f>"2022026602"</f>
        <v>2022026602</v>
      </c>
      <c r="F306" s="9">
        <v>0</v>
      </c>
      <c r="G306" s="9">
        <v>0</v>
      </c>
      <c r="H306" s="9">
        <v>0</v>
      </c>
      <c r="I306" s="9">
        <v>76</v>
      </c>
      <c r="J306" s="10" t="s">
        <v>13</v>
      </c>
      <c r="K306" s="11" t="s">
        <v>12</v>
      </c>
    </row>
    <row r="307" s="1" customFormat="1" customHeight="1" spans="1:11">
      <c r="A307" s="8" t="str">
        <f t="shared" si="28"/>
        <v>F13F</v>
      </c>
      <c r="B307" s="8" t="s">
        <v>105</v>
      </c>
      <c r="C307" s="8" t="str">
        <f>"杨媛"</f>
        <v>杨媛</v>
      </c>
      <c r="D307" s="8" t="str">
        <f t="shared" si="29"/>
        <v>女</v>
      </c>
      <c r="E307" s="8" t="str">
        <f>"2022026613"</f>
        <v>2022026613</v>
      </c>
      <c r="F307" s="9">
        <v>0</v>
      </c>
      <c r="G307" s="9">
        <v>0</v>
      </c>
      <c r="H307" s="9">
        <v>0</v>
      </c>
      <c r="I307" s="9">
        <v>76</v>
      </c>
      <c r="J307" s="10" t="s">
        <v>13</v>
      </c>
      <c r="K307" s="11" t="s">
        <v>12</v>
      </c>
    </row>
    <row r="308" s="1" customFormat="1" customHeight="1" spans="1:11">
      <c r="A308" s="8" t="str">
        <f t="shared" si="28"/>
        <v>F13F</v>
      </c>
      <c r="B308" s="8" t="s">
        <v>105</v>
      </c>
      <c r="C308" s="8" t="str">
        <f>"王敏洁"</f>
        <v>王敏洁</v>
      </c>
      <c r="D308" s="8" t="str">
        <f t="shared" si="29"/>
        <v>女</v>
      </c>
      <c r="E308" s="8" t="str">
        <f>"2022026617"</f>
        <v>2022026617</v>
      </c>
      <c r="F308" s="9">
        <v>0</v>
      </c>
      <c r="G308" s="9">
        <v>0</v>
      </c>
      <c r="H308" s="9">
        <v>0</v>
      </c>
      <c r="I308" s="9">
        <v>76</v>
      </c>
      <c r="J308" s="10" t="s">
        <v>13</v>
      </c>
      <c r="K308" s="11" t="s">
        <v>12</v>
      </c>
    </row>
    <row r="309" s="1" customFormat="1" customHeight="1" spans="1:11">
      <c r="A309" s="8" t="str">
        <f t="shared" si="28"/>
        <v>F13F</v>
      </c>
      <c r="B309" s="8" t="s">
        <v>105</v>
      </c>
      <c r="C309" s="8" t="str">
        <f>"李容"</f>
        <v>李容</v>
      </c>
      <c r="D309" s="8" t="str">
        <f t="shared" si="29"/>
        <v>女</v>
      </c>
      <c r="E309" s="8" t="str">
        <f>"2022026621"</f>
        <v>2022026621</v>
      </c>
      <c r="F309" s="9">
        <v>0</v>
      </c>
      <c r="G309" s="9">
        <v>0</v>
      </c>
      <c r="H309" s="9">
        <v>0</v>
      </c>
      <c r="I309" s="9">
        <v>76</v>
      </c>
      <c r="J309" s="10" t="s">
        <v>13</v>
      </c>
      <c r="K309" s="11" t="s">
        <v>12</v>
      </c>
    </row>
    <row r="310" s="1" customFormat="1" customHeight="1" spans="1:11">
      <c r="A310" s="8" t="str">
        <f t="shared" si="28"/>
        <v>F13F</v>
      </c>
      <c r="B310" s="8" t="s">
        <v>105</v>
      </c>
      <c r="C310" s="8" t="str">
        <f>"杨敏"</f>
        <v>杨敏</v>
      </c>
      <c r="D310" s="8" t="str">
        <f t="shared" si="29"/>
        <v>女</v>
      </c>
      <c r="E310" s="8" t="str">
        <f>"2022026622"</f>
        <v>2022026622</v>
      </c>
      <c r="F310" s="9">
        <v>0</v>
      </c>
      <c r="G310" s="9">
        <v>0</v>
      </c>
      <c r="H310" s="9">
        <v>0</v>
      </c>
      <c r="I310" s="9">
        <v>76</v>
      </c>
      <c r="J310" s="10" t="s">
        <v>13</v>
      </c>
      <c r="K310" s="11" t="s">
        <v>12</v>
      </c>
    </row>
    <row r="311" s="1" customFormat="1" customHeight="1" spans="1:11">
      <c r="A311" s="8" t="str">
        <f t="shared" si="28"/>
        <v>F13F</v>
      </c>
      <c r="B311" s="8" t="s">
        <v>105</v>
      </c>
      <c r="C311" s="8" t="str">
        <f>"张颖"</f>
        <v>张颖</v>
      </c>
      <c r="D311" s="8" t="str">
        <f t="shared" si="29"/>
        <v>女</v>
      </c>
      <c r="E311" s="8" t="str">
        <f>"2022026630"</f>
        <v>2022026630</v>
      </c>
      <c r="F311" s="9">
        <v>0</v>
      </c>
      <c r="G311" s="9">
        <v>0</v>
      </c>
      <c r="H311" s="9">
        <v>0</v>
      </c>
      <c r="I311" s="9">
        <v>76</v>
      </c>
      <c r="J311" s="10" t="s">
        <v>13</v>
      </c>
      <c r="K311" s="11" t="s">
        <v>12</v>
      </c>
    </row>
    <row r="312" s="1" customFormat="1" customHeight="1" spans="1:11">
      <c r="A312" s="8" t="str">
        <f t="shared" si="28"/>
        <v>F13F</v>
      </c>
      <c r="B312" s="8" t="s">
        <v>105</v>
      </c>
      <c r="C312" s="8" t="str">
        <f>"黄菊兰"</f>
        <v>黄菊兰</v>
      </c>
      <c r="D312" s="8" t="str">
        <f t="shared" si="29"/>
        <v>女</v>
      </c>
      <c r="E312" s="8" t="str">
        <f>"2022026707"</f>
        <v>2022026707</v>
      </c>
      <c r="F312" s="9">
        <v>0</v>
      </c>
      <c r="G312" s="9">
        <v>0</v>
      </c>
      <c r="H312" s="9">
        <v>0</v>
      </c>
      <c r="I312" s="9">
        <v>76</v>
      </c>
      <c r="J312" s="10" t="s">
        <v>13</v>
      </c>
      <c r="K312" s="11" t="s">
        <v>12</v>
      </c>
    </row>
    <row r="313" s="1" customFormat="1" customHeight="1" spans="1:11">
      <c r="A313" s="8" t="str">
        <f t="shared" si="28"/>
        <v>F13F</v>
      </c>
      <c r="B313" s="8" t="s">
        <v>105</v>
      </c>
      <c r="C313" s="8" t="str">
        <f>"朱丽华"</f>
        <v>朱丽华</v>
      </c>
      <c r="D313" s="8" t="str">
        <f t="shared" si="29"/>
        <v>女</v>
      </c>
      <c r="E313" s="8" t="str">
        <f>"2022026719"</f>
        <v>2022026719</v>
      </c>
      <c r="F313" s="9">
        <v>0</v>
      </c>
      <c r="G313" s="9">
        <v>0</v>
      </c>
      <c r="H313" s="9">
        <v>0</v>
      </c>
      <c r="I313" s="9">
        <v>76</v>
      </c>
      <c r="J313" s="10" t="s">
        <v>13</v>
      </c>
      <c r="K313" s="11" t="s">
        <v>12</v>
      </c>
    </row>
    <row r="314" s="1" customFormat="1" customHeight="1" spans="1:11">
      <c r="A314" s="8" t="str">
        <f t="shared" si="28"/>
        <v>F13F</v>
      </c>
      <c r="B314" s="8" t="s">
        <v>105</v>
      </c>
      <c r="C314" s="8" t="str">
        <f>"戴薇"</f>
        <v>戴薇</v>
      </c>
      <c r="D314" s="8" t="str">
        <f t="shared" si="29"/>
        <v>女</v>
      </c>
      <c r="E314" s="8" t="str">
        <f>"2022026729"</f>
        <v>2022026729</v>
      </c>
      <c r="F314" s="9">
        <v>0</v>
      </c>
      <c r="G314" s="9">
        <v>0</v>
      </c>
      <c r="H314" s="9">
        <v>0</v>
      </c>
      <c r="I314" s="9">
        <v>76</v>
      </c>
      <c r="J314" s="10" t="s">
        <v>13</v>
      </c>
      <c r="K314" s="11" t="s">
        <v>12</v>
      </c>
    </row>
    <row r="315" s="1" customFormat="1" customHeight="1" spans="1:11">
      <c r="A315" s="8" t="str">
        <f t="shared" ref="A315:A332" si="30">"F1F"</f>
        <v>F1F</v>
      </c>
      <c r="B315" s="8" t="s">
        <v>106</v>
      </c>
      <c r="C315" s="8" t="str">
        <f>"伍文英"</f>
        <v>伍文英</v>
      </c>
      <c r="D315" s="8" t="str">
        <f t="shared" si="29"/>
        <v>女</v>
      </c>
      <c r="E315" s="8" t="str">
        <f>"2022027931"</f>
        <v>2022027931</v>
      </c>
      <c r="F315" s="9">
        <v>69.4</v>
      </c>
      <c r="G315" s="9">
        <v>74</v>
      </c>
      <c r="H315" s="9">
        <v>71.24</v>
      </c>
      <c r="I315" s="9">
        <v>1</v>
      </c>
      <c r="J315" s="10" t="s">
        <v>73</v>
      </c>
      <c r="K315" s="11" t="s">
        <v>11</v>
      </c>
    </row>
    <row r="316" s="1" customFormat="1" customHeight="1" spans="1:11">
      <c r="A316" s="8" t="str">
        <f t="shared" si="30"/>
        <v>F1F</v>
      </c>
      <c r="B316" s="8" t="s">
        <v>106</v>
      </c>
      <c r="C316" s="8" t="str">
        <f>"罗馗"</f>
        <v>罗馗</v>
      </c>
      <c r="D316" s="8" t="str">
        <f t="shared" ref="D316:D319" si="31">"男"</f>
        <v>男</v>
      </c>
      <c r="E316" s="8" t="str">
        <f>"2022027918"</f>
        <v>2022027918</v>
      </c>
      <c r="F316" s="9">
        <v>67</v>
      </c>
      <c r="G316" s="9">
        <v>72</v>
      </c>
      <c r="H316" s="9">
        <v>69</v>
      </c>
      <c r="I316" s="9">
        <v>2</v>
      </c>
      <c r="J316" s="10" t="s">
        <v>73</v>
      </c>
      <c r="K316" s="11" t="s">
        <v>12</v>
      </c>
    </row>
    <row r="317" s="1" customFormat="1" customHeight="1" spans="1:11">
      <c r="A317" s="8" t="str">
        <f t="shared" si="30"/>
        <v>F1F</v>
      </c>
      <c r="B317" s="8" t="s">
        <v>106</v>
      </c>
      <c r="C317" s="8" t="str">
        <f>"肖腾"</f>
        <v>肖腾</v>
      </c>
      <c r="D317" s="8" t="str">
        <f t="shared" si="31"/>
        <v>男</v>
      </c>
      <c r="E317" s="8" t="str">
        <f>"2022027916"</f>
        <v>2022027916</v>
      </c>
      <c r="F317" s="9">
        <v>60.8</v>
      </c>
      <c r="G317" s="9">
        <v>72</v>
      </c>
      <c r="H317" s="9">
        <v>65.28</v>
      </c>
      <c r="I317" s="9">
        <v>3</v>
      </c>
      <c r="J317" s="10" t="s">
        <v>73</v>
      </c>
      <c r="K317" s="11" t="s">
        <v>12</v>
      </c>
    </row>
    <row r="318" s="1" customFormat="1" customHeight="1" spans="1:11">
      <c r="A318" s="8" t="str">
        <f t="shared" si="30"/>
        <v>F1F</v>
      </c>
      <c r="B318" s="8" t="s">
        <v>106</v>
      </c>
      <c r="C318" s="8" t="str">
        <f>"刘佳"</f>
        <v>刘佳</v>
      </c>
      <c r="D318" s="8" t="str">
        <f>"女"</f>
        <v>女</v>
      </c>
      <c r="E318" s="8" t="str">
        <f>"2022027917"</f>
        <v>2022027917</v>
      </c>
      <c r="F318" s="9">
        <v>61</v>
      </c>
      <c r="G318" s="9">
        <v>70</v>
      </c>
      <c r="H318" s="9">
        <v>64.6</v>
      </c>
      <c r="I318" s="9">
        <v>4</v>
      </c>
      <c r="J318" s="10" t="s">
        <v>73</v>
      </c>
      <c r="K318" s="11" t="s">
        <v>12</v>
      </c>
    </row>
    <row r="319" s="1" customFormat="1" customHeight="1" spans="1:11">
      <c r="A319" s="8" t="str">
        <f t="shared" si="30"/>
        <v>F1F</v>
      </c>
      <c r="B319" s="8" t="s">
        <v>106</v>
      </c>
      <c r="C319" s="8" t="str">
        <f>"唐明烨"</f>
        <v>唐明烨</v>
      </c>
      <c r="D319" s="8" t="str">
        <f t="shared" si="31"/>
        <v>男</v>
      </c>
      <c r="E319" s="8" t="str">
        <f>"2022027924"</f>
        <v>2022027924</v>
      </c>
      <c r="F319" s="9">
        <v>56.6</v>
      </c>
      <c r="G319" s="9">
        <v>70</v>
      </c>
      <c r="H319" s="9">
        <v>61.96</v>
      </c>
      <c r="I319" s="9">
        <v>5</v>
      </c>
      <c r="J319" s="10" t="s">
        <v>73</v>
      </c>
      <c r="K319" s="11" t="s">
        <v>12</v>
      </c>
    </row>
    <row r="320" s="1" customFormat="1" customHeight="1" spans="1:11">
      <c r="A320" s="8" t="str">
        <f t="shared" si="30"/>
        <v>F1F</v>
      </c>
      <c r="B320" s="8" t="s">
        <v>106</v>
      </c>
      <c r="C320" s="8" t="str">
        <f>"刘乐萍"</f>
        <v>刘乐萍</v>
      </c>
      <c r="D320" s="8" t="str">
        <f>"女"</f>
        <v>女</v>
      </c>
      <c r="E320" s="8" t="str">
        <f>"2022027927"</f>
        <v>2022027927</v>
      </c>
      <c r="F320" s="9">
        <v>56.6</v>
      </c>
      <c r="G320" s="9">
        <v>70</v>
      </c>
      <c r="H320" s="9">
        <v>61.96</v>
      </c>
      <c r="I320" s="9">
        <v>5</v>
      </c>
      <c r="J320" s="10" t="s">
        <v>73</v>
      </c>
      <c r="K320" s="11" t="s">
        <v>12</v>
      </c>
    </row>
    <row r="321" s="1" customFormat="1" customHeight="1" spans="1:11">
      <c r="A321" s="8" t="str">
        <f t="shared" si="30"/>
        <v>F1F</v>
      </c>
      <c r="B321" s="8" t="s">
        <v>106</v>
      </c>
      <c r="C321" s="8" t="str">
        <f>"刘晴"</f>
        <v>刘晴</v>
      </c>
      <c r="D321" s="8" t="str">
        <f t="shared" ref="D321:D325" si="32">"男"</f>
        <v>男</v>
      </c>
      <c r="E321" s="8" t="str">
        <f>"2022027925"</f>
        <v>2022027925</v>
      </c>
      <c r="F321" s="9">
        <v>54.8</v>
      </c>
      <c r="G321" s="9">
        <v>72</v>
      </c>
      <c r="H321" s="9">
        <v>61.68</v>
      </c>
      <c r="I321" s="9">
        <v>7</v>
      </c>
      <c r="J321" s="10" t="s">
        <v>73</v>
      </c>
      <c r="K321" s="11" t="s">
        <v>12</v>
      </c>
    </row>
    <row r="322" s="1" customFormat="1" customHeight="1" spans="1:11">
      <c r="A322" s="8" t="str">
        <f t="shared" si="30"/>
        <v>F1F</v>
      </c>
      <c r="B322" s="8" t="s">
        <v>106</v>
      </c>
      <c r="C322" s="8" t="str">
        <f>"陶峰"</f>
        <v>陶峰</v>
      </c>
      <c r="D322" s="8" t="str">
        <f t="shared" si="32"/>
        <v>男</v>
      </c>
      <c r="E322" s="8" t="str">
        <f>"2022027921"</f>
        <v>2022027921</v>
      </c>
      <c r="F322" s="9">
        <v>52.2</v>
      </c>
      <c r="G322" s="9">
        <v>73</v>
      </c>
      <c r="H322" s="9">
        <v>60.52</v>
      </c>
      <c r="I322" s="9">
        <v>8</v>
      </c>
      <c r="J322" s="10" t="s">
        <v>73</v>
      </c>
      <c r="K322" s="11" t="s">
        <v>12</v>
      </c>
    </row>
    <row r="323" s="1" customFormat="1" customHeight="1" spans="1:11">
      <c r="A323" s="8" t="str">
        <f t="shared" si="30"/>
        <v>F1F</v>
      </c>
      <c r="B323" s="8" t="s">
        <v>106</v>
      </c>
      <c r="C323" s="8" t="str">
        <f>"张颂训"</f>
        <v>张颂训</v>
      </c>
      <c r="D323" s="8" t="str">
        <f t="shared" si="32"/>
        <v>男</v>
      </c>
      <c r="E323" s="8" t="str">
        <f>"2022027932"</f>
        <v>2022027932</v>
      </c>
      <c r="F323" s="9">
        <v>54.8</v>
      </c>
      <c r="G323" s="9">
        <v>65</v>
      </c>
      <c r="H323" s="9">
        <v>58.88</v>
      </c>
      <c r="I323" s="9">
        <v>9</v>
      </c>
      <c r="J323" s="10" t="s">
        <v>73</v>
      </c>
      <c r="K323" s="11" t="s">
        <v>12</v>
      </c>
    </row>
    <row r="324" s="1" customFormat="1" customHeight="1" spans="1:11">
      <c r="A324" s="8" t="str">
        <f t="shared" si="30"/>
        <v>F1F</v>
      </c>
      <c r="B324" s="8" t="s">
        <v>106</v>
      </c>
      <c r="C324" s="8" t="str">
        <f>"张伟男"</f>
        <v>张伟男</v>
      </c>
      <c r="D324" s="8" t="str">
        <f t="shared" si="32"/>
        <v>男</v>
      </c>
      <c r="E324" s="8" t="str">
        <f>"2022027930"</f>
        <v>2022027930</v>
      </c>
      <c r="F324" s="9">
        <v>48</v>
      </c>
      <c r="G324" s="9">
        <v>70</v>
      </c>
      <c r="H324" s="9">
        <v>56.8</v>
      </c>
      <c r="I324" s="9">
        <v>10</v>
      </c>
      <c r="J324" s="10" t="s">
        <v>73</v>
      </c>
      <c r="K324" s="11" t="s">
        <v>12</v>
      </c>
    </row>
    <row r="325" s="1" customFormat="1" customHeight="1" spans="1:11">
      <c r="A325" s="8" t="str">
        <f t="shared" si="30"/>
        <v>F1F</v>
      </c>
      <c r="B325" s="8" t="s">
        <v>106</v>
      </c>
      <c r="C325" s="8" t="str">
        <f>"马秦毅"</f>
        <v>马秦毅</v>
      </c>
      <c r="D325" s="8" t="str">
        <f t="shared" si="32"/>
        <v>男</v>
      </c>
      <c r="E325" s="8" t="str">
        <f>"2022027928"</f>
        <v>2022027928</v>
      </c>
      <c r="F325" s="9">
        <v>49.2</v>
      </c>
      <c r="G325" s="9">
        <v>68</v>
      </c>
      <c r="H325" s="9">
        <v>56.72</v>
      </c>
      <c r="I325" s="9">
        <v>11</v>
      </c>
      <c r="J325" s="10" t="s">
        <v>73</v>
      </c>
      <c r="K325" s="11" t="s">
        <v>12</v>
      </c>
    </row>
    <row r="326" s="1" customFormat="1" customHeight="1" spans="1:11">
      <c r="A326" s="8" t="str">
        <f t="shared" si="30"/>
        <v>F1F</v>
      </c>
      <c r="B326" s="8" t="s">
        <v>106</v>
      </c>
      <c r="C326" s="8" t="str">
        <f>"杨艳琴"</f>
        <v>杨艳琴</v>
      </c>
      <c r="D326" s="8" t="str">
        <f t="shared" ref="D326:D328" si="33">"女"</f>
        <v>女</v>
      </c>
      <c r="E326" s="8" t="str">
        <f>"2022027915"</f>
        <v>2022027915</v>
      </c>
      <c r="F326" s="9">
        <v>50.8</v>
      </c>
      <c r="G326" s="9">
        <v>65</v>
      </c>
      <c r="H326" s="9">
        <v>56.48</v>
      </c>
      <c r="I326" s="9">
        <v>12</v>
      </c>
      <c r="J326" s="10" t="s">
        <v>73</v>
      </c>
      <c r="K326" s="11" t="s">
        <v>12</v>
      </c>
    </row>
    <row r="327" s="1" customFormat="1" customHeight="1" spans="1:11">
      <c r="A327" s="8" t="str">
        <f t="shared" si="30"/>
        <v>F1F</v>
      </c>
      <c r="B327" s="8" t="s">
        <v>106</v>
      </c>
      <c r="C327" s="8" t="str">
        <f>"于菲"</f>
        <v>于菲</v>
      </c>
      <c r="D327" s="8" t="str">
        <f t="shared" si="33"/>
        <v>女</v>
      </c>
      <c r="E327" s="8" t="str">
        <f>"2022027919"</f>
        <v>2022027919</v>
      </c>
      <c r="F327" s="9">
        <v>0</v>
      </c>
      <c r="G327" s="9">
        <v>0</v>
      </c>
      <c r="H327" s="9">
        <v>0</v>
      </c>
      <c r="I327" s="9">
        <v>13</v>
      </c>
      <c r="J327" s="10" t="s">
        <v>13</v>
      </c>
      <c r="K327" s="11" t="s">
        <v>12</v>
      </c>
    </row>
    <row r="328" s="1" customFormat="1" customHeight="1" spans="1:11">
      <c r="A328" s="8" t="str">
        <f t="shared" si="30"/>
        <v>F1F</v>
      </c>
      <c r="B328" s="8" t="s">
        <v>106</v>
      </c>
      <c r="C328" s="8" t="str">
        <f>"吕玲"</f>
        <v>吕玲</v>
      </c>
      <c r="D328" s="8" t="str">
        <f t="shared" si="33"/>
        <v>女</v>
      </c>
      <c r="E328" s="8" t="str">
        <f>"2022027920"</f>
        <v>2022027920</v>
      </c>
      <c r="F328" s="9">
        <v>0</v>
      </c>
      <c r="G328" s="9">
        <v>0</v>
      </c>
      <c r="H328" s="9">
        <v>0</v>
      </c>
      <c r="I328" s="9">
        <v>13</v>
      </c>
      <c r="J328" s="10" t="s">
        <v>13</v>
      </c>
      <c r="K328" s="11" t="s">
        <v>12</v>
      </c>
    </row>
    <row r="329" s="1" customFormat="1" customHeight="1" spans="1:11">
      <c r="A329" s="8" t="str">
        <f t="shared" si="30"/>
        <v>F1F</v>
      </c>
      <c r="B329" s="8" t="s">
        <v>106</v>
      </c>
      <c r="C329" s="8" t="str">
        <f>"郭定豪"</f>
        <v>郭定豪</v>
      </c>
      <c r="D329" s="8" t="str">
        <f t="shared" ref="D329:D334" si="34">"男"</f>
        <v>男</v>
      </c>
      <c r="E329" s="8" t="str">
        <f>"2022027922"</f>
        <v>2022027922</v>
      </c>
      <c r="F329" s="9">
        <v>0</v>
      </c>
      <c r="G329" s="9">
        <v>0</v>
      </c>
      <c r="H329" s="9">
        <v>0</v>
      </c>
      <c r="I329" s="9">
        <v>13</v>
      </c>
      <c r="J329" s="10" t="s">
        <v>13</v>
      </c>
      <c r="K329" s="11" t="s">
        <v>12</v>
      </c>
    </row>
    <row r="330" s="1" customFormat="1" customHeight="1" spans="1:11">
      <c r="A330" s="8" t="str">
        <f t="shared" si="30"/>
        <v>F1F</v>
      </c>
      <c r="B330" s="8" t="s">
        <v>106</v>
      </c>
      <c r="C330" s="8" t="str">
        <f>"曾桂玲"</f>
        <v>曾桂玲</v>
      </c>
      <c r="D330" s="8" t="str">
        <f t="shared" ref="D330:D332" si="35">"女"</f>
        <v>女</v>
      </c>
      <c r="E330" s="8" t="str">
        <f>"2022027923"</f>
        <v>2022027923</v>
      </c>
      <c r="F330" s="9">
        <v>0</v>
      </c>
      <c r="G330" s="9">
        <v>0</v>
      </c>
      <c r="H330" s="9">
        <v>0</v>
      </c>
      <c r="I330" s="9">
        <v>13</v>
      </c>
      <c r="J330" s="10" t="s">
        <v>13</v>
      </c>
      <c r="K330" s="11" t="s">
        <v>12</v>
      </c>
    </row>
    <row r="331" s="1" customFormat="1" customHeight="1" spans="1:11">
      <c r="A331" s="8" t="str">
        <f t="shared" si="30"/>
        <v>F1F</v>
      </c>
      <c r="B331" s="8" t="s">
        <v>106</v>
      </c>
      <c r="C331" s="8" t="str">
        <f>"阳洁敏"</f>
        <v>阳洁敏</v>
      </c>
      <c r="D331" s="8" t="str">
        <f t="shared" si="35"/>
        <v>女</v>
      </c>
      <c r="E331" s="8" t="str">
        <f>"2022027926"</f>
        <v>2022027926</v>
      </c>
      <c r="F331" s="9">
        <v>0</v>
      </c>
      <c r="G331" s="9">
        <v>0</v>
      </c>
      <c r="H331" s="9">
        <v>0</v>
      </c>
      <c r="I331" s="9">
        <v>13</v>
      </c>
      <c r="J331" s="10" t="s">
        <v>13</v>
      </c>
      <c r="K331" s="11" t="s">
        <v>12</v>
      </c>
    </row>
    <row r="332" s="1" customFormat="1" customHeight="1" spans="1:11">
      <c r="A332" s="8" t="str">
        <f t="shared" si="30"/>
        <v>F1F</v>
      </c>
      <c r="B332" s="8" t="s">
        <v>106</v>
      </c>
      <c r="C332" s="8" t="str">
        <f>"刘堂金"</f>
        <v>刘堂金</v>
      </c>
      <c r="D332" s="8" t="str">
        <f t="shared" si="35"/>
        <v>女</v>
      </c>
      <c r="E332" s="8" t="str">
        <f>"2022027929"</f>
        <v>2022027929</v>
      </c>
      <c r="F332" s="9">
        <v>0</v>
      </c>
      <c r="G332" s="9">
        <v>0</v>
      </c>
      <c r="H332" s="9">
        <v>0</v>
      </c>
      <c r="I332" s="9">
        <v>13</v>
      </c>
      <c r="J332" s="10" t="s">
        <v>13</v>
      </c>
      <c r="K332" s="11" t="s">
        <v>12</v>
      </c>
    </row>
    <row r="333" s="1" customFormat="1" customHeight="1" spans="1:11">
      <c r="A333" s="8" t="str">
        <f t="shared" ref="A333:A336" si="36">"F3F"</f>
        <v>F3F</v>
      </c>
      <c r="B333" s="8" t="s">
        <v>107</v>
      </c>
      <c r="C333" s="8" t="str">
        <f>"柳皓"</f>
        <v>柳皓</v>
      </c>
      <c r="D333" s="8" t="str">
        <f t="shared" si="34"/>
        <v>男</v>
      </c>
      <c r="E333" s="8" t="str">
        <f>"2022027825"</f>
        <v>2022027825</v>
      </c>
      <c r="F333" s="9">
        <v>53.4</v>
      </c>
      <c r="G333" s="9">
        <v>69</v>
      </c>
      <c r="H333" s="9">
        <v>59.64</v>
      </c>
      <c r="I333" s="9">
        <v>1</v>
      </c>
      <c r="J333" s="10" t="s">
        <v>73</v>
      </c>
      <c r="K333" s="12" t="s">
        <v>12</v>
      </c>
    </row>
    <row r="334" s="1" customFormat="1" customHeight="1" spans="1:11">
      <c r="A334" s="8" t="str">
        <f t="shared" si="36"/>
        <v>F3F</v>
      </c>
      <c r="B334" s="8" t="s">
        <v>107</v>
      </c>
      <c r="C334" s="8" t="str">
        <f>"禹石"</f>
        <v>禹石</v>
      </c>
      <c r="D334" s="8" t="str">
        <f t="shared" si="34"/>
        <v>男</v>
      </c>
      <c r="E334" s="8" t="str">
        <f>"2022027826"</f>
        <v>2022027826</v>
      </c>
      <c r="F334" s="9">
        <v>41.6</v>
      </c>
      <c r="G334" s="9">
        <v>81</v>
      </c>
      <c r="H334" s="9">
        <v>57.36</v>
      </c>
      <c r="I334" s="9">
        <v>2</v>
      </c>
      <c r="J334" s="10" t="s">
        <v>73</v>
      </c>
      <c r="K334" s="11" t="s">
        <v>12</v>
      </c>
    </row>
    <row r="335" s="1" customFormat="1" customHeight="1" spans="1:11">
      <c r="A335" s="8" t="str">
        <f t="shared" si="36"/>
        <v>F3F</v>
      </c>
      <c r="B335" s="8" t="s">
        <v>107</v>
      </c>
      <c r="C335" s="8" t="str">
        <f>"张婷"</f>
        <v>张婷</v>
      </c>
      <c r="D335" s="8" t="str">
        <f t="shared" ref="D335:D344" si="37">"女"</f>
        <v>女</v>
      </c>
      <c r="E335" s="8" t="str">
        <f>"2022027827"</f>
        <v>2022027827</v>
      </c>
      <c r="F335" s="9">
        <v>0</v>
      </c>
      <c r="G335" s="9">
        <v>0</v>
      </c>
      <c r="H335" s="9">
        <v>0</v>
      </c>
      <c r="I335" s="9">
        <v>3</v>
      </c>
      <c r="J335" s="10" t="s">
        <v>13</v>
      </c>
      <c r="K335" s="11" t="s">
        <v>12</v>
      </c>
    </row>
    <row r="336" s="1" customFormat="1" customHeight="1" spans="1:11">
      <c r="A336" s="8" t="str">
        <f t="shared" si="36"/>
        <v>F3F</v>
      </c>
      <c r="B336" s="8" t="s">
        <v>107</v>
      </c>
      <c r="C336" s="8" t="str">
        <f>"唐华彪"</f>
        <v>唐华彪</v>
      </c>
      <c r="D336" s="8" t="str">
        <f>"男"</f>
        <v>男</v>
      </c>
      <c r="E336" s="8" t="str">
        <f>"2022027828"</f>
        <v>2022027828</v>
      </c>
      <c r="F336" s="9">
        <v>0</v>
      </c>
      <c r="G336" s="9">
        <v>0</v>
      </c>
      <c r="H336" s="9">
        <v>0</v>
      </c>
      <c r="I336" s="9">
        <v>3</v>
      </c>
      <c r="J336" s="10" t="s">
        <v>13</v>
      </c>
      <c r="K336" s="11" t="s">
        <v>12</v>
      </c>
    </row>
    <row r="337" s="1" customFormat="1" customHeight="1" spans="1:11">
      <c r="A337" s="8" t="str">
        <f t="shared" ref="A337:A339" si="38">"F4F"</f>
        <v>F4F</v>
      </c>
      <c r="B337" s="8" t="s">
        <v>74</v>
      </c>
      <c r="C337" s="8" t="str">
        <f>"陈缘芳"</f>
        <v>陈缘芳</v>
      </c>
      <c r="D337" s="8" t="str">
        <f t="shared" si="37"/>
        <v>女</v>
      </c>
      <c r="E337" s="8" t="str">
        <f>"2022027704"</f>
        <v>2022027704</v>
      </c>
      <c r="F337" s="9">
        <v>45.2</v>
      </c>
      <c r="G337" s="9">
        <v>73.5</v>
      </c>
      <c r="H337" s="9">
        <v>56.52</v>
      </c>
      <c r="I337" s="9">
        <v>1</v>
      </c>
      <c r="J337" s="10" t="s">
        <v>73</v>
      </c>
      <c r="K337" s="12" t="s">
        <v>12</v>
      </c>
    </row>
    <row r="338" s="1" customFormat="1" customHeight="1" spans="1:11">
      <c r="A338" s="8" t="str">
        <f t="shared" si="38"/>
        <v>F4F</v>
      </c>
      <c r="B338" s="8" t="s">
        <v>74</v>
      </c>
      <c r="C338" s="8" t="str">
        <f>"方菁婕"</f>
        <v>方菁婕</v>
      </c>
      <c r="D338" s="8" t="str">
        <f t="shared" si="37"/>
        <v>女</v>
      </c>
      <c r="E338" s="8" t="str">
        <f>"2022027705"</f>
        <v>2022027705</v>
      </c>
      <c r="F338" s="9">
        <v>0</v>
      </c>
      <c r="G338" s="9">
        <v>0</v>
      </c>
      <c r="H338" s="9">
        <v>0</v>
      </c>
      <c r="I338" s="9">
        <v>2</v>
      </c>
      <c r="J338" s="10" t="s">
        <v>13</v>
      </c>
      <c r="K338" s="11" t="s">
        <v>12</v>
      </c>
    </row>
    <row r="339" s="1" customFormat="1" customHeight="1" spans="1:11">
      <c r="A339" s="8" t="str">
        <f t="shared" si="38"/>
        <v>F4F</v>
      </c>
      <c r="B339" s="8" t="s">
        <v>74</v>
      </c>
      <c r="C339" s="8" t="str">
        <f>"孟仁华"</f>
        <v>孟仁华</v>
      </c>
      <c r="D339" s="8" t="str">
        <f t="shared" si="37"/>
        <v>女</v>
      </c>
      <c r="E339" s="8" t="str">
        <f>"2022027706"</f>
        <v>2022027706</v>
      </c>
      <c r="F339" s="9">
        <v>0</v>
      </c>
      <c r="G339" s="9">
        <v>0</v>
      </c>
      <c r="H339" s="9">
        <v>0</v>
      </c>
      <c r="I339" s="9">
        <v>2</v>
      </c>
      <c r="J339" s="10" t="s">
        <v>13</v>
      </c>
      <c r="K339" s="11" t="s">
        <v>12</v>
      </c>
    </row>
    <row r="340" s="1" customFormat="1" customHeight="1" spans="1:11">
      <c r="A340" s="8" t="str">
        <f t="shared" ref="A340:A345" si="39">"F5G"</f>
        <v>F5G</v>
      </c>
      <c r="B340" s="8" t="s">
        <v>108</v>
      </c>
      <c r="C340" s="8" t="str">
        <f>"彭才祝"</f>
        <v>彭才祝</v>
      </c>
      <c r="D340" s="8" t="str">
        <f t="shared" si="37"/>
        <v>女</v>
      </c>
      <c r="E340" s="8" t="str">
        <f>"2022028009"</f>
        <v>2022028009</v>
      </c>
      <c r="F340" s="9">
        <v>45.2</v>
      </c>
      <c r="G340" s="9">
        <v>76</v>
      </c>
      <c r="H340" s="9">
        <v>57.52</v>
      </c>
      <c r="I340" s="9">
        <v>1</v>
      </c>
      <c r="J340" s="10" t="s">
        <v>73</v>
      </c>
      <c r="K340" s="11" t="s">
        <v>11</v>
      </c>
    </row>
    <row r="341" s="1" customFormat="1" customHeight="1" spans="1:11">
      <c r="A341" s="8" t="str">
        <f t="shared" si="39"/>
        <v>F5G</v>
      </c>
      <c r="B341" s="8" t="s">
        <v>108</v>
      </c>
      <c r="C341" s="8" t="str">
        <f>"吴宛容"</f>
        <v>吴宛容</v>
      </c>
      <c r="D341" s="8" t="str">
        <f t="shared" si="37"/>
        <v>女</v>
      </c>
      <c r="E341" s="8" t="str">
        <f>"2022028010"</f>
        <v>2022028010</v>
      </c>
      <c r="F341" s="9">
        <v>45</v>
      </c>
      <c r="G341" s="9">
        <v>68</v>
      </c>
      <c r="H341" s="9">
        <v>54.2</v>
      </c>
      <c r="I341" s="9">
        <v>2</v>
      </c>
      <c r="J341" s="10" t="s">
        <v>73</v>
      </c>
      <c r="K341" s="11" t="s">
        <v>12</v>
      </c>
    </row>
    <row r="342" s="1" customFormat="1" customHeight="1" spans="1:11">
      <c r="A342" s="8" t="str">
        <f t="shared" si="39"/>
        <v>F5G</v>
      </c>
      <c r="B342" s="8" t="s">
        <v>108</v>
      </c>
      <c r="C342" s="8" t="str">
        <f>"杨丽琴"</f>
        <v>杨丽琴</v>
      </c>
      <c r="D342" s="8" t="str">
        <f t="shared" si="37"/>
        <v>女</v>
      </c>
      <c r="E342" s="8" t="str">
        <f>"2022028008"</f>
        <v>2022028008</v>
      </c>
      <c r="F342" s="9">
        <v>36.8</v>
      </c>
      <c r="G342" s="9">
        <v>51</v>
      </c>
      <c r="H342" s="9">
        <v>42.48</v>
      </c>
      <c r="I342" s="9">
        <v>3</v>
      </c>
      <c r="J342" s="10" t="s">
        <v>73</v>
      </c>
      <c r="K342" s="11" t="s">
        <v>12</v>
      </c>
    </row>
    <row r="343" s="1" customFormat="1" customHeight="1" spans="1:11">
      <c r="A343" s="8" t="str">
        <f t="shared" si="39"/>
        <v>F5G</v>
      </c>
      <c r="B343" s="8" t="s">
        <v>108</v>
      </c>
      <c r="C343" s="8" t="str">
        <f>"李丽"</f>
        <v>李丽</v>
      </c>
      <c r="D343" s="8" t="str">
        <f t="shared" si="37"/>
        <v>女</v>
      </c>
      <c r="E343" s="8" t="str">
        <f>"2022028006"</f>
        <v>2022028006</v>
      </c>
      <c r="F343" s="9">
        <v>33.8</v>
      </c>
      <c r="G343" s="9">
        <v>50</v>
      </c>
      <c r="H343" s="9">
        <v>40.28</v>
      </c>
      <c r="I343" s="9">
        <v>4</v>
      </c>
      <c r="J343" s="10" t="s">
        <v>73</v>
      </c>
      <c r="K343" s="11" t="s">
        <v>12</v>
      </c>
    </row>
    <row r="344" s="1" customFormat="1" customHeight="1" spans="1:11">
      <c r="A344" s="8" t="str">
        <f t="shared" si="39"/>
        <v>F5G</v>
      </c>
      <c r="B344" s="8" t="s">
        <v>108</v>
      </c>
      <c r="C344" s="8" t="str">
        <f>"杨艺"</f>
        <v>杨艺</v>
      </c>
      <c r="D344" s="8" t="str">
        <f t="shared" si="37"/>
        <v>女</v>
      </c>
      <c r="E344" s="8" t="str">
        <f>"2022028007"</f>
        <v>2022028007</v>
      </c>
      <c r="F344" s="9">
        <v>39.4</v>
      </c>
      <c r="G344" s="9">
        <v>35</v>
      </c>
      <c r="H344" s="9">
        <v>37.64</v>
      </c>
      <c r="I344" s="9">
        <v>5</v>
      </c>
      <c r="J344" s="10" t="s">
        <v>73</v>
      </c>
      <c r="K344" s="11" t="s">
        <v>12</v>
      </c>
    </row>
    <row r="345" s="1" customFormat="1" customHeight="1" spans="1:11">
      <c r="A345" s="8" t="str">
        <f t="shared" si="39"/>
        <v>F5G</v>
      </c>
      <c r="B345" s="8" t="s">
        <v>108</v>
      </c>
      <c r="C345" s="8" t="str">
        <f>"蒋久武"</f>
        <v>蒋久武</v>
      </c>
      <c r="D345" s="8" t="str">
        <f t="shared" ref="D345:D349" si="40">"男"</f>
        <v>男</v>
      </c>
      <c r="E345" s="8" t="str">
        <f>"2022028011"</f>
        <v>2022028011</v>
      </c>
      <c r="F345" s="9">
        <v>0</v>
      </c>
      <c r="G345" s="9">
        <v>0</v>
      </c>
      <c r="H345" s="9">
        <v>0</v>
      </c>
      <c r="I345" s="9">
        <v>6</v>
      </c>
      <c r="J345" s="10" t="s">
        <v>13</v>
      </c>
      <c r="K345" s="11" t="s">
        <v>12</v>
      </c>
    </row>
    <row r="346" s="1" customFormat="1" customHeight="1" spans="1:11">
      <c r="A346" s="8" t="str">
        <f t="shared" ref="A346:A351" si="41">"F6F"</f>
        <v>F6F</v>
      </c>
      <c r="B346" s="8" t="s">
        <v>109</v>
      </c>
      <c r="C346" s="8" t="str">
        <f>"肖时文"</f>
        <v>肖时文</v>
      </c>
      <c r="D346" s="8" t="str">
        <f t="shared" si="40"/>
        <v>男</v>
      </c>
      <c r="E346" s="8" t="str">
        <f>"2022028023"</f>
        <v>2022028023</v>
      </c>
      <c r="F346" s="9">
        <v>65.2</v>
      </c>
      <c r="G346" s="9">
        <v>89.5</v>
      </c>
      <c r="H346" s="9">
        <v>74.92</v>
      </c>
      <c r="I346" s="9">
        <v>1</v>
      </c>
      <c r="J346" s="10" t="s">
        <v>73</v>
      </c>
      <c r="K346" s="11" t="s">
        <v>11</v>
      </c>
    </row>
    <row r="347" s="1" customFormat="1" customHeight="1" spans="1:11">
      <c r="A347" s="8" t="str">
        <f t="shared" si="41"/>
        <v>F6F</v>
      </c>
      <c r="B347" s="8" t="s">
        <v>109</v>
      </c>
      <c r="C347" s="8" t="str">
        <f>"袁艺芬"</f>
        <v>袁艺芬</v>
      </c>
      <c r="D347" s="8" t="str">
        <f t="shared" ref="D347:D351" si="42">"女"</f>
        <v>女</v>
      </c>
      <c r="E347" s="8" t="str">
        <f>"2022028021"</f>
        <v>2022028021</v>
      </c>
      <c r="F347" s="9">
        <v>62.2</v>
      </c>
      <c r="G347" s="9">
        <v>70.5</v>
      </c>
      <c r="H347" s="9">
        <v>65.52</v>
      </c>
      <c r="I347" s="9">
        <v>2</v>
      </c>
      <c r="J347" s="13"/>
      <c r="K347" s="11" t="s">
        <v>12</v>
      </c>
    </row>
    <row r="348" s="1" customFormat="1" customHeight="1" spans="1:11">
      <c r="A348" s="8" t="str">
        <f t="shared" si="41"/>
        <v>F6F</v>
      </c>
      <c r="B348" s="8" t="s">
        <v>109</v>
      </c>
      <c r="C348" s="8" t="str">
        <f>"戴欢"</f>
        <v>戴欢</v>
      </c>
      <c r="D348" s="8" t="str">
        <f t="shared" si="40"/>
        <v>男</v>
      </c>
      <c r="E348" s="8" t="str">
        <f>"2022028025"</f>
        <v>2022028025</v>
      </c>
      <c r="F348" s="9">
        <v>56.6</v>
      </c>
      <c r="G348" s="9">
        <v>78</v>
      </c>
      <c r="H348" s="9">
        <v>65.16</v>
      </c>
      <c r="I348" s="9">
        <v>3</v>
      </c>
      <c r="J348" s="10" t="s">
        <v>73</v>
      </c>
      <c r="K348" s="11" t="s">
        <v>12</v>
      </c>
    </row>
    <row r="349" s="1" customFormat="1" customHeight="1" spans="1:11">
      <c r="A349" s="8" t="str">
        <f t="shared" si="41"/>
        <v>F6F</v>
      </c>
      <c r="B349" s="8" t="s">
        <v>109</v>
      </c>
      <c r="C349" s="8" t="str">
        <f>"张甲勇"</f>
        <v>张甲勇</v>
      </c>
      <c r="D349" s="8" t="str">
        <f t="shared" si="40"/>
        <v>男</v>
      </c>
      <c r="E349" s="8" t="str">
        <f>"2022028024"</f>
        <v>2022028024</v>
      </c>
      <c r="F349" s="9">
        <v>42.8</v>
      </c>
      <c r="G349" s="9">
        <v>66.5</v>
      </c>
      <c r="H349" s="9">
        <v>52.28</v>
      </c>
      <c r="I349" s="9">
        <v>4</v>
      </c>
      <c r="J349" s="10" t="s">
        <v>73</v>
      </c>
      <c r="K349" s="11" t="s">
        <v>12</v>
      </c>
    </row>
    <row r="350" s="1" customFormat="1" customHeight="1" spans="1:11">
      <c r="A350" s="8" t="str">
        <f t="shared" si="41"/>
        <v>F6F</v>
      </c>
      <c r="B350" s="8" t="s">
        <v>109</v>
      </c>
      <c r="C350" s="8" t="str">
        <f>"杨静"</f>
        <v>杨静</v>
      </c>
      <c r="D350" s="8" t="str">
        <f t="shared" si="42"/>
        <v>女</v>
      </c>
      <c r="E350" s="8" t="str">
        <f>"2022028022"</f>
        <v>2022028022</v>
      </c>
      <c r="F350" s="9">
        <v>35.6</v>
      </c>
      <c r="G350" s="9">
        <v>66</v>
      </c>
      <c r="H350" s="9">
        <v>47.76</v>
      </c>
      <c r="I350" s="9">
        <v>5</v>
      </c>
      <c r="J350" s="10" t="s">
        <v>73</v>
      </c>
      <c r="K350" s="11" t="s">
        <v>12</v>
      </c>
    </row>
    <row r="351" s="1" customFormat="1" customHeight="1" spans="1:11">
      <c r="A351" s="8" t="str">
        <f t="shared" si="41"/>
        <v>F6F</v>
      </c>
      <c r="B351" s="8" t="s">
        <v>109</v>
      </c>
      <c r="C351" s="8" t="str">
        <f>"肖智莹"</f>
        <v>肖智莹</v>
      </c>
      <c r="D351" s="8" t="str">
        <f t="shared" si="42"/>
        <v>女</v>
      </c>
      <c r="E351" s="8" t="str">
        <f>"2022028026"</f>
        <v>2022028026</v>
      </c>
      <c r="F351" s="9">
        <v>34</v>
      </c>
      <c r="G351" s="9">
        <v>35</v>
      </c>
      <c r="H351" s="9">
        <v>34.4</v>
      </c>
      <c r="I351" s="9">
        <v>6</v>
      </c>
      <c r="J351" s="10" t="s">
        <v>73</v>
      </c>
      <c r="K351" s="11" t="s">
        <v>12</v>
      </c>
    </row>
    <row r="352" s="1" customFormat="1" customHeight="1" spans="1:11">
      <c r="A352" s="8" t="str">
        <f t="shared" ref="A352:A355" si="43">"F6G"</f>
        <v>F6G</v>
      </c>
      <c r="B352" s="8" t="s">
        <v>110</v>
      </c>
      <c r="C352" s="8" t="str">
        <f>"肖鑫"</f>
        <v>肖鑫</v>
      </c>
      <c r="D352" s="8" t="str">
        <f t="shared" ref="D352:D356" si="44">"男"</f>
        <v>男</v>
      </c>
      <c r="E352" s="8" t="str">
        <f>"2022028027"</f>
        <v>2022028027</v>
      </c>
      <c r="F352" s="9">
        <v>68.4</v>
      </c>
      <c r="G352" s="9">
        <v>72.5</v>
      </c>
      <c r="H352" s="9">
        <v>70.04</v>
      </c>
      <c r="I352" s="9">
        <v>1</v>
      </c>
      <c r="J352" s="10" t="s">
        <v>73</v>
      </c>
      <c r="K352" s="11" t="s">
        <v>11</v>
      </c>
    </row>
    <row r="353" s="1" customFormat="1" customHeight="1" spans="1:11">
      <c r="A353" s="8" t="str">
        <f t="shared" si="43"/>
        <v>F6G</v>
      </c>
      <c r="B353" s="8" t="s">
        <v>110</v>
      </c>
      <c r="C353" s="8" t="str">
        <f>"陈毓"</f>
        <v>陈毓</v>
      </c>
      <c r="D353" s="8" t="str">
        <f t="shared" ref="D353:D357" si="45">"女"</f>
        <v>女</v>
      </c>
      <c r="E353" s="8" t="str">
        <f>"2022028028"</f>
        <v>2022028028</v>
      </c>
      <c r="F353" s="9">
        <v>55.6</v>
      </c>
      <c r="G353" s="9">
        <v>85.5</v>
      </c>
      <c r="H353" s="9">
        <v>67.56</v>
      </c>
      <c r="I353" s="9">
        <v>2</v>
      </c>
      <c r="J353" s="10" t="s">
        <v>73</v>
      </c>
      <c r="K353" s="11" t="s">
        <v>12</v>
      </c>
    </row>
    <row r="354" s="1" customFormat="1" customHeight="1" spans="1:11">
      <c r="A354" s="8" t="str">
        <f t="shared" si="43"/>
        <v>F6G</v>
      </c>
      <c r="B354" s="8" t="s">
        <v>110</v>
      </c>
      <c r="C354" s="8" t="str">
        <f>"杨子心"</f>
        <v>杨子心</v>
      </c>
      <c r="D354" s="8" t="str">
        <f t="shared" si="44"/>
        <v>男</v>
      </c>
      <c r="E354" s="8" t="str">
        <f>"2022028029"</f>
        <v>2022028029</v>
      </c>
      <c r="F354" s="9">
        <v>0</v>
      </c>
      <c r="G354" s="9">
        <v>0</v>
      </c>
      <c r="H354" s="9">
        <v>0</v>
      </c>
      <c r="I354" s="9">
        <v>3</v>
      </c>
      <c r="J354" s="10" t="s">
        <v>13</v>
      </c>
      <c r="K354" s="11" t="s">
        <v>12</v>
      </c>
    </row>
    <row r="355" s="1" customFormat="1" customHeight="1" spans="1:11">
      <c r="A355" s="8" t="str">
        <f t="shared" si="43"/>
        <v>F6G</v>
      </c>
      <c r="B355" s="8" t="s">
        <v>110</v>
      </c>
      <c r="C355" s="8" t="str">
        <f>"王佩"</f>
        <v>王佩</v>
      </c>
      <c r="D355" s="8" t="str">
        <f t="shared" si="45"/>
        <v>女</v>
      </c>
      <c r="E355" s="8" t="str">
        <f>"2022028030"</f>
        <v>2022028030</v>
      </c>
      <c r="F355" s="9">
        <v>0</v>
      </c>
      <c r="G355" s="9">
        <v>0</v>
      </c>
      <c r="H355" s="9">
        <v>0</v>
      </c>
      <c r="I355" s="9">
        <v>3</v>
      </c>
      <c r="J355" s="10" t="s">
        <v>13</v>
      </c>
      <c r="K355" s="11" t="s">
        <v>12</v>
      </c>
    </row>
    <row r="356" s="1" customFormat="1" customHeight="1" spans="1:11">
      <c r="A356" s="8" t="str">
        <f t="shared" ref="A356:A389" si="46">"F7G"</f>
        <v>F7G</v>
      </c>
      <c r="B356" s="8" t="s">
        <v>111</v>
      </c>
      <c r="C356" s="8" t="str">
        <f>"肖云天"</f>
        <v>肖云天</v>
      </c>
      <c r="D356" s="8" t="str">
        <f t="shared" si="44"/>
        <v>男</v>
      </c>
      <c r="E356" s="8" t="str">
        <f>"2022027806"</f>
        <v>2022027806</v>
      </c>
      <c r="F356" s="9">
        <v>69.6</v>
      </c>
      <c r="G356" s="9">
        <v>81</v>
      </c>
      <c r="H356" s="9">
        <v>74.16</v>
      </c>
      <c r="I356" s="9">
        <v>1</v>
      </c>
      <c r="J356" s="10" t="s">
        <v>73</v>
      </c>
      <c r="K356" s="11" t="s">
        <v>11</v>
      </c>
    </row>
    <row r="357" s="1" customFormat="1" customHeight="1" spans="1:11">
      <c r="A357" s="8" t="str">
        <f t="shared" si="46"/>
        <v>F7G</v>
      </c>
      <c r="B357" s="8" t="s">
        <v>111</v>
      </c>
      <c r="C357" s="8" t="str">
        <f>"马孝俐"</f>
        <v>马孝俐</v>
      </c>
      <c r="D357" s="8" t="str">
        <f t="shared" si="45"/>
        <v>女</v>
      </c>
      <c r="E357" s="8" t="str">
        <f>"2022027803"</f>
        <v>2022027803</v>
      </c>
      <c r="F357" s="9">
        <v>51</v>
      </c>
      <c r="G357" s="9">
        <v>82.5</v>
      </c>
      <c r="H357" s="9">
        <v>63.6</v>
      </c>
      <c r="I357" s="9">
        <v>2</v>
      </c>
      <c r="J357" s="10" t="s">
        <v>73</v>
      </c>
      <c r="K357" s="11" t="s">
        <v>12</v>
      </c>
    </row>
    <row r="358" s="1" customFormat="1" customHeight="1" spans="1:11">
      <c r="A358" s="8" t="str">
        <f t="shared" si="46"/>
        <v>F7G</v>
      </c>
      <c r="B358" s="8" t="s">
        <v>111</v>
      </c>
      <c r="C358" s="8" t="str">
        <f>"杨斌"</f>
        <v>杨斌</v>
      </c>
      <c r="D358" s="8" t="str">
        <f>"男"</f>
        <v>男</v>
      </c>
      <c r="E358" s="8" t="str">
        <f>"2022027802"</f>
        <v>2022027802</v>
      </c>
      <c r="F358" s="9">
        <v>49.4</v>
      </c>
      <c r="G358" s="9">
        <v>78.5</v>
      </c>
      <c r="H358" s="9">
        <v>61.04</v>
      </c>
      <c r="I358" s="9">
        <v>3</v>
      </c>
      <c r="J358" s="10" t="s">
        <v>73</v>
      </c>
      <c r="K358" s="11" t="s">
        <v>12</v>
      </c>
    </row>
    <row r="359" s="1" customFormat="1" customHeight="1" spans="1:11">
      <c r="A359" s="8" t="str">
        <f t="shared" si="46"/>
        <v>F7G</v>
      </c>
      <c r="B359" s="8" t="s">
        <v>111</v>
      </c>
      <c r="C359" s="8" t="str">
        <f>"肖佳园"</f>
        <v>肖佳园</v>
      </c>
      <c r="D359" s="8" t="str">
        <f t="shared" ref="D359:D371" si="47">"女"</f>
        <v>女</v>
      </c>
      <c r="E359" s="8" t="str">
        <f>"2022027709"</f>
        <v>2022027709</v>
      </c>
      <c r="F359" s="9">
        <v>51.2</v>
      </c>
      <c r="G359" s="9">
        <v>74</v>
      </c>
      <c r="H359" s="9">
        <v>60.32</v>
      </c>
      <c r="I359" s="9">
        <v>4</v>
      </c>
      <c r="J359" s="10" t="s">
        <v>73</v>
      </c>
      <c r="K359" s="11" t="s">
        <v>12</v>
      </c>
    </row>
    <row r="360" s="1" customFormat="1" customHeight="1" spans="1:11">
      <c r="A360" s="8" t="str">
        <f t="shared" si="46"/>
        <v>F7G</v>
      </c>
      <c r="B360" s="8" t="s">
        <v>111</v>
      </c>
      <c r="C360" s="8" t="str">
        <f>"龙倩倩"</f>
        <v>龙倩倩</v>
      </c>
      <c r="D360" s="8" t="str">
        <f t="shared" si="47"/>
        <v>女</v>
      </c>
      <c r="E360" s="8" t="str">
        <f>"2022027730"</f>
        <v>2022027730</v>
      </c>
      <c r="F360" s="9">
        <v>38</v>
      </c>
      <c r="G360" s="9">
        <v>81.5</v>
      </c>
      <c r="H360" s="9">
        <v>55.4</v>
      </c>
      <c r="I360" s="9">
        <v>5</v>
      </c>
      <c r="J360" s="10" t="s">
        <v>73</v>
      </c>
      <c r="K360" s="11" t="s">
        <v>12</v>
      </c>
    </row>
    <row r="361" s="1" customFormat="1" customHeight="1" spans="1:11">
      <c r="A361" s="8" t="str">
        <f t="shared" si="46"/>
        <v>F7G</v>
      </c>
      <c r="B361" s="8" t="s">
        <v>111</v>
      </c>
      <c r="C361" s="8" t="str">
        <f>"潘洁婷"</f>
        <v>潘洁婷</v>
      </c>
      <c r="D361" s="8" t="str">
        <f t="shared" si="47"/>
        <v>女</v>
      </c>
      <c r="E361" s="8" t="str">
        <f>"2022027807"</f>
        <v>2022027807</v>
      </c>
      <c r="F361" s="9">
        <v>42.6</v>
      </c>
      <c r="G361" s="9">
        <v>72.5</v>
      </c>
      <c r="H361" s="9">
        <v>54.56</v>
      </c>
      <c r="I361" s="9">
        <v>6</v>
      </c>
      <c r="J361" s="10" t="s">
        <v>73</v>
      </c>
      <c r="K361" s="11" t="s">
        <v>12</v>
      </c>
    </row>
    <row r="362" s="1" customFormat="1" customHeight="1" spans="1:11">
      <c r="A362" s="8" t="str">
        <f t="shared" si="46"/>
        <v>F7G</v>
      </c>
      <c r="B362" s="8" t="s">
        <v>111</v>
      </c>
      <c r="C362" s="8" t="str">
        <f>"丁小艳"</f>
        <v>丁小艳</v>
      </c>
      <c r="D362" s="8" t="str">
        <f t="shared" si="47"/>
        <v>女</v>
      </c>
      <c r="E362" s="8" t="str">
        <f>"2022027714"</f>
        <v>2022027714</v>
      </c>
      <c r="F362" s="9">
        <v>43.6</v>
      </c>
      <c r="G362" s="9">
        <v>70.5</v>
      </c>
      <c r="H362" s="9">
        <v>54.36</v>
      </c>
      <c r="I362" s="9">
        <v>7</v>
      </c>
      <c r="J362" s="10" t="s">
        <v>73</v>
      </c>
      <c r="K362" s="11" t="s">
        <v>12</v>
      </c>
    </row>
    <row r="363" s="1" customFormat="1" customHeight="1" spans="1:11">
      <c r="A363" s="8" t="str">
        <f t="shared" si="46"/>
        <v>F7G</v>
      </c>
      <c r="B363" s="8" t="s">
        <v>111</v>
      </c>
      <c r="C363" s="8" t="str">
        <f>"陈洁"</f>
        <v>陈洁</v>
      </c>
      <c r="D363" s="8" t="str">
        <f t="shared" si="47"/>
        <v>女</v>
      </c>
      <c r="E363" s="8" t="str">
        <f>"2022027713"</f>
        <v>2022027713</v>
      </c>
      <c r="F363" s="9">
        <v>45.2</v>
      </c>
      <c r="G363" s="9">
        <v>66.5</v>
      </c>
      <c r="H363" s="9">
        <v>53.72</v>
      </c>
      <c r="I363" s="9">
        <v>8</v>
      </c>
      <c r="J363" s="10" t="s">
        <v>73</v>
      </c>
      <c r="K363" s="11" t="s">
        <v>12</v>
      </c>
    </row>
    <row r="364" s="1" customFormat="1" customHeight="1" spans="1:11">
      <c r="A364" s="8" t="str">
        <f t="shared" si="46"/>
        <v>F7G</v>
      </c>
      <c r="B364" s="8" t="s">
        <v>111</v>
      </c>
      <c r="C364" s="8" t="str">
        <f>"刘晨"</f>
        <v>刘晨</v>
      </c>
      <c r="D364" s="8" t="str">
        <f t="shared" si="47"/>
        <v>女</v>
      </c>
      <c r="E364" s="8" t="str">
        <f>"2022027804"</f>
        <v>2022027804</v>
      </c>
      <c r="F364" s="9">
        <v>37.2</v>
      </c>
      <c r="G364" s="9">
        <v>71</v>
      </c>
      <c r="H364" s="9">
        <v>50.72</v>
      </c>
      <c r="I364" s="9">
        <v>9</v>
      </c>
      <c r="J364" s="10" t="s">
        <v>73</v>
      </c>
      <c r="K364" s="11" t="s">
        <v>12</v>
      </c>
    </row>
    <row r="365" s="1" customFormat="1" customHeight="1" spans="1:11">
      <c r="A365" s="8" t="str">
        <f t="shared" si="46"/>
        <v>F7G</v>
      </c>
      <c r="B365" s="8" t="s">
        <v>111</v>
      </c>
      <c r="C365" s="8" t="str">
        <f>"廖向花"</f>
        <v>廖向花</v>
      </c>
      <c r="D365" s="8" t="str">
        <f t="shared" si="47"/>
        <v>女</v>
      </c>
      <c r="E365" s="8" t="str">
        <f>"2022027729"</f>
        <v>2022027729</v>
      </c>
      <c r="F365" s="9">
        <v>43</v>
      </c>
      <c r="G365" s="9">
        <v>60</v>
      </c>
      <c r="H365" s="9">
        <v>49.8</v>
      </c>
      <c r="I365" s="9">
        <v>10</v>
      </c>
      <c r="J365" s="10" t="s">
        <v>73</v>
      </c>
      <c r="K365" s="11" t="s">
        <v>12</v>
      </c>
    </row>
    <row r="366" s="1" customFormat="1" customHeight="1" spans="1:11">
      <c r="A366" s="8" t="str">
        <f t="shared" si="46"/>
        <v>F7G</v>
      </c>
      <c r="B366" s="8" t="s">
        <v>111</v>
      </c>
      <c r="C366" s="8" t="str">
        <f>"祝艳萍"</f>
        <v>祝艳萍</v>
      </c>
      <c r="D366" s="8" t="str">
        <f t="shared" si="47"/>
        <v>女</v>
      </c>
      <c r="E366" s="8" t="str">
        <f>"2022027710"</f>
        <v>2022027710</v>
      </c>
      <c r="F366" s="9">
        <v>33.8</v>
      </c>
      <c r="G366" s="9">
        <v>73.5</v>
      </c>
      <c r="H366" s="9">
        <v>49.68</v>
      </c>
      <c r="I366" s="9">
        <v>11</v>
      </c>
      <c r="J366" s="10" t="s">
        <v>73</v>
      </c>
      <c r="K366" s="11" t="s">
        <v>12</v>
      </c>
    </row>
    <row r="367" s="1" customFormat="1" customHeight="1" spans="1:11">
      <c r="A367" s="8" t="str">
        <f t="shared" si="46"/>
        <v>F7G</v>
      </c>
      <c r="B367" s="8" t="s">
        <v>111</v>
      </c>
      <c r="C367" s="8" t="str">
        <f>"唐欢"</f>
        <v>唐欢</v>
      </c>
      <c r="D367" s="8" t="str">
        <f t="shared" si="47"/>
        <v>女</v>
      </c>
      <c r="E367" s="8" t="str">
        <f>"2022027805"</f>
        <v>2022027805</v>
      </c>
      <c r="F367" s="9">
        <v>30</v>
      </c>
      <c r="G367" s="9">
        <v>79</v>
      </c>
      <c r="H367" s="9">
        <v>49.6</v>
      </c>
      <c r="I367" s="9">
        <v>12</v>
      </c>
      <c r="J367" s="10" t="s">
        <v>73</v>
      </c>
      <c r="K367" s="11" t="s">
        <v>12</v>
      </c>
    </row>
    <row r="368" s="1" customFormat="1" customHeight="1" spans="1:11">
      <c r="A368" s="8" t="str">
        <f t="shared" si="46"/>
        <v>F7G</v>
      </c>
      <c r="B368" s="8" t="s">
        <v>111</v>
      </c>
      <c r="C368" s="8" t="str">
        <f>"李佳"</f>
        <v>李佳</v>
      </c>
      <c r="D368" s="8" t="str">
        <f t="shared" si="47"/>
        <v>女</v>
      </c>
      <c r="E368" s="8" t="str">
        <f>"2022027808"</f>
        <v>2022027808</v>
      </c>
      <c r="F368" s="9">
        <v>28</v>
      </c>
      <c r="G368" s="9">
        <v>79.5</v>
      </c>
      <c r="H368" s="9">
        <v>48.6</v>
      </c>
      <c r="I368" s="9">
        <v>13</v>
      </c>
      <c r="J368" s="10" t="s">
        <v>73</v>
      </c>
      <c r="K368" s="11" t="s">
        <v>12</v>
      </c>
    </row>
    <row r="369" s="1" customFormat="1" customHeight="1" spans="1:11">
      <c r="A369" s="8" t="str">
        <f t="shared" si="46"/>
        <v>F7G</v>
      </c>
      <c r="B369" s="8" t="s">
        <v>111</v>
      </c>
      <c r="C369" s="8" t="str">
        <f>"杨敏君"</f>
        <v>杨敏君</v>
      </c>
      <c r="D369" s="8" t="str">
        <f t="shared" si="47"/>
        <v>女</v>
      </c>
      <c r="E369" s="8" t="str">
        <f>"2022027723"</f>
        <v>2022027723</v>
      </c>
      <c r="F369" s="9">
        <v>34</v>
      </c>
      <c r="G369" s="9">
        <v>68</v>
      </c>
      <c r="H369" s="9">
        <v>47.6</v>
      </c>
      <c r="I369" s="9">
        <v>14</v>
      </c>
      <c r="J369" s="10" t="s">
        <v>73</v>
      </c>
      <c r="K369" s="11" t="s">
        <v>12</v>
      </c>
    </row>
    <row r="370" s="1" customFormat="1" customHeight="1" spans="1:11">
      <c r="A370" s="8" t="str">
        <f t="shared" si="46"/>
        <v>F7G</v>
      </c>
      <c r="B370" s="8" t="s">
        <v>111</v>
      </c>
      <c r="C370" s="8" t="str">
        <f>"杨望华"</f>
        <v>杨望华</v>
      </c>
      <c r="D370" s="8" t="str">
        <f t="shared" si="47"/>
        <v>女</v>
      </c>
      <c r="E370" s="8" t="str">
        <f>"2022027724"</f>
        <v>2022027724</v>
      </c>
      <c r="F370" s="9">
        <v>31.6</v>
      </c>
      <c r="G370" s="9">
        <v>68.5</v>
      </c>
      <c r="H370" s="9">
        <v>46.36</v>
      </c>
      <c r="I370" s="9">
        <v>15</v>
      </c>
      <c r="J370" s="10" t="s">
        <v>73</v>
      </c>
      <c r="K370" s="11" t="s">
        <v>12</v>
      </c>
    </row>
    <row r="371" s="1" customFormat="1" customHeight="1" spans="1:11">
      <c r="A371" s="8" t="str">
        <f t="shared" si="46"/>
        <v>F7G</v>
      </c>
      <c r="B371" s="8" t="s">
        <v>111</v>
      </c>
      <c r="C371" s="8" t="str">
        <f>"阳晓芳"</f>
        <v>阳晓芳</v>
      </c>
      <c r="D371" s="8" t="str">
        <f t="shared" si="47"/>
        <v>女</v>
      </c>
      <c r="E371" s="8" t="str">
        <f>"2022027720"</f>
        <v>2022027720</v>
      </c>
      <c r="F371" s="9">
        <v>38.2</v>
      </c>
      <c r="G371" s="9">
        <v>57.5</v>
      </c>
      <c r="H371" s="9">
        <v>45.92</v>
      </c>
      <c r="I371" s="9">
        <v>16</v>
      </c>
      <c r="J371" s="10" t="s">
        <v>73</v>
      </c>
      <c r="K371" s="11" t="s">
        <v>12</v>
      </c>
    </row>
    <row r="372" s="1" customFormat="1" customHeight="1" spans="1:11">
      <c r="A372" s="8" t="str">
        <f t="shared" si="46"/>
        <v>F7G</v>
      </c>
      <c r="B372" s="8" t="s">
        <v>111</v>
      </c>
      <c r="C372" s="8" t="str">
        <f>"李司堃"</f>
        <v>李司堃</v>
      </c>
      <c r="D372" s="8" t="str">
        <f>"男"</f>
        <v>男</v>
      </c>
      <c r="E372" s="8" t="str">
        <f>"2022027707"</f>
        <v>2022027707</v>
      </c>
      <c r="F372" s="9">
        <v>32.2</v>
      </c>
      <c r="G372" s="9">
        <v>64.5</v>
      </c>
      <c r="H372" s="9">
        <v>45.12</v>
      </c>
      <c r="I372" s="9">
        <v>17</v>
      </c>
      <c r="J372" s="10" t="s">
        <v>73</v>
      </c>
      <c r="K372" s="11" t="s">
        <v>12</v>
      </c>
    </row>
    <row r="373" s="1" customFormat="1" customHeight="1" spans="1:11">
      <c r="A373" s="8" t="str">
        <f t="shared" si="46"/>
        <v>F7G</v>
      </c>
      <c r="B373" s="8" t="s">
        <v>111</v>
      </c>
      <c r="C373" s="8" t="str">
        <f>"杨旖"</f>
        <v>杨旖</v>
      </c>
      <c r="D373" s="8" t="str">
        <f t="shared" ref="D373:D377" si="48">"女"</f>
        <v>女</v>
      </c>
      <c r="E373" s="8" t="str">
        <f>"2022027721"</f>
        <v>2022027721</v>
      </c>
      <c r="F373" s="9">
        <v>34</v>
      </c>
      <c r="G373" s="9">
        <v>61</v>
      </c>
      <c r="H373" s="9">
        <v>44.8</v>
      </c>
      <c r="I373" s="9">
        <v>18</v>
      </c>
      <c r="J373" s="10" t="s">
        <v>73</v>
      </c>
      <c r="K373" s="11" t="s">
        <v>12</v>
      </c>
    </row>
    <row r="374" s="1" customFormat="1" customHeight="1" spans="1:11">
      <c r="A374" s="8" t="str">
        <f t="shared" si="46"/>
        <v>F7G</v>
      </c>
      <c r="B374" s="8" t="s">
        <v>111</v>
      </c>
      <c r="C374" s="8" t="str">
        <f>"周芳娟"</f>
        <v>周芳娟</v>
      </c>
      <c r="D374" s="8" t="str">
        <f t="shared" si="48"/>
        <v>女</v>
      </c>
      <c r="E374" s="8" t="str">
        <f>"2022027708"</f>
        <v>2022027708</v>
      </c>
      <c r="F374" s="9">
        <v>43.8</v>
      </c>
      <c r="G374" s="9">
        <v>30</v>
      </c>
      <c r="H374" s="9">
        <v>38.28</v>
      </c>
      <c r="I374" s="9">
        <v>19</v>
      </c>
      <c r="J374" s="10" t="s">
        <v>73</v>
      </c>
      <c r="K374" s="11" t="s">
        <v>12</v>
      </c>
    </row>
    <row r="375" s="1" customFormat="1" customHeight="1" spans="1:11">
      <c r="A375" s="8" t="str">
        <f t="shared" si="46"/>
        <v>F7G</v>
      </c>
      <c r="B375" s="8" t="s">
        <v>111</v>
      </c>
      <c r="C375" s="8" t="str">
        <f>"阳雅婷"</f>
        <v>阳雅婷</v>
      </c>
      <c r="D375" s="8" t="str">
        <f t="shared" si="48"/>
        <v>女</v>
      </c>
      <c r="E375" s="8" t="str">
        <f>"2022027711"</f>
        <v>2022027711</v>
      </c>
      <c r="F375" s="9">
        <v>18.2</v>
      </c>
      <c r="G375" s="9">
        <v>60.5</v>
      </c>
      <c r="H375" s="9">
        <v>35.12</v>
      </c>
      <c r="I375" s="9">
        <v>20</v>
      </c>
      <c r="J375" s="10" t="s">
        <v>73</v>
      </c>
      <c r="K375" s="11" t="s">
        <v>12</v>
      </c>
    </row>
    <row r="376" s="1" customFormat="1" customHeight="1" spans="1:11">
      <c r="A376" s="8" t="str">
        <f t="shared" si="46"/>
        <v>F7G</v>
      </c>
      <c r="B376" s="8" t="s">
        <v>111</v>
      </c>
      <c r="C376" s="8" t="str">
        <f>"刘慧敏"</f>
        <v>刘慧敏</v>
      </c>
      <c r="D376" s="8" t="str">
        <f t="shared" si="48"/>
        <v>女</v>
      </c>
      <c r="E376" s="8" t="str">
        <f>"2022027809"</f>
        <v>2022027809</v>
      </c>
      <c r="F376" s="9">
        <v>33.6</v>
      </c>
      <c r="G376" s="9">
        <v>37</v>
      </c>
      <c r="H376" s="9">
        <v>34.96</v>
      </c>
      <c r="I376" s="9">
        <v>21</v>
      </c>
      <c r="J376" s="10" t="s">
        <v>73</v>
      </c>
      <c r="K376" s="11" t="s">
        <v>12</v>
      </c>
    </row>
    <row r="377" s="1" customFormat="1" customHeight="1" spans="1:11">
      <c r="A377" s="8" t="str">
        <f t="shared" si="46"/>
        <v>F7G</v>
      </c>
      <c r="B377" s="8" t="s">
        <v>111</v>
      </c>
      <c r="C377" s="8" t="str">
        <f>"唐茜"</f>
        <v>唐茜</v>
      </c>
      <c r="D377" s="8" t="str">
        <f t="shared" si="48"/>
        <v>女</v>
      </c>
      <c r="E377" s="8" t="str">
        <f>"2022027712"</f>
        <v>2022027712</v>
      </c>
      <c r="F377" s="9">
        <v>22.6</v>
      </c>
      <c r="G377" s="9">
        <v>46</v>
      </c>
      <c r="H377" s="9">
        <v>31.96</v>
      </c>
      <c r="I377" s="9">
        <v>22</v>
      </c>
      <c r="J377" s="10" t="s">
        <v>73</v>
      </c>
      <c r="K377" s="11" t="s">
        <v>12</v>
      </c>
    </row>
    <row r="378" s="1" customFormat="1" customHeight="1" spans="1:11">
      <c r="A378" s="8" t="str">
        <f t="shared" si="46"/>
        <v>F7G</v>
      </c>
      <c r="B378" s="8" t="s">
        <v>111</v>
      </c>
      <c r="C378" s="8" t="str">
        <f>"唐宇哲"</f>
        <v>唐宇哲</v>
      </c>
      <c r="D378" s="8" t="str">
        <f t="shared" ref="D378:D383" si="49">"男"</f>
        <v>男</v>
      </c>
      <c r="E378" s="8" t="str">
        <f>"2022027716"</f>
        <v>2022027716</v>
      </c>
      <c r="F378" s="9">
        <v>21.2</v>
      </c>
      <c r="G378" s="9">
        <v>48</v>
      </c>
      <c r="H378" s="9">
        <v>31.92</v>
      </c>
      <c r="I378" s="9">
        <v>23</v>
      </c>
      <c r="J378" s="10" t="s">
        <v>73</v>
      </c>
      <c r="K378" s="11" t="s">
        <v>12</v>
      </c>
    </row>
    <row r="379" s="1" customFormat="1" customHeight="1" spans="1:11">
      <c r="A379" s="8" t="str">
        <f t="shared" si="46"/>
        <v>F7G</v>
      </c>
      <c r="B379" s="8" t="s">
        <v>111</v>
      </c>
      <c r="C379" s="8" t="str">
        <f>"吴倩"</f>
        <v>吴倩</v>
      </c>
      <c r="D379" s="8" t="str">
        <f t="shared" ref="D379:D382" si="50">"女"</f>
        <v>女</v>
      </c>
      <c r="E379" s="8" t="str">
        <f>"2022027715"</f>
        <v>2022027715</v>
      </c>
      <c r="F379" s="9">
        <v>38.2</v>
      </c>
      <c r="G379" s="9">
        <v>18</v>
      </c>
      <c r="H379" s="9">
        <v>30.12</v>
      </c>
      <c r="I379" s="9">
        <v>24</v>
      </c>
      <c r="J379" s="10" t="s">
        <v>73</v>
      </c>
      <c r="K379" s="11" t="s">
        <v>12</v>
      </c>
    </row>
    <row r="380" s="1" customFormat="1" customHeight="1" spans="1:11">
      <c r="A380" s="8" t="str">
        <f t="shared" si="46"/>
        <v>F7G</v>
      </c>
      <c r="B380" s="8" t="s">
        <v>111</v>
      </c>
      <c r="C380" s="8" t="str">
        <f>"李静"</f>
        <v>李静</v>
      </c>
      <c r="D380" s="8" t="str">
        <f t="shared" si="50"/>
        <v>女</v>
      </c>
      <c r="E380" s="8" t="str">
        <f>"2022027725"</f>
        <v>2022027725</v>
      </c>
      <c r="F380" s="9">
        <v>25.4</v>
      </c>
      <c r="G380" s="9">
        <v>35</v>
      </c>
      <c r="H380" s="9">
        <v>29.24</v>
      </c>
      <c r="I380" s="9">
        <v>25</v>
      </c>
      <c r="J380" s="10" t="s">
        <v>73</v>
      </c>
      <c r="K380" s="11" t="s">
        <v>12</v>
      </c>
    </row>
    <row r="381" s="1" customFormat="1" customHeight="1" spans="1:11">
      <c r="A381" s="8" t="str">
        <f t="shared" si="46"/>
        <v>F7G</v>
      </c>
      <c r="B381" s="8" t="s">
        <v>111</v>
      </c>
      <c r="C381" s="8" t="str">
        <f>"杨成"</f>
        <v>杨成</v>
      </c>
      <c r="D381" s="8" t="str">
        <f t="shared" si="49"/>
        <v>男</v>
      </c>
      <c r="E381" s="8" t="str">
        <f>"2022027728"</f>
        <v>2022027728</v>
      </c>
      <c r="F381" s="9">
        <v>31</v>
      </c>
      <c r="G381" s="9">
        <v>24</v>
      </c>
      <c r="H381" s="9">
        <v>28.2</v>
      </c>
      <c r="I381" s="9">
        <v>26</v>
      </c>
      <c r="J381" s="10" t="s">
        <v>73</v>
      </c>
      <c r="K381" s="11" t="s">
        <v>12</v>
      </c>
    </row>
    <row r="382" s="1" customFormat="1" customHeight="1" spans="1:11">
      <c r="A382" s="8" t="str">
        <f t="shared" si="46"/>
        <v>F7G</v>
      </c>
      <c r="B382" s="8" t="s">
        <v>111</v>
      </c>
      <c r="C382" s="8" t="str">
        <f>"杨淑琴"</f>
        <v>杨淑琴</v>
      </c>
      <c r="D382" s="8" t="str">
        <f t="shared" si="50"/>
        <v>女</v>
      </c>
      <c r="E382" s="8" t="str">
        <f>"2022027717"</f>
        <v>2022027717</v>
      </c>
      <c r="F382" s="9">
        <v>22.6</v>
      </c>
      <c r="G382" s="9">
        <v>13</v>
      </c>
      <c r="H382" s="9">
        <v>18.76</v>
      </c>
      <c r="I382" s="9">
        <v>27</v>
      </c>
      <c r="J382" s="10" t="s">
        <v>73</v>
      </c>
      <c r="K382" s="11" t="s">
        <v>12</v>
      </c>
    </row>
    <row r="383" s="1" customFormat="1" customHeight="1" spans="1:11">
      <c r="A383" s="8" t="str">
        <f t="shared" si="46"/>
        <v>F7G</v>
      </c>
      <c r="B383" s="8" t="s">
        <v>111</v>
      </c>
      <c r="C383" s="8" t="str">
        <f>"于宗灿"</f>
        <v>于宗灿</v>
      </c>
      <c r="D383" s="8" t="str">
        <f t="shared" si="49"/>
        <v>男</v>
      </c>
      <c r="E383" s="8" t="str">
        <f>"2022027726"</f>
        <v>2022027726</v>
      </c>
      <c r="F383" s="9">
        <v>31</v>
      </c>
      <c r="G383" s="9">
        <v>0</v>
      </c>
      <c r="H383" s="9">
        <v>18.6</v>
      </c>
      <c r="I383" s="9">
        <v>28</v>
      </c>
      <c r="J383" s="10" t="s">
        <v>73</v>
      </c>
      <c r="K383" s="11" t="s">
        <v>12</v>
      </c>
    </row>
    <row r="384" s="1" customFormat="1" customHeight="1" spans="1:11">
      <c r="A384" s="8" t="str">
        <f t="shared" si="46"/>
        <v>F7G</v>
      </c>
      <c r="B384" s="8" t="s">
        <v>111</v>
      </c>
      <c r="C384" s="8" t="str">
        <f>"仇姗姗"</f>
        <v>仇姗姗</v>
      </c>
      <c r="D384" s="8" t="str">
        <f t="shared" ref="D384:D391" si="51">"女"</f>
        <v>女</v>
      </c>
      <c r="E384" s="8" t="str">
        <f>"2022027718"</f>
        <v>2022027718</v>
      </c>
      <c r="F384" s="9">
        <v>0</v>
      </c>
      <c r="G384" s="9">
        <v>0</v>
      </c>
      <c r="H384" s="9">
        <v>0</v>
      </c>
      <c r="I384" s="9">
        <v>29</v>
      </c>
      <c r="J384" s="10" t="s">
        <v>13</v>
      </c>
      <c r="K384" s="11" t="s">
        <v>12</v>
      </c>
    </row>
    <row r="385" s="1" customFormat="1" customHeight="1" spans="1:11">
      <c r="A385" s="8" t="str">
        <f t="shared" si="46"/>
        <v>F7G</v>
      </c>
      <c r="B385" s="8" t="s">
        <v>111</v>
      </c>
      <c r="C385" s="8" t="str">
        <f>"何资霖"</f>
        <v>何资霖</v>
      </c>
      <c r="D385" s="8" t="str">
        <f t="shared" si="51"/>
        <v>女</v>
      </c>
      <c r="E385" s="8" t="str">
        <f>"2022027719"</f>
        <v>2022027719</v>
      </c>
      <c r="F385" s="9">
        <v>0</v>
      </c>
      <c r="G385" s="9">
        <v>0</v>
      </c>
      <c r="H385" s="9">
        <v>0</v>
      </c>
      <c r="I385" s="9">
        <v>29</v>
      </c>
      <c r="J385" s="10" t="s">
        <v>13</v>
      </c>
      <c r="K385" s="11" t="s">
        <v>12</v>
      </c>
    </row>
    <row r="386" s="1" customFormat="1" customHeight="1" spans="1:11">
      <c r="A386" s="8" t="str">
        <f t="shared" si="46"/>
        <v>F7G</v>
      </c>
      <c r="B386" s="8" t="s">
        <v>111</v>
      </c>
      <c r="C386" s="8" t="str">
        <f>"周静"</f>
        <v>周静</v>
      </c>
      <c r="D386" s="8" t="str">
        <f t="shared" si="51"/>
        <v>女</v>
      </c>
      <c r="E386" s="8" t="str">
        <f>"2022027722"</f>
        <v>2022027722</v>
      </c>
      <c r="F386" s="9">
        <v>0</v>
      </c>
      <c r="G386" s="9">
        <v>0</v>
      </c>
      <c r="H386" s="9">
        <v>0</v>
      </c>
      <c r="I386" s="9">
        <v>29</v>
      </c>
      <c r="J386" s="10" t="s">
        <v>13</v>
      </c>
      <c r="K386" s="11" t="s">
        <v>12</v>
      </c>
    </row>
    <row r="387" s="1" customFormat="1" customHeight="1" spans="1:11">
      <c r="A387" s="8" t="str">
        <f t="shared" si="46"/>
        <v>F7G</v>
      </c>
      <c r="B387" s="8" t="s">
        <v>111</v>
      </c>
      <c r="C387" s="8" t="str">
        <f>"李英"</f>
        <v>李英</v>
      </c>
      <c r="D387" s="8" t="str">
        <f t="shared" si="51"/>
        <v>女</v>
      </c>
      <c r="E387" s="8" t="str">
        <f>"2022027727"</f>
        <v>2022027727</v>
      </c>
      <c r="F387" s="9">
        <v>0</v>
      </c>
      <c r="G387" s="9">
        <v>0</v>
      </c>
      <c r="H387" s="9">
        <v>0</v>
      </c>
      <c r="I387" s="9">
        <v>29</v>
      </c>
      <c r="J387" s="10" t="s">
        <v>13</v>
      </c>
      <c r="K387" s="11" t="s">
        <v>12</v>
      </c>
    </row>
    <row r="388" s="1" customFormat="1" customHeight="1" spans="1:11">
      <c r="A388" s="8" t="str">
        <f t="shared" si="46"/>
        <v>F7G</v>
      </c>
      <c r="B388" s="8" t="s">
        <v>111</v>
      </c>
      <c r="C388" s="8" t="str">
        <f>"王璇"</f>
        <v>王璇</v>
      </c>
      <c r="D388" s="8" t="str">
        <f t="shared" si="51"/>
        <v>女</v>
      </c>
      <c r="E388" s="8" t="str">
        <f>"2022027801"</f>
        <v>2022027801</v>
      </c>
      <c r="F388" s="9">
        <v>0</v>
      </c>
      <c r="G388" s="9">
        <v>0</v>
      </c>
      <c r="H388" s="9">
        <v>0</v>
      </c>
      <c r="I388" s="9">
        <v>29</v>
      </c>
      <c r="J388" s="10" t="s">
        <v>13</v>
      </c>
      <c r="K388" s="11" t="s">
        <v>12</v>
      </c>
    </row>
    <row r="389" s="1" customFormat="1" customHeight="1" spans="1:11">
      <c r="A389" s="8" t="str">
        <f t="shared" si="46"/>
        <v>F7G</v>
      </c>
      <c r="B389" s="8" t="s">
        <v>111</v>
      </c>
      <c r="C389" s="8" t="str">
        <f>"彭颖"</f>
        <v>彭颖</v>
      </c>
      <c r="D389" s="8" t="str">
        <f t="shared" si="51"/>
        <v>女</v>
      </c>
      <c r="E389" s="8" t="str">
        <f>"2022027810"</f>
        <v>2022027810</v>
      </c>
      <c r="F389" s="9">
        <v>0</v>
      </c>
      <c r="G389" s="9">
        <v>0</v>
      </c>
      <c r="H389" s="9">
        <v>0</v>
      </c>
      <c r="I389" s="9">
        <v>29</v>
      </c>
      <c r="J389" s="10" t="s">
        <v>13</v>
      </c>
      <c r="K389" s="11" t="s">
        <v>12</v>
      </c>
    </row>
    <row r="390" s="1" customFormat="1" customHeight="1" spans="1:11">
      <c r="A390" s="8" t="str">
        <f t="shared" ref="A390:A400" si="52">"F8F"</f>
        <v>F8F</v>
      </c>
      <c r="B390" s="8" t="s">
        <v>112</v>
      </c>
      <c r="C390" s="8" t="str">
        <f>"全倩雯"</f>
        <v>全倩雯</v>
      </c>
      <c r="D390" s="8" t="str">
        <f t="shared" si="51"/>
        <v>女</v>
      </c>
      <c r="E390" s="8" t="str">
        <f>"2022027811"</f>
        <v>2022027811</v>
      </c>
      <c r="F390" s="9">
        <v>70</v>
      </c>
      <c r="G390" s="9">
        <v>78</v>
      </c>
      <c r="H390" s="9">
        <v>73.2</v>
      </c>
      <c r="I390" s="9">
        <v>1</v>
      </c>
      <c r="J390" s="10" t="s">
        <v>73</v>
      </c>
      <c r="K390" s="11" t="s">
        <v>11</v>
      </c>
    </row>
    <row r="391" s="1" customFormat="1" customHeight="1" spans="1:11">
      <c r="A391" s="8" t="str">
        <f t="shared" si="52"/>
        <v>F8F</v>
      </c>
      <c r="B391" s="8" t="s">
        <v>112</v>
      </c>
      <c r="C391" s="8" t="str">
        <f>"潘楠"</f>
        <v>潘楠</v>
      </c>
      <c r="D391" s="8" t="str">
        <f t="shared" si="51"/>
        <v>女</v>
      </c>
      <c r="E391" s="8" t="str">
        <f>"2022027814"</f>
        <v>2022027814</v>
      </c>
      <c r="F391" s="9">
        <v>58</v>
      </c>
      <c r="G391" s="9">
        <v>82.5</v>
      </c>
      <c r="H391" s="9">
        <v>67.8</v>
      </c>
      <c r="I391" s="9">
        <v>2</v>
      </c>
      <c r="J391" s="10" t="s">
        <v>73</v>
      </c>
      <c r="K391" s="11" t="s">
        <v>12</v>
      </c>
    </row>
    <row r="392" s="1" customFormat="1" customHeight="1" spans="1:11">
      <c r="A392" s="8" t="str">
        <f t="shared" si="52"/>
        <v>F8F</v>
      </c>
      <c r="B392" s="8" t="s">
        <v>112</v>
      </c>
      <c r="C392" s="8" t="str">
        <f>"李明聪"</f>
        <v>李明聪</v>
      </c>
      <c r="D392" s="8" t="str">
        <f t="shared" ref="D392:D397" si="53">"男"</f>
        <v>男</v>
      </c>
      <c r="E392" s="8" t="str">
        <f>"2022027812"</f>
        <v>2022027812</v>
      </c>
      <c r="F392" s="9">
        <v>58</v>
      </c>
      <c r="G392" s="9">
        <v>81</v>
      </c>
      <c r="H392" s="9">
        <v>67.2</v>
      </c>
      <c r="I392" s="9">
        <v>3</v>
      </c>
      <c r="J392" s="10" t="s">
        <v>73</v>
      </c>
      <c r="K392" s="11" t="s">
        <v>12</v>
      </c>
    </row>
    <row r="393" s="1" customFormat="1" customHeight="1" spans="1:11">
      <c r="A393" s="8" t="str">
        <f t="shared" si="52"/>
        <v>F8F</v>
      </c>
      <c r="B393" s="8" t="s">
        <v>112</v>
      </c>
      <c r="C393" s="8" t="str">
        <f>"蒋文捷"</f>
        <v>蒋文捷</v>
      </c>
      <c r="D393" s="8" t="str">
        <f t="shared" ref="D393:D395" si="54">"女"</f>
        <v>女</v>
      </c>
      <c r="E393" s="8" t="str">
        <f>"2022027819"</f>
        <v>2022027819</v>
      </c>
      <c r="F393" s="9">
        <v>56</v>
      </c>
      <c r="G393" s="9">
        <v>80</v>
      </c>
      <c r="H393" s="9">
        <v>65.6</v>
      </c>
      <c r="I393" s="9">
        <v>4</v>
      </c>
      <c r="J393" s="10" t="s">
        <v>73</v>
      </c>
      <c r="K393" s="11" t="s">
        <v>12</v>
      </c>
    </row>
    <row r="394" s="1" customFormat="1" customHeight="1" spans="1:11">
      <c r="A394" s="8" t="str">
        <f t="shared" si="52"/>
        <v>F8F</v>
      </c>
      <c r="B394" s="8" t="s">
        <v>112</v>
      </c>
      <c r="C394" s="8" t="str">
        <f>"陈好"</f>
        <v>陈好</v>
      </c>
      <c r="D394" s="8" t="str">
        <f t="shared" si="54"/>
        <v>女</v>
      </c>
      <c r="E394" s="8" t="str">
        <f>"2022027818"</f>
        <v>2022027818</v>
      </c>
      <c r="F394" s="9">
        <v>54</v>
      </c>
      <c r="G394" s="9">
        <v>74</v>
      </c>
      <c r="H394" s="9">
        <v>62</v>
      </c>
      <c r="I394" s="9">
        <v>5</v>
      </c>
      <c r="J394" s="10" t="s">
        <v>73</v>
      </c>
      <c r="K394" s="11" t="s">
        <v>12</v>
      </c>
    </row>
    <row r="395" s="1" customFormat="1" customHeight="1" spans="1:11">
      <c r="A395" s="8" t="str">
        <f t="shared" si="52"/>
        <v>F8F</v>
      </c>
      <c r="B395" s="8" t="s">
        <v>112</v>
      </c>
      <c r="C395" s="8" t="str">
        <f>"黄洁"</f>
        <v>黄洁</v>
      </c>
      <c r="D395" s="8" t="str">
        <f t="shared" si="54"/>
        <v>女</v>
      </c>
      <c r="E395" s="8" t="str">
        <f>"2022027815"</f>
        <v>2022027815</v>
      </c>
      <c r="F395" s="9">
        <v>48</v>
      </c>
      <c r="G395" s="9">
        <v>79.5</v>
      </c>
      <c r="H395" s="9">
        <v>60.6</v>
      </c>
      <c r="I395" s="9">
        <v>6</v>
      </c>
      <c r="J395" s="10" t="s">
        <v>73</v>
      </c>
      <c r="K395" s="11" t="s">
        <v>12</v>
      </c>
    </row>
    <row r="396" s="1" customFormat="1" customHeight="1" spans="1:11">
      <c r="A396" s="8" t="str">
        <f t="shared" si="52"/>
        <v>F8F</v>
      </c>
      <c r="B396" s="8" t="s">
        <v>112</v>
      </c>
      <c r="C396" s="8" t="str">
        <f>"杨豪"</f>
        <v>杨豪</v>
      </c>
      <c r="D396" s="8" t="str">
        <f t="shared" si="53"/>
        <v>男</v>
      </c>
      <c r="E396" s="8" t="str">
        <f>"2022027813"</f>
        <v>2022027813</v>
      </c>
      <c r="F396" s="9">
        <v>52</v>
      </c>
      <c r="G396" s="9">
        <v>70</v>
      </c>
      <c r="H396" s="9">
        <v>59.2</v>
      </c>
      <c r="I396" s="9">
        <v>7</v>
      </c>
      <c r="J396" s="10" t="s">
        <v>73</v>
      </c>
      <c r="K396" s="11" t="s">
        <v>12</v>
      </c>
    </row>
    <row r="397" s="1" customFormat="1" customHeight="1" spans="1:11">
      <c r="A397" s="8" t="str">
        <f t="shared" si="52"/>
        <v>F8F</v>
      </c>
      <c r="B397" s="8" t="s">
        <v>112</v>
      </c>
      <c r="C397" s="8" t="str">
        <f>"刘坤"</f>
        <v>刘坤</v>
      </c>
      <c r="D397" s="8" t="str">
        <f t="shared" si="53"/>
        <v>男</v>
      </c>
      <c r="E397" s="8" t="str">
        <f>"2022027816"</f>
        <v>2022027816</v>
      </c>
      <c r="F397" s="9">
        <v>44</v>
      </c>
      <c r="G397" s="9">
        <v>72</v>
      </c>
      <c r="H397" s="9">
        <v>55.2</v>
      </c>
      <c r="I397" s="9">
        <v>8</v>
      </c>
      <c r="J397" s="10" t="s">
        <v>73</v>
      </c>
      <c r="K397" s="11" t="s">
        <v>12</v>
      </c>
    </row>
    <row r="398" s="1" customFormat="1" customHeight="1" spans="1:11">
      <c r="A398" s="8" t="str">
        <f t="shared" si="52"/>
        <v>F8F</v>
      </c>
      <c r="B398" s="8" t="s">
        <v>112</v>
      </c>
      <c r="C398" s="8" t="str">
        <f>"李金英"</f>
        <v>李金英</v>
      </c>
      <c r="D398" s="8" t="str">
        <f t="shared" ref="D398:D416" si="55">"女"</f>
        <v>女</v>
      </c>
      <c r="E398" s="8" t="str">
        <f>"2022027817"</f>
        <v>2022027817</v>
      </c>
      <c r="F398" s="9">
        <v>0</v>
      </c>
      <c r="G398" s="9">
        <v>0</v>
      </c>
      <c r="H398" s="9">
        <v>0</v>
      </c>
      <c r="I398" s="9">
        <v>9</v>
      </c>
      <c r="J398" s="10" t="s">
        <v>13</v>
      </c>
      <c r="K398" s="11" t="s">
        <v>12</v>
      </c>
    </row>
    <row r="399" s="1" customFormat="1" customHeight="1" spans="1:11">
      <c r="A399" s="8" t="str">
        <f t="shared" si="52"/>
        <v>F8F</v>
      </c>
      <c r="B399" s="8" t="s">
        <v>112</v>
      </c>
      <c r="C399" s="8" t="str">
        <f>"刘欣欣"</f>
        <v>刘欣欣</v>
      </c>
      <c r="D399" s="8" t="str">
        <f t="shared" si="55"/>
        <v>女</v>
      </c>
      <c r="E399" s="8" t="str">
        <f>"2022027820"</f>
        <v>2022027820</v>
      </c>
      <c r="F399" s="9">
        <v>0</v>
      </c>
      <c r="G399" s="9">
        <v>0</v>
      </c>
      <c r="H399" s="9">
        <v>0</v>
      </c>
      <c r="I399" s="9">
        <v>9</v>
      </c>
      <c r="J399" s="10" t="s">
        <v>13</v>
      </c>
      <c r="K399" s="11" t="s">
        <v>12</v>
      </c>
    </row>
    <row r="400" s="1" customFormat="1" customHeight="1" spans="1:11">
      <c r="A400" s="8" t="str">
        <f t="shared" si="52"/>
        <v>F8F</v>
      </c>
      <c r="B400" s="8" t="s">
        <v>112</v>
      </c>
      <c r="C400" s="8" t="str">
        <f>"张冬"</f>
        <v>张冬</v>
      </c>
      <c r="D400" s="8" t="str">
        <f t="shared" si="55"/>
        <v>女</v>
      </c>
      <c r="E400" s="8" t="str">
        <f>"2022027821"</f>
        <v>2022027821</v>
      </c>
      <c r="F400" s="9">
        <v>0</v>
      </c>
      <c r="G400" s="9">
        <v>0</v>
      </c>
      <c r="H400" s="9">
        <v>0</v>
      </c>
      <c r="I400" s="9">
        <v>9</v>
      </c>
      <c r="J400" s="10" t="s">
        <v>13</v>
      </c>
      <c r="K400" s="11" t="s">
        <v>12</v>
      </c>
    </row>
    <row r="401" s="1" customFormat="1" customHeight="1" spans="1:11">
      <c r="A401" s="8" t="str">
        <f t="shared" ref="A401:A455" si="56">"F9F"</f>
        <v>F9F</v>
      </c>
      <c r="B401" s="8" t="s">
        <v>113</v>
      </c>
      <c r="C401" s="8" t="str">
        <f>"马忠蕾"</f>
        <v>马忠蕾</v>
      </c>
      <c r="D401" s="8" t="str">
        <f t="shared" si="55"/>
        <v>女</v>
      </c>
      <c r="E401" s="8" t="str">
        <f>"2022027423"</f>
        <v>2022027423</v>
      </c>
      <c r="F401" s="9">
        <v>92.8</v>
      </c>
      <c r="G401" s="9">
        <v>87</v>
      </c>
      <c r="H401" s="9">
        <v>90.48</v>
      </c>
      <c r="I401" s="9">
        <v>1</v>
      </c>
      <c r="J401" s="10" t="s">
        <v>73</v>
      </c>
      <c r="K401" s="11" t="s">
        <v>11</v>
      </c>
    </row>
    <row r="402" s="1" customFormat="1" customHeight="1" spans="1:11">
      <c r="A402" s="8" t="str">
        <f t="shared" si="56"/>
        <v>F9F</v>
      </c>
      <c r="B402" s="8" t="s">
        <v>113</v>
      </c>
      <c r="C402" s="8" t="str">
        <f>"罗言"</f>
        <v>罗言</v>
      </c>
      <c r="D402" s="8" t="str">
        <f t="shared" si="55"/>
        <v>女</v>
      </c>
      <c r="E402" s="8" t="str">
        <f>"2022027304"</f>
        <v>2022027304</v>
      </c>
      <c r="F402" s="9">
        <v>83.4</v>
      </c>
      <c r="G402" s="9">
        <v>85.4</v>
      </c>
      <c r="H402" s="9">
        <v>84.2</v>
      </c>
      <c r="I402" s="9">
        <v>2</v>
      </c>
      <c r="J402" s="10" t="s">
        <v>73</v>
      </c>
      <c r="K402" s="11" t="s">
        <v>12</v>
      </c>
    </row>
    <row r="403" s="1" customFormat="1" customHeight="1" spans="1:11">
      <c r="A403" s="8" t="str">
        <f t="shared" si="56"/>
        <v>F9F</v>
      </c>
      <c r="B403" s="8" t="s">
        <v>113</v>
      </c>
      <c r="C403" s="8" t="str">
        <f>"罗艳丽"</f>
        <v>罗艳丽</v>
      </c>
      <c r="D403" s="8" t="str">
        <f t="shared" si="55"/>
        <v>女</v>
      </c>
      <c r="E403" s="8" t="str">
        <f>"2022027311"</f>
        <v>2022027311</v>
      </c>
      <c r="F403" s="9">
        <v>85</v>
      </c>
      <c r="G403" s="9">
        <v>79.9</v>
      </c>
      <c r="H403" s="9">
        <v>82.96</v>
      </c>
      <c r="I403" s="9">
        <v>3</v>
      </c>
      <c r="J403" s="10" t="s">
        <v>73</v>
      </c>
      <c r="K403" s="11" t="s">
        <v>12</v>
      </c>
    </row>
    <row r="404" s="1" customFormat="1" customHeight="1" spans="1:11">
      <c r="A404" s="8" t="str">
        <f t="shared" si="56"/>
        <v>F9F</v>
      </c>
      <c r="B404" s="8" t="s">
        <v>113</v>
      </c>
      <c r="C404" s="8" t="str">
        <f>"王娇"</f>
        <v>王娇</v>
      </c>
      <c r="D404" s="8" t="str">
        <f t="shared" si="55"/>
        <v>女</v>
      </c>
      <c r="E404" s="8" t="str">
        <f>"2022027308"</f>
        <v>2022027308</v>
      </c>
      <c r="F404" s="9">
        <v>87</v>
      </c>
      <c r="G404" s="9">
        <v>76</v>
      </c>
      <c r="H404" s="9">
        <v>82.6</v>
      </c>
      <c r="I404" s="9">
        <v>4</v>
      </c>
      <c r="J404" s="10" t="s">
        <v>73</v>
      </c>
      <c r="K404" s="11" t="s">
        <v>12</v>
      </c>
    </row>
    <row r="405" s="1" customFormat="1" customHeight="1" spans="1:11">
      <c r="A405" s="8" t="str">
        <f t="shared" si="56"/>
        <v>F9F</v>
      </c>
      <c r="B405" s="8" t="s">
        <v>113</v>
      </c>
      <c r="C405" s="8" t="str">
        <f>"安剑莲"</f>
        <v>安剑莲</v>
      </c>
      <c r="D405" s="8" t="str">
        <f t="shared" si="55"/>
        <v>女</v>
      </c>
      <c r="E405" s="8" t="str">
        <f>"2022027307"</f>
        <v>2022027307</v>
      </c>
      <c r="F405" s="9">
        <v>89</v>
      </c>
      <c r="G405" s="9">
        <v>69</v>
      </c>
      <c r="H405" s="9">
        <v>81</v>
      </c>
      <c r="I405" s="9">
        <v>5</v>
      </c>
      <c r="J405" s="10" t="s">
        <v>73</v>
      </c>
      <c r="K405" s="11" t="s">
        <v>12</v>
      </c>
    </row>
    <row r="406" s="1" customFormat="1" customHeight="1" spans="1:11">
      <c r="A406" s="8" t="str">
        <f t="shared" si="56"/>
        <v>F9F</v>
      </c>
      <c r="B406" s="8" t="s">
        <v>113</v>
      </c>
      <c r="C406" s="8" t="str">
        <f>"翟城均"</f>
        <v>翟城均</v>
      </c>
      <c r="D406" s="8" t="str">
        <f t="shared" si="55"/>
        <v>女</v>
      </c>
      <c r="E406" s="8" t="str">
        <f>"2022027412"</f>
        <v>2022027412</v>
      </c>
      <c r="F406" s="9">
        <v>65.4</v>
      </c>
      <c r="G406" s="9">
        <v>96</v>
      </c>
      <c r="H406" s="9">
        <v>77.64</v>
      </c>
      <c r="I406" s="9">
        <v>6</v>
      </c>
      <c r="J406" s="10" t="s">
        <v>73</v>
      </c>
      <c r="K406" s="11" t="s">
        <v>12</v>
      </c>
    </row>
    <row r="407" s="1" customFormat="1" customHeight="1" spans="1:11">
      <c r="A407" s="8" t="str">
        <f t="shared" si="56"/>
        <v>F9F</v>
      </c>
      <c r="B407" s="8" t="s">
        <v>113</v>
      </c>
      <c r="C407" s="8" t="str">
        <f>"黄佩金"</f>
        <v>黄佩金</v>
      </c>
      <c r="D407" s="8" t="str">
        <f t="shared" si="55"/>
        <v>女</v>
      </c>
      <c r="E407" s="8" t="str">
        <f>"2022027302"</f>
        <v>2022027302</v>
      </c>
      <c r="F407" s="9">
        <v>68.6</v>
      </c>
      <c r="G407" s="9">
        <v>89</v>
      </c>
      <c r="H407" s="9">
        <v>76.76</v>
      </c>
      <c r="I407" s="9">
        <v>7</v>
      </c>
      <c r="J407" s="10" t="s">
        <v>73</v>
      </c>
      <c r="K407" s="11" t="s">
        <v>12</v>
      </c>
    </row>
    <row r="408" s="1" customFormat="1" customHeight="1" spans="1:11">
      <c r="A408" s="8" t="str">
        <f t="shared" si="56"/>
        <v>F9F</v>
      </c>
      <c r="B408" s="8" t="s">
        <v>113</v>
      </c>
      <c r="C408" s="8" t="str">
        <f>"段美娇"</f>
        <v>段美娇</v>
      </c>
      <c r="D408" s="8" t="str">
        <f t="shared" si="55"/>
        <v>女</v>
      </c>
      <c r="E408" s="8" t="str">
        <f>"2022027325"</f>
        <v>2022027325</v>
      </c>
      <c r="F408" s="9">
        <v>90.8</v>
      </c>
      <c r="G408" s="9">
        <v>54</v>
      </c>
      <c r="H408" s="9">
        <v>76.08</v>
      </c>
      <c r="I408" s="9">
        <v>8</v>
      </c>
      <c r="J408" s="10" t="s">
        <v>73</v>
      </c>
      <c r="K408" s="11" t="s">
        <v>12</v>
      </c>
    </row>
    <row r="409" s="1" customFormat="1" customHeight="1" spans="1:11">
      <c r="A409" s="8" t="str">
        <f t="shared" si="56"/>
        <v>F9F</v>
      </c>
      <c r="B409" s="8" t="s">
        <v>113</v>
      </c>
      <c r="C409" s="8" t="str">
        <f>"袁嫣"</f>
        <v>袁嫣</v>
      </c>
      <c r="D409" s="8" t="str">
        <f t="shared" si="55"/>
        <v>女</v>
      </c>
      <c r="E409" s="8" t="str">
        <f>"2022027322"</f>
        <v>2022027322</v>
      </c>
      <c r="F409" s="9">
        <v>84</v>
      </c>
      <c r="G409" s="9">
        <v>63.9</v>
      </c>
      <c r="H409" s="9">
        <v>75.96</v>
      </c>
      <c r="I409" s="9">
        <v>9</v>
      </c>
      <c r="J409" s="10" t="s">
        <v>73</v>
      </c>
      <c r="K409" s="11" t="s">
        <v>12</v>
      </c>
    </row>
    <row r="410" s="1" customFormat="1" customHeight="1" spans="1:11">
      <c r="A410" s="8" t="str">
        <f t="shared" si="56"/>
        <v>F9F</v>
      </c>
      <c r="B410" s="8" t="s">
        <v>113</v>
      </c>
      <c r="C410" s="8" t="str">
        <f>"石艳群"</f>
        <v>石艳群</v>
      </c>
      <c r="D410" s="8" t="str">
        <f t="shared" si="55"/>
        <v>女</v>
      </c>
      <c r="E410" s="8" t="str">
        <f>"2022027328"</f>
        <v>2022027328</v>
      </c>
      <c r="F410" s="9">
        <v>88.6</v>
      </c>
      <c r="G410" s="9">
        <v>50.9</v>
      </c>
      <c r="H410" s="9">
        <v>73.52</v>
      </c>
      <c r="I410" s="9">
        <v>10</v>
      </c>
      <c r="J410" s="10" t="s">
        <v>73</v>
      </c>
      <c r="K410" s="11" t="s">
        <v>12</v>
      </c>
    </row>
    <row r="411" s="1" customFormat="1" customHeight="1" spans="1:11">
      <c r="A411" s="8" t="str">
        <f t="shared" si="56"/>
        <v>F9F</v>
      </c>
      <c r="B411" s="8" t="s">
        <v>113</v>
      </c>
      <c r="C411" s="8" t="str">
        <f>"刘文豪"</f>
        <v>刘文豪</v>
      </c>
      <c r="D411" s="8" t="str">
        <f t="shared" si="55"/>
        <v>女</v>
      </c>
      <c r="E411" s="8" t="str">
        <f>"2022027405"</f>
        <v>2022027405</v>
      </c>
      <c r="F411" s="9">
        <v>79.2</v>
      </c>
      <c r="G411" s="9">
        <v>64.9</v>
      </c>
      <c r="H411" s="9">
        <v>73.48</v>
      </c>
      <c r="I411" s="9">
        <v>11</v>
      </c>
      <c r="J411" s="10" t="s">
        <v>73</v>
      </c>
      <c r="K411" s="11" t="s">
        <v>12</v>
      </c>
    </row>
    <row r="412" s="1" customFormat="1" customHeight="1" spans="1:11">
      <c r="A412" s="8" t="str">
        <f t="shared" si="56"/>
        <v>F9F</v>
      </c>
      <c r="B412" s="8" t="s">
        <v>113</v>
      </c>
      <c r="C412" s="8" t="str">
        <f>"杨海君"</f>
        <v>杨海君</v>
      </c>
      <c r="D412" s="8" t="str">
        <f t="shared" si="55"/>
        <v>女</v>
      </c>
      <c r="E412" s="8" t="str">
        <f>"2022027310"</f>
        <v>2022027310</v>
      </c>
      <c r="F412" s="9">
        <v>71.8</v>
      </c>
      <c r="G412" s="9">
        <v>68.9</v>
      </c>
      <c r="H412" s="9">
        <v>70.64</v>
      </c>
      <c r="I412" s="9">
        <v>12</v>
      </c>
      <c r="J412" s="10" t="s">
        <v>73</v>
      </c>
      <c r="K412" s="11" t="s">
        <v>12</v>
      </c>
    </row>
    <row r="413" s="1" customFormat="1" customHeight="1" spans="1:11">
      <c r="A413" s="8" t="str">
        <f t="shared" si="56"/>
        <v>F9F</v>
      </c>
      <c r="B413" s="8" t="s">
        <v>113</v>
      </c>
      <c r="C413" s="8" t="str">
        <f>"唐君梅"</f>
        <v>唐君梅</v>
      </c>
      <c r="D413" s="8" t="str">
        <f t="shared" si="55"/>
        <v>女</v>
      </c>
      <c r="E413" s="8" t="str">
        <f>"2022027323"</f>
        <v>2022027323</v>
      </c>
      <c r="F413" s="9">
        <v>78</v>
      </c>
      <c r="G413" s="9">
        <v>58.7</v>
      </c>
      <c r="H413" s="9">
        <v>70.28</v>
      </c>
      <c r="I413" s="9">
        <v>13</v>
      </c>
      <c r="J413" s="10" t="s">
        <v>73</v>
      </c>
      <c r="K413" s="11" t="s">
        <v>12</v>
      </c>
    </row>
    <row r="414" s="1" customFormat="1" customHeight="1" spans="1:11">
      <c r="A414" s="8" t="str">
        <f t="shared" si="56"/>
        <v>F9F</v>
      </c>
      <c r="B414" s="8" t="s">
        <v>113</v>
      </c>
      <c r="C414" s="8" t="str">
        <f>"邓紫荆"</f>
        <v>邓紫荆</v>
      </c>
      <c r="D414" s="8" t="str">
        <f t="shared" si="55"/>
        <v>女</v>
      </c>
      <c r="E414" s="8" t="str">
        <f>"2022027318"</f>
        <v>2022027318</v>
      </c>
      <c r="F414" s="9">
        <v>80.8</v>
      </c>
      <c r="G414" s="9">
        <v>50.8</v>
      </c>
      <c r="H414" s="9">
        <v>68.8</v>
      </c>
      <c r="I414" s="9">
        <v>14</v>
      </c>
      <c r="J414" s="10" t="s">
        <v>73</v>
      </c>
      <c r="K414" s="11" t="s">
        <v>12</v>
      </c>
    </row>
    <row r="415" s="1" customFormat="1" customHeight="1" spans="1:11">
      <c r="A415" s="8" t="str">
        <f t="shared" si="56"/>
        <v>F9F</v>
      </c>
      <c r="B415" s="8" t="s">
        <v>113</v>
      </c>
      <c r="C415" s="8" t="str">
        <f>"刘思佳"</f>
        <v>刘思佳</v>
      </c>
      <c r="D415" s="8" t="str">
        <f t="shared" si="55"/>
        <v>女</v>
      </c>
      <c r="E415" s="8" t="str">
        <f>"2022027317"</f>
        <v>2022027317</v>
      </c>
      <c r="F415" s="9">
        <v>67.2</v>
      </c>
      <c r="G415" s="9">
        <v>69.5</v>
      </c>
      <c r="H415" s="9">
        <v>68.12</v>
      </c>
      <c r="I415" s="9">
        <v>15</v>
      </c>
      <c r="J415" s="10" t="s">
        <v>73</v>
      </c>
      <c r="K415" s="11" t="s">
        <v>12</v>
      </c>
    </row>
    <row r="416" s="1" customFormat="1" customHeight="1" spans="1:11">
      <c r="A416" s="8" t="str">
        <f t="shared" si="56"/>
        <v>F9F</v>
      </c>
      <c r="B416" s="8" t="s">
        <v>113</v>
      </c>
      <c r="C416" s="8" t="str">
        <f>"漆杨玲"</f>
        <v>漆杨玲</v>
      </c>
      <c r="D416" s="8" t="str">
        <f t="shared" si="55"/>
        <v>女</v>
      </c>
      <c r="E416" s="8" t="str">
        <f>"2022027401"</f>
        <v>2022027401</v>
      </c>
      <c r="F416" s="9">
        <v>71.4</v>
      </c>
      <c r="G416" s="9">
        <v>61.8</v>
      </c>
      <c r="H416" s="9">
        <v>67.56</v>
      </c>
      <c r="I416" s="9">
        <v>16</v>
      </c>
      <c r="J416" s="10" t="s">
        <v>73</v>
      </c>
      <c r="K416" s="11" t="s">
        <v>12</v>
      </c>
    </row>
    <row r="417" s="1" customFormat="1" customHeight="1" spans="1:11">
      <c r="A417" s="8" t="str">
        <f t="shared" si="56"/>
        <v>F9F</v>
      </c>
      <c r="B417" s="8" t="s">
        <v>113</v>
      </c>
      <c r="C417" s="8" t="str">
        <f>"吴灿"</f>
        <v>吴灿</v>
      </c>
      <c r="D417" s="8" t="str">
        <f>"男"</f>
        <v>男</v>
      </c>
      <c r="E417" s="8" t="str">
        <f>"2022027410"</f>
        <v>2022027410</v>
      </c>
      <c r="F417" s="9">
        <v>59</v>
      </c>
      <c r="G417" s="9">
        <v>74.3</v>
      </c>
      <c r="H417" s="9">
        <v>65.12</v>
      </c>
      <c r="I417" s="9">
        <v>17</v>
      </c>
      <c r="J417" s="10" t="s">
        <v>73</v>
      </c>
      <c r="K417" s="11" t="s">
        <v>12</v>
      </c>
    </row>
    <row r="418" s="1" customFormat="1" customHeight="1" spans="1:11">
      <c r="A418" s="8" t="str">
        <f t="shared" si="56"/>
        <v>F9F</v>
      </c>
      <c r="B418" s="8" t="s">
        <v>113</v>
      </c>
      <c r="C418" s="8" t="str">
        <f>"朱嫔杰"</f>
        <v>朱嫔杰</v>
      </c>
      <c r="D418" s="8" t="str">
        <f t="shared" ref="D418:D425" si="57">"女"</f>
        <v>女</v>
      </c>
      <c r="E418" s="8" t="str">
        <f>"2022027313"</f>
        <v>2022027313</v>
      </c>
      <c r="F418" s="9">
        <v>80</v>
      </c>
      <c r="G418" s="9">
        <v>38.9</v>
      </c>
      <c r="H418" s="9">
        <v>63.56</v>
      </c>
      <c r="I418" s="9">
        <v>18</v>
      </c>
      <c r="J418" s="10" t="s">
        <v>73</v>
      </c>
      <c r="K418" s="11" t="s">
        <v>12</v>
      </c>
    </row>
    <row r="419" s="1" customFormat="1" customHeight="1" spans="1:11">
      <c r="A419" s="8" t="str">
        <f t="shared" si="56"/>
        <v>F9F</v>
      </c>
      <c r="B419" s="8" t="s">
        <v>113</v>
      </c>
      <c r="C419" s="8" t="str">
        <f>"刘佳慧"</f>
        <v>刘佳慧</v>
      </c>
      <c r="D419" s="8" t="str">
        <f t="shared" si="57"/>
        <v>女</v>
      </c>
      <c r="E419" s="8" t="str">
        <f>"2022027329"</f>
        <v>2022027329</v>
      </c>
      <c r="F419" s="9">
        <v>68.8</v>
      </c>
      <c r="G419" s="9">
        <v>54</v>
      </c>
      <c r="H419" s="9">
        <v>62.88</v>
      </c>
      <c r="I419" s="9">
        <v>19</v>
      </c>
      <c r="J419" s="10" t="s">
        <v>73</v>
      </c>
      <c r="K419" s="11" t="s">
        <v>12</v>
      </c>
    </row>
    <row r="420" s="1" customFormat="1" customHeight="1" spans="1:11">
      <c r="A420" s="8" t="str">
        <f t="shared" si="56"/>
        <v>F9F</v>
      </c>
      <c r="B420" s="8" t="s">
        <v>113</v>
      </c>
      <c r="C420" s="8" t="str">
        <f>"杨慧英"</f>
        <v>杨慧英</v>
      </c>
      <c r="D420" s="8" t="str">
        <f t="shared" si="57"/>
        <v>女</v>
      </c>
      <c r="E420" s="8" t="str">
        <f>"2022027315"</f>
        <v>2022027315</v>
      </c>
      <c r="F420" s="9">
        <v>75</v>
      </c>
      <c r="G420" s="9">
        <v>42.9</v>
      </c>
      <c r="H420" s="9">
        <v>62.16</v>
      </c>
      <c r="I420" s="9">
        <v>20</v>
      </c>
      <c r="J420" s="10" t="s">
        <v>73</v>
      </c>
      <c r="K420" s="11" t="s">
        <v>12</v>
      </c>
    </row>
    <row r="421" s="1" customFormat="1" customHeight="1" spans="1:11">
      <c r="A421" s="8" t="str">
        <f t="shared" si="56"/>
        <v>F9F</v>
      </c>
      <c r="B421" s="8" t="s">
        <v>113</v>
      </c>
      <c r="C421" s="8" t="str">
        <f>"肖檬檬"</f>
        <v>肖檬檬</v>
      </c>
      <c r="D421" s="8" t="str">
        <f t="shared" si="57"/>
        <v>女</v>
      </c>
      <c r="E421" s="8" t="str">
        <f>"2022027422"</f>
        <v>2022027422</v>
      </c>
      <c r="F421" s="9">
        <v>61</v>
      </c>
      <c r="G421" s="9">
        <v>55</v>
      </c>
      <c r="H421" s="9">
        <v>58.6</v>
      </c>
      <c r="I421" s="9">
        <v>21</v>
      </c>
      <c r="J421" s="10" t="s">
        <v>73</v>
      </c>
      <c r="K421" s="11" t="s">
        <v>12</v>
      </c>
    </row>
    <row r="422" s="1" customFormat="1" customHeight="1" spans="1:11">
      <c r="A422" s="8" t="str">
        <f t="shared" si="56"/>
        <v>F9F</v>
      </c>
      <c r="B422" s="8" t="s">
        <v>113</v>
      </c>
      <c r="C422" s="8" t="str">
        <f>"蒋辉霞"</f>
        <v>蒋辉霞</v>
      </c>
      <c r="D422" s="8" t="str">
        <f t="shared" si="57"/>
        <v>女</v>
      </c>
      <c r="E422" s="8" t="str">
        <f>"2022027413"</f>
        <v>2022027413</v>
      </c>
      <c r="F422" s="9">
        <v>55.6</v>
      </c>
      <c r="G422" s="9">
        <v>60</v>
      </c>
      <c r="H422" s="9">
        <v>57.36</v>
      </c>
      <c r="I422" s="9">
        <v>22</v>
      </c>
      <c r="J422" s="10" t="s">
        <v>73</v>
      </c>
      <c r="K422" s="11" t="s">
        <v>12</v>
      </c>
    </row>
    <row r="423" s="1" customFormat="1" customHeight="1" spans="1:11">
      <c r="A423" s="8" t="str">
        <f t="shared" si="56"/>
        <v>F9F</v>
      </c>
      <c r="B423" s="8" t="s">
        <v>113</v>
      </c>
      <c r="C423" s="8" t="str">
        <f>"钱丽婕"</f>
        <v>钱丽婕</v>
      </c>
      <c r="D423" s="8" t="str">
        <f t="shared" si="57"/>
        <v>女</v>
      </c>
      <c r="E423" s="8" t="str">
        <f>"2022027409"</f>
        <v>2022027409</v>
      </c>
      <c r="F423" s="9">
        <v>37.2</v>
      </c>
      <c r="G423" s="9">
        <v>79</v>
      </c>
      <c r="H423" s="9">
        <v>53.92</v>
      </c>
      <c r="I423" s="9">
        <v>23</v>
      </c>
      <c r="J423" s="10" t="s">
        <v>73</v>
      </c>
      <c r="K423" s="11" t="s">
        <v>12</v>
      </c>
    </row>
    <row r="424" s="1" customFormat="1" customHeight="1" spans="1:11">
      <c r="A424" s="8" t="str">
        <f t="shared" si="56"/>
        <v>F9F</v>
      </c>
      <c r="B424" s="8" t="s">
        <v>113</v>
      </c>
      <c r="C424" s="8" t="str">
        <f>"杨萍"</f>
        <v>杨萍</v>
      </c>
      <c r="D424" s="8" t="str">
        <f t="shared" si="57"/>
        <v>女</v>
      </c>
      <c r="E424" s="8" t="str">
        <f>"2022027301"</f>
        <v>2022027301</v>
      </c>
      <c r="F424" s="9">
        <v>49.4</v>
      </c>
      <c r="G424" s="9">
        <v>58.9</v>
      </c>
      <c r="H424" s="9">
        <v>53.2</v>
      </c>
      <c r="I424" s="9">
        <v>24</v>
      </c>
      <c r="J424" s="10" t="s">
        <v>73</v>
      </c>
      <c r="K424" s="11" t="s">
        <v>12</v>
      </c>
    </row>
    <row r="425" s="1" customFormat="1" customHeight="1" spans="1:11">
      <c r="A425" s="8" t="str">
        <f t="shared" si="56"/>
        <v>F9F</v>
      </c>
      <c r="B425" s="8" t="s">
        <v>113</v>
      </c>
      <c r="C425" s="8" t="str">
        <f>"刘琴"</f>
        <v>刘琴</v>
      </c>
      <c r="D425" s="8" t="str">
        <f t="shared" si="57"/>
        <v>女</v>
      </c>
      <c r="E425" s="8" t="str">
        <f>"2022027404"</f>
        <v>2022027404</v>
      </c>
      <c r="F425" s="9">
        <v>61.6</v>
      </c>
      <c r="G425" s="9">
        <v>38.5</v>
      </c>
      <c r="H425" s="9">
        <v>52.36</v>
      </c>
      <c r="I425" s="9">
        <v>25</v>
      </c>
      <c r="J425" s="10" t="s">
        <v>73</v>
      </c>
      <c r="K425" s="11" t="s">
        <v>12</v>
      </c>
    </row>
    <row r="426" s="1" customFormat="1" customHeight="1" spans="1:11">
      <c r="A426" s="8" t="str">
        <f t="shared" si="56"/>
        <v>F9F</v>
      </c>
      <c r="B426" s="8" t="s">
        <v>113</v>
      </c>
      <c r="C426" s="8" t="str">
        <f>"唐金新"</f>
        <v>唐金新</v>
      </c>
      <c r="D426" s="8" t="str">
        <f>"男"</f>
        <v>男</v>
      </c>
      <c r="E426" s="8" t="str">
        <f>"2022027303"</f>
        <v>2022027303</v>
      </c>
      <c r="F426" s="9">
        <v>71.2</v>
      </c>
      <c r="G426" s="9">
        <v>21.7</v>
      </c>
      <c r="H426" s="9">
        <v>51.4</v>
      </c>
      <c r="I426" s="9">
        <v>26</v>
      </c>
      <c r="J426" s="10" t="s">
        <v>73</v>
      </c>
      <c r="K426" s="11" t="s">
        <v>12</v>
      </c>
    </row>
    <row r="427" s="1" customFormat="1" customHeight="1" spans="1:11">
      <c r="A427" s="8" t="str">
        <f t="shared" si="56"/>
        <v>F9F</v>
      </c>
      <c r="B427" s="8" t="s">
        <v>113</v>
      </c>
      <c r="C427" s="8" t="str">
        <f>"邓嘉丽"</f>
        <v>邓嘉丽</v>
      </c>
      <c r="D427" s="8" t="str">
        <f t="shared" ref="D427:D442" si="58">"女"</f>
        <v>女</v>
      </c>
      <c r="E427" s="8" t="str">
        <f>"2022027312"</f>
        <v>2022027312</v>
      </c>
      <c r="F427" s="9">
        <v>53.8</v>
      </c>
      <c r="G427" s="9">
        <v>45</v>
      </c>
      <c r="H427" s="9">
        <v>50.28</v>
      </c>
      <c r="I427" s="9">
        <v>27</v>
      </c>
      <c r="J427" s="10" t="s">
        <v>73</v>
      </c>
      <c r="K427" s="11" t="s">
        <v>12</v>
      </c>
    </row>
    <row r="428" s="1" customFormat="1" customHeight="1" spans="1:11">
      <c r="A428" s="8" t="str">
        <f t="shared" si="56"/>
        <v>F9F</v>
      </c>
      <c r="B428" s="8" t="s">
        <v>113</v>
      </c>
      <c r="C428" s="8" t="str">
        <f>"熊红霞"</f>
        <v>熊红霞</v>
      </c>
      <c r="D428" s="8" t="str">
        <f t="shared" si="58"/>
        <v>女</v>
      </c>
      <c r="E428" s="8" t="str">
        <f>"2022027414"</f>
        <v>2022027414</v>
      </c>
      <c r="F428" s="9">
        <v>55</v>
      </c>
      <c r="G428" s="9">
        <v>42</v>
      </c>
      <c r="H428" s="9">
        <v>49.8</v>
      </c>
      <c r="I428" s="9">
        <v>28</v>
      </c>
      <c r="J428" s="10" t="s">
        <v>73</v>
      </c>
      <c r="K428" s="11" t="s">
        <v>12</v>
      </c>
    </row>
    <row r="429" s="1" customFormat="1" customHeight="1" spans="1:11">
      <c r="A429" s="8" t="str">
        <f t="shared" si="56"/>
        <v>F9F</v>
      </c>
      <c r="B429" s="8" t="s">
        <v>113</v>
      </c>
      <c r="C429" s="8" t="str">
        <f>"郑从馗"</f>
        <v>郑从馗</v>
      </c>
      <c r="D429" s="8" t="str">
        <f>"男"</f>
        <v>男</v>
      </c>
      <c r="E429" s="8" t="str">
        <f>"2022027319"</f>
        <v>2022027319</v>
      </c>
      <c r="F429" s="9">
        <v>59.4</v>
      </c>
      <c r="G429" s="9">
        <v>34.8</v>
      </c>
      <c r="H429" s="9">
        <v>49.56</v>
      </c>
      <c r="I429" s="9">
        <v>29</v>
      </c>
      <c r="J429" s="10" t="s">
        <v>73</v>
      </c>
      <c r="K429" s="11" t="s">
        <v>12</v>
      </c>
    </row>
    <row r="430" s="1" customFormat="1" customHeight="1" spans="1:11">
      <c r="A430" s="8" t="str">
        <f t="shared" si="56"/>
        <v>F9F</v>
      </c>
      <c r="B430" s="8" t="s">
        <v>113</v>
      </c>
      <c r="C430" s="8" t="str">
        <f>"吴纯珍"</f>
        <v>吴纯珍</v>
      </c>
      <c r="D430" s="8" t="str">
        <f t="shared" si="58"/>
        <v>女</v>
      </c>
      <c r="E430" s="8" t="str">
        <f>"2022027417"</f>
        <v>2022027417</v>
      </c>
      <c r="F430" s="9">
        <v>47.4</v>
      </c>
      <c r="G430" s="9">
        <v>49</v>
      </c>
      <c r="H430" s="9">
        <v>48.04</v>
      </c>
      <c r="I430" s="9">
        <v>30</v>
      </c>
      <c r="J430" s="10" t="s">
        <v>73</v>
      </c>
      <c r="K430" s="11" t="s">
        <v>12</v>
      </c>
    </row>
    <row r="431" s="1" customFormat="1" customHeight="1" spans="1:11">
      <c r="A431" s="8" t="str">
        <f t="shared" si="56"/>
        <v>F9F</v>
      </c>
      <c r="B431" s="8" t="s">
        <v>113</v>
      </c>
      <c r="C431" s="8" t="str">
        <f>"王洛群"</f>
        <v>王洛群</v>
      </c>
      <c r="D431" s="8" t="str">
        <f t="shared" si="58"/>
        <v>女</v>
      </c>
      <c r="E431" s="8" t="str">
        <f>"2022027403"</f>
        <v>2022027403</v>
      </c>
      <c r="F431" s="9">
        <v>50.6</v>
      </c>
      <c r="G431" s="9">
        <v>41.2</v>
      </c>
      <c r="H431" s="9">
        <v>46.84</v>
      </c>
      <c r="I431" s="9">
        <v>31</v>
      </c>
      <c r="J431" s="10" t="s">
        <v>73</v>
      </c>
      <c r="K431" s="11" t="s">
        <v>12</v>
      </c>
    </row>
    <row r="432" s="1" customFormat="1" customHeight="1" spans="1:11">
      <c r="A432" s="8" t="str">
        <f t="shared" si="56"/>
        <v>F9F</v>
      </c>
      <c r="B432" s="8" t="s">
        <v>113</v>
      </c>
      <c r="C432" s="8" t="str">
        <f>"李俐"</f>
        <v>李俐</v>
      </c>
      <c r="D432" s="8" t="str">
        <f t="shared" si="58"/>
        <v>女</v>
      </c>
      <c r="E432" s="8" t="str">
        <f>"2022027415"</f>
        <v>2022027415</v>
      </c>
      <c r="F432" s="9">
        <v>42.2</v>
      </c>
      <c r="G432" s="9">
        <v>46</v>
      </c>
      <c r="H432" s="9">
        <v>43.72</v>
      </c>
      <c r="I432" s="9">
        <v>32</v>
      </c>
      <c r="J432" s="10" t="s">
        <v>73</v>
      </c>
      <c r="K432" s="11" t="s">
        <v>12</v>
      </c>
    </row>
    <row r="433" s="1" customFormat="1" customHeight="1" spans="1:11">
      <c r="A433" s="8" t="str">
        <f t="shared" si="56"/>
        <v>F9F</v>
      </c>
      <c r="B433" s="8" t="s">
        <v>113</v>
      </c>
      <c r="C433" s="8" t="str">
        <f>"潘丽芳"</f>
        <v>潘丽芳</v>
      </c>
      <c r="D433" s="8" t="str">
        <f t="shared" si="58"/>
        <v>女</v>
      </c>
      <c r="E433" s="8" t="str">
        <f>"2022027330"</f>
        <v>2022027330</v>
      </c>
      <c r="F433" s="9">
        <v>51</v>
      </c>
      <c r="G433" s="9">
        <v>29</v>
      </c>
      <c r="H433" s="9">
        <v>42.2</v>
      </c>
      <c r="I433" s="9">
        <v>33</v>
      </c>
      <c r="J433" s="10" t="s">
        <v>73</v>
      </c>
      <c r="K433" s="11" t="s">
        <v>12</v>
      </c>
    </row>
    <row r="434" s="1" customFormat="1" customHeight="1" spans="1:11">
      <c r="A434" s="8" t="str">
        <f t="shared" si="56"/>
        <v>F9F</v>
      </c>
      <c r="B434" s="8" t="s">
        <v>113</v>
      </c>
      <c r="C434" s="8" t="str">
        <f>"秦丽亚"</f>
        <v>秦丽亚</v>
      </c>
      <c r="D434" s="8" t="str">
        <f t="shared" si="58"/>
        <v>女</v>
      </c>
      <c r="E434" s="8" t="str">
        <f>"2022027306"</f>
        <v>2022027306</v>
      </c>
      <c r="F434" s="9">
        <v>49.2</v>
      </c>
      <c r="G434" s="9">
        <v>30</v>
      </c>
      <c r="H434" s="9">
        <v>41.52</v>
      </c>
      <c r="I434" s="9">
        <v>34</v>
      </c>
      <c r="J434" s="10" t="s">
        <v>73</v>
      </c>
      <c r="K434" s="11" t="s">
        <v>12</v>
      </c>
    </row>
    <row r="435" s="1" customFormat="1" customHeight="1" spans="1:11">
      <c r="A435" s="8" t="str">
        <f t="shared" si="56"/>
        <v>F9F</v>
      </c>
      <c r="B435" s="8" t="s">
        <v>113</v>
      </c>
      <c r="C435" s="8" t="str">
        <f>"刘云娣"</f>
        <v>刘云娣</v>
      </c>
      <c r="D435" s="8" t="str">
        <f t="shared" si="58"/>
        <v>女</v>
      </c>
      <c r="E435" s="8" t="str">
        <f>"2022027326"</f>
        <v>2022027326</v>
      </c>
      <c r="F435" s="9">
        <v>48.2</v>
      </c>
      <c r="G435" s="9">
        <v>29.6</v>
      </c>
      <c r="H435" s="9">
        <v>40.76</v>
      </c>
      <c r="I435" s="9">
        <v>35</v>
      </c>
      <c r="J435" s="10" t="s">
        <v>73</v>
      </c>
      <c r="K435" s="11" t="s">
        <v>12</v>
      </c>
    </row>
    <row r="436" s="1" customFormat="1" customHeight="1" spans="1:11">
      <c r="A436" s="8" t="str">
        <f t="shared" si="56"/>
        <v>F9F</v>
      </c>
      <c r="B436" s="8" t="s">
        <v>113</v>
      </c>
      <c r="C436" s="8" t="str">
        <f>"钟佳卉"</f>
        <v>钟佳卉</v>
      </c>
      <c r="D436" s="8" t="str">
        <f t="shared" si="58"/>
        <v>女</v>
      </c>
      <c r="E436" s="8" t="str">
        <f>"2022027321"</f>
        <v>2022027321</v>
      </c>
      <c r="F436" s="9">
        <v>39.4</v>
      </c>
      <c r="G436" s="9">
        <v>25.8</v>
      </c>
      <c r="H436" s="9">
        <v>33.96</v>
      </c>
      <c r="I436" s="9">
        <v>36</v>
      </c>
      <c r="J436" s="10" t="s">
        <v>73</v>
      </c>
      <c r="K436" s="11" t="s">
        <v>12</v>
      </c>
    </row>
    <row r="437" s="1" customFormat="1" customHeight="1" spans="1:11">
      <c r="A437" s="8" t="str">
        <f t="shared" si="56"/>
        <v>F9F</v>
      </c>
      <c r="B437" s="8" t="s">
        <v>113</v>
      </c>
      <c r="C437" s="8" t="str">
        <f>"杨燕"</f>
        <v>杨燕</v>
      </c>
      <c r="D437" s="8" t="str">
        <f t="shared" si="58"/>
        <v>女</v>
      </c>
      <c r="E437" s="8" t="str">
        <f>"2022027324"</f>
        <v>2022027324</v>
      </c>
      <c r="F437" s="9">
        <v>37.6</v>
      </c>
      <c r="G437" s="9">
        <v>28</v>
      </c>
      <c r="H437" s="9">
        <v>33.76</v>
      </c>
      <c r="I437" s="9">
        <v>37</v>
      </c>
      <c r="J437" s="10" t="s">
        <v>73</v>
      </c>
      <c r="K437" s="11" t="s">
        <v>12</v>
      </c>
    </row>
    <row r="438" s="1" customFormat="1" customHeight="1" spans="1:11">
      <c r="A438" s="8" t="str">
        <f t="shared" si="56"/>
        <v>F9F</v>
      </c>
      <c r="B438" s="8" t="s">
        <v>113</v>
      </c>
      <c r="C438" s="8" t="str">
        <f>"罗淑文"</f>
        <v>罗淑文</v>
      </c>
      <c r="D438" s="8" t="str">
        <f t="shared" si="58"/>
        <v>女</v>
      </c>
      <c r="E438" s="8" t="str">
        <f>"2022027407"</f>
        <v>2022027407</v>
      </c>
      <c r="F438" s="9">
        <v>40.8</v>
      </c>
      <c r="G438" s="9">
        <v>5</v>
      </c>
      <c r="H438" s="9">
        <v>26.48</v>
      </c>
      <c r="I438" s="9">
        <v>38</v>
      </c>
      <c r="J438" s="10" t="s">
        <v>73</v>
      </c>
      <c r="K438" s="11" t="s">
        <v>12</v>
      </c>
    </row>
    <row r="439" s="1" customFormat="1" customHeight="1" spans="1:11">
      <c r="A439" s="8" t="str">
        <f t="shared" si="56"/>
        <v>F9F</v>
      </c>
      <c r="B439" s="8" t="s">
        <v>113</v>
      </c>
      <c r="C439" s="8" t="str">
        <f>"洪素娟"</f>
        <v>洪素娟</v>
      </c>
      <c r="D439" s="8" t="str">
        <f t="shared" si="58"/>
        <v>女</v>
      </c>
      <c r="E439" s="8" t="str">
        <f>"2022027305"</f>
        <v>2022027305</v>
      </c>
      <c r="F439" s="9">
        <v>0</v>
      </c>
      <c r="G439" s="9">
        <v>0</v>
      </c>
      <c r="H439" s="9">
        <v>0</v>
      </c>
      <c r="I439" s="9">
        <v>39</v>
      </c>
      <c r="J439" s="10" t="s">
        <v>13</v>
      </c>
      <c r="K439" s="11" t="s">
        <v>12</v>
      </c>
    </row>
    <row r="440" s="1" customFormat="1" customHeight="1" spans="1:11">
      <c r="A440" s="8" t="str">
        <f t="shared" si="56"/>
        <v>F9F</v>
      </c>
      <c r="B440" s="8" t="s">
        <v>113</v>
      </c>
      <c r="C440" s="8" t="str">
        <f>"曾婷"</f>
        <v>曾婷</v>
      </c>
      <c r="D440" s="8" t="str">
        <f t="shared" si="58"/>
        <v>女</v>
      </c>
      <c r="E440" s="8" t="str">
        <f>"2022027309"</f>
        <v>2022027309</v>
      </c>
      <c r="F440" s="9">
        <v>0</v>
      </c>
      <c r="G440" s="9">
        <v>0</v>
      </c>
      <c r="H440" s="9">
        <v>0</v>
      </c>
      <c r="I440" s="9">
        <v>39</v>
      </c>
      <c r="J440" s="10" t="s">
        <v>13</v>
      </c>
      <c r="K440" s="11" t="s">
        <v>12</v>
      </c>
    </row>
    <row r="441" s="1" customFormat="1" customHeight="1" spans="1:11">
      <c r="A441" s="8" t="str">
        <f t="shared" si="56"/>
        <v>F9F</v>
      </c>
      <c r="B441" s="8" t="s">
        <v>113</v>
      </c>
      <c r="C441" s="8" t="str">
        <f>"刘雨凤"</f>
        <v>刘雨凤</v>
      </c>
      <c r="D441" s="8" t="str">
        <f t="shared" si="58"/>
        <v>女</v>
      </c>
      <c r="E441" s="8" t="str">
        <f>"2022027314"</f>
        <v>2022027314</v>
      </c>
      <c r="F441" s="9">
        <v>0</v>
      </c>
      <c r="G441" s="9">
        <v>0</v>
      </c>
      <c r="H441" s="9">
        <v>0</v>
      </c>
      <c r="I441" s="9">
        <v>39</v>
      </c>
      <c r="J441" s="10" t="s">
        <v>13</v>
      </c>
      <c r="K441" s="11" t="s">
        <v>12</v>
      </c>
    </row>
    <row r="442" s="1" customFormat="1" customHeight="1" spans="1:11">
      <c r="A442" s="8" t="str">
        <f t="shared" si="56"/>
        <v>F9F</v>
      </c>
      <c r="B442" s="8" t="s">
        <v>113</v>
      </c>
      <c r="C442" s="8" t="str">
        <f>"郑慧萍"</f>
        <v>郑慧萍</v>
      </c>
      <c r="D442" s="8" t="str">
        <f t="shared" si="58"/>
        <v>女</v>
      </c>
      <c r="E442" s="8" t="str">
        <f>"2022027316"</f>
        <v>2022027316</v>
      </c>
      <c r="F442" s="9">
        <v>0</v>
      </c>
      <c r="G442" s="9">
        <v>0</v>
      </c>
      <c r="H442" s="9">
        <v>0</v>
      </c>
      <c r="I442" s="9">
        <v>39</v>
      </c>
      <c r="J442" s="10" t="s">
        <v>13</v>
      </c>
      <c r="K442" s="11" t="s">
        <v>12</v>
      </c>
    </row>
    <row r="443" s="1" customFormat="1" customHeight="1" spans="1:11">
      <c r="A443" s="8" t="str">
        <f t="shared" si="56"/>
        <v>F9F</v>
      </c>
      <c r="B443" s="8" t="s">
        <v>113</v>
      </c>
      <c r="C443" s="8" t="str">
        <f>"吕祥龙"</f>
        <v>吕祥龙</v>
      </c>
      <c r="D443" s="8" t="str">
        <f>"男"</f>
        <v>男</v>
      </c>
      <c r="E443" s="8" t="str">
        <f>"2022027320"</f>
        <v>2022027320</v>
      </c>
      <c r="F443" s="9">
        <v>0</v>
      </c>
      <c r="G443" s="9">
        <v>0</v>
      </c>
      <c r="H443" s="9">
        <v>0</v>
      </c>
      <c r="I443" s="9">
        <v>39</v>
      </c>
      <c r="J443" s="10" t="s">
        <v>13</v>
      </c>
      <c r="K443" s="11" t="s">
        <v>12</v>
      </c>
    </row>
    <row r="444" s="1" customFormat="1" customHeight="1" spans="1:11">
      <c r="A444" s="8" t="str">
        <f t="shared" si="56"/>
        <v>F9F</v>
      </c>
      <c r="B444" s="8" t="s">
        <v>113</v>
      </c>
      <c r="C444" s="8" t="str">
        <f>"贺菊波"</f>
        <v>贺菊波</v>
      </c>
      <c r="D444" s="8" t="str">
        <f t="shared" ref="D444:D455" si="59">"女"</f>
        <v>女</v>
      </c>
      <c r="E444" s="8" t="str">
        <f>"2022027327"</f>
        <v>2022027327</v>
      </c>
      <c r="F444" s="9">
        <v>0</v>
      </c>
      <c r="G444" s="9">
        <v>0</v>
      </c>
      <c r="H444" s="9">
        <v>0</v>
      </c>
      <c r="I444" s="9">
        <v>39</v>
      </c>
      <c r="J444" s="10" t="s">
        <v>13</v>
      </c>
      <c r="K444" s="11" t="s">
        <v>12</v>
      </c>
    </row>
    <row r="445" s="1" customFormat="1" customHeight="1" spans="1:11">
      <c r="A445" s="8" t="str">
        <f t="shared" si="56"/>
        <v>F9F</v>
      </c>
      <c r="B445" s="8" t="s">
        <v>113</v>
      </c>
      <c r="C445" s="8" t="str">
        <f>"张晓英"</f>
        <v>张晓英</v>
      </c>
      <c r="D445" s="8" t="str">
        <f t="shared" si="59"/>
        <v>女</v>
      </c>
      <c r="E445" s="8" t="str">
        <f>"2022027402"</f>
        <v>2022027402</v>
      </c>
      <c r="F445" s="9">
        <v>0</v>
      </c>
      <c r="G445" s="9">
        <v>0</v>
      </c>
      <c r="H445" s="9">
        <v>0</v>
      </c>
      <c r="I445" s="9">
        <v>39</v>
      </c>
      <c r="J445" s="10" t="s">
        <v>13</v>
      </c>
      <c r="K445" s="11" t="s">
        <v>12</v>
      </c>
    </row>
    <row r="446" s="1" customFormat="1" customHeight="1" spans="1:11">
      <c r="A446" s="8" t="str">
        <f t="shared" si="56"/>
        <v>F9F</v>
      </c>
      <c r="B446" s="8" t="s">
        <v>113</v>
      </c>
      <c r="C446" s="8" t="str">
        <f>"陈宣竹"</f>
        <v>陈宣竹</v>
      </c>
      <c r="D446" s="8" t="str">
        <f t="shared" si="59"/>
        <v>女</v>
      </c>
      <c r="E446" s="8" t="str">
        <f>"2022027406"</f>
        <v>2022027406</v>
      </c>
      <c r="F446" s="9">
        <v>0</v>
      </c>
      <c r="G446" s="9">
        <v>0</v>
      </c>
      <c r="H446" s="9">
        <v>0</v>
      </c>
      <c r="I446" s="9">
        <v>39</v>
      </c>
      <c r="J446" s="10" t="s">
        <v>13</v>
      </c>
      <c r="K446" s="11" t="s">
        <v>12</v>
      </c>
    </row>
    <row r="447" s="1" customFormat="1" customHeight="1" spans="1:11">
      <c r="A447" s="8" t="str">
        <f t="shared" si="56"/>
        <v>F9F</v>
      </c>
      <c r="B447" s="8" t="s">
        <v>113</v>
      </c>
      <c r="C447" s="8" t="str">
        <f>"曾嵘"</f>
        <v>曾嵘</v>
      </c>
      <c r="D447" s="8" t="str">
        <f t="shared" si="59"/>
        <v>女</v>
      </c>
      <c r="E447" s="8" t="str">
        <f>"2022027408"</f>
        <v>2022027408</v>
      </c>
      <c r="F447" s="9">
        <v>0</v>
      </c>
      <c r="G447" s="9">
        <v>0</v>
      </c>
      <c r="H447" s="9">
        <v>0</v>
      </c>
      <c r="I447" s="9">
        <v>39</v>
      </c>
      <c r="J447" s="10" t="s">
        <v>13</v>
      </c>
      <c r="K447" s="11" t="s">
        <v>12</v>
      </c>
    </row>
    <row r="448" s="1" customFormat="1" customHeight="1" spans="1:11">
      <c r="A448" s="8" t="str">
        <f t="shared" si="56"/>
        <v>F9F</v>
      </c>
      <c r="B448" s="8" t="s">
        <v>113</v>
      </c>
      <c r="C448" s="8" t="str">
        <f>"王卉"</f>
        <v>王卉</v>
      </c>
      <c r="D448" s="8" t="str">
        <f t="shared" si="59"/>
        <v>女</v>
      </c>
      <c r="E448" s="8" t="str">
        <f>"2022027411"</f>
        <v>2022027411</v>
      </c>
      <c r="F448" s="9">
        <v>0</v>
      </c>
      <c r="G448" s="9">
        <v>0</v>
      </c>
      <c r="H448" s="9">
        <v>0</v>
      </c>
      <c r="I448" s="9">
        <v>39</v>
      </c>
      <c r="J448" s="10" t="s">
        <v>13</v>
      </c>
      <c r="K448" s="11" t="s">
        <v>12</v>
      </c>
    </row>
    <row r="449" s="1" customFormat="1" customHeight="1" spans="1:11">
      <c r="A449" s="8" t="str">
        <f t="shared" si="56"/>
        <v>F9F</v>
      </c>
      <c r="B449" s="8" t="s">
        <v>113</v>
      </c>
      <c r="C449" s="8" t="str">
        <f>"晏丹"</f>
        <v>晏丹</v>
      </c>
      <c r="D449" s="8" t="str">
        <f t="shared" si="59"/>
        <v>女</v>
      </c>
      <c r="E449" s="8" t="str">
        <f>"2022027416"</f>
        <v>2022027416</v>
      </c>
      <c r="F449" s="9">
        <v>0</v>
      </c>
      <c r="G449" s="9">
        <v>0</v>
      </c>
      <c r="H449" s="9">
        <v>0</v>
      </c>
      <c r="I449" s="9">
        <v>39</v>
      </c>
      <c r="J449" s="10" t="s">
        <v>13</v>
      </c>
      <c r="K449" s="11" t="s">
        <v>12</v>
      </c>
    </row>
    <row r="450" s="1" customFormat="1" customHeight="1" spans="1:11">
      <c r="A450" s="8" t="str">
        <f t="shared" si="56"/>
        <v>F9F</v>
      </c>
      <c r="B450" s="8" t="s">
        <v>113</v>
      </c>
      <c r="C450" s="8" t="str">
        <f>"朱芳"</f>
        <v>朱芳</v>
      </c>
      <c r="D450" s="8" t="str">
        <f t="shared" si="59"/>
        <v>女</v>
      </c>
      <c r="E450" s="8" t="str">
        <f>"2022027418"</f>
        <v>2022027418</v>
      </c>
      <c r="F450" s="9">
        <v>0</v>
      </c>
      <c r="G450" s="9">
        <v>0</v>
      </c>
      <c r="H450" s="9">
        <v>0</v>
      </c>
      <c r="I450" s="9">
        <v>39</v>
      </c>
      <c r="J450" s="10" t="s">
        <v>13</v>
      </c>
      <c r="K450" s="11" t="s">
        <v>12</v>
      </c>
    </row>
    <row r="451" s="1" customFormat="1" customHeight="1" spans="1:11">
      <c r="A451" s="8" t="str">
        <f t="shared" si="56"/>
        <v>F9F</v>
      </c>
      <c r="B451" s="8" t="s">
        <v>113</v>
      </c>
      <c r="C451" s="8" t="str">
        <f>"陆舒琴"</f>
        <v>陆舒琴</v>
      </c>
      <c r="D451" s="8" t="str">
        <f t="shared" si="59"/>
        <v>女</v>
      </c>
      <c r="E451" s="8" t="str">
        <f>"2022027419"</f>
        <v>2022027419</v>
      </c>
      <c r="F451" s="9">
        <v>0</v>
      </c>
      <c r="G451" s="9">
        <v>0</v>
      </c>
      <c r="H451" s="9">
        <v>0</v>
      </c>
      <c r="I451" s="9">
        <v>39</v>
      </c>
      <c r="J451" s="10" t="s">
        <v>13</v>
      </c>
      <c r="K451" s="11" t="s">
        <v>12</v>
      </c>
    </row>
    <row r="452" s="1" customFormat="1" customHeight="1" spans="1:11">
      <c r="A452" s="8" t="str">
        <f t="shared" si="56"/>
        <v>F9F</v>
      </c>
      <c r="B452" s="8" t="s">
        <v>113</v>
      </c>
      <c r="C452" s="8" t="str">
        <f>"刘芳"</f>
        <v>刘芳</v>
      </c>
      <c r="D452" s="8" t="str">
        <f t="shared" si="59"/>
        <v>女</v>
      </c>
      <c r="E452" s="8" t="str">
        <f>"2022027420"</f>
        <v>2022027420</v>
      </c>
      <c r="F452" s="9">
        <v>0</v>
      </c>
      <c r="G452" s="9">
        <v>0</v>
      </c>
      <c r="H452" s="9">
        <v>0</v>
      </c>
      <c r="I452" s="9">
        <v>39</v>
      </c>
      <c r="J452" s="10" t="s">
        <v>13</v>
      </c>
      <c r="K452" s="11" t="s">
        <v>12</v>
      </c>
    </row>
    <row r="453" s="1" customFormat="1" customHeight="1" spans="1:11">
      <c r="A453" s="8" t="str">
        <f t="shared" si="56"/>
        <v>F9F</v>
      </c>
      <c r="B453" s="8" t="s">
        <v>113</v>
      </c>
      <c r="C453" s="8" t="str">
        <f>"胡婧琦"</f>
        <v>胡婧琦</v>
      </c>
      <c r="D453" s="8" t="str">
        <f t="shared" si="59"/>
        <v>女</v>
      </c>
      <c r="E453" s="8" t="str">
        <f>"2022027421"</f>
        <v>2022027421</v>
      </c>
      <c r="F453" s="9">
        <v>0</v>
      </c>
      <c r="G453" s="9">
        <v>0</v>
      </c>
      <c r="H453" s="9">
        <v>0</v>
      </c>
      <c r="I453" s="9">
        <v>39</v>
      </c>
      <c r="J453" s="10" t="s">
        <v>13</v>
      </c>
      <c r="K453" s="11" t="s">
        <v>12</v>
      </c>
    </row>
    <row r="454" s="1" customFormat="1" customHeight="1" spans="1:11">
      <c r="A454" s="8" t="str">
        <f t="shared" si="56"/>
        <v>F9F</v>
      </c>
      <c r="B454" s="8" t="s">
        <v>113</v>
      </c>
      <c r="C454" s="8" t="str">
        <f>"陈艳菲"</f>
        <v>陈艳菲</v>
      </c>
      <c r="D454" s="8" t="str">
        <f t="shared" si="59"/>
        <v>女</v>
      </c>
      <c r="E454" s="8" t="str">
        <f>"2022027424"</f>
        <v>2022027424</v>
      </c>
      <c r="F454" s="9">
        <v>0</v>
      </c>
      <c r="G454" s="9">
        <v>0</v>
      </c>
      <c r="H454" s="9">
        <v>0</v>
      </c>
      <c r="I454" s="9">
        <v>39</v>
      </c>
      <c r="J454" s="10" t="s">
        <v>13</v>
      </c>
      <c r="K454" s="11" t="s">
        <v>12</v>
      </c>
    </row>
    <row r="455" s="1" customFormat="1" customHeight="1" spans="1:11">
      <c r="A455" s="8" t="str">
        <f t="shared" si="56"/>
        <v>F9F</v>
      </c>
      <c r="B455" s="8" t="s">
        <v>113</v>
      </c>
      <c r="C455" s="8" t="str">
        <f>"邓鑫"</f>
        <v>邓鑫</v>
      </c>
      <c r="D455" s="8" t="str">
        <f t="shared" si="59"/>
        <v>女</v>
      </c>
      <c r="E455" s="8" t="str">
        <f>"2022027425"</f>
        <v>2022027425</v>
      </c>
      <c r="F455" s="9">
        <v>0</v>
      </c>
      <c r="G455" s="9">
        <v>0</v>
      </c>
      <c r="H455" s="9">
        <v>0</v>
      </c>
      <c r="I455" s="9">
        <v>39</v>
      </c>
      <c r="J455" s="10" t="s">
        <v>13</v>
      </c>
      <c r="K455" s="11" t="s">
        <v>12</v>
      </c>
    </row>
    <row r="456" s="1" customFormat="1" customHeight="1" spans="1:11">
      <c r="A456" s="8" t="str">
        <f t="shared" ref="A456:A490" si="60">"F9G"</f>
        <v>F9G</v>
      </c>
      <c r="B456" s="8" t="s">
        <v>114</v>
      </c>
      <c r="C456" s="8" t="str">
        <f>" 易游"</f>
        <v> 易游</v>
      </c>
      <c r="D456" s="8" t="str">
        <f>"男"</f>
        <v>男</v>
      </c>
      <c r="E456" s="8" t="str">
        <f>"2022027521"</f>
        <v>2022027521</v>
      </c>
      <c r="F456" s="9">
        <v>87.2</v>
      </c>
      <c r="G456" s="9">
        <v>84</v>
      </c>
      <c r="H456" s="9">
        <v>85.92</v>
      </c>
      <c r="I456" s="9">
        <v>1</v>
      </c>
      <c r="J456" s="10" t="s">
        <v>73</v>
      </c>
      <c r="K456" s="11" t="s">
        <v>11</v>
      </c>
    </row>
    <row r="457" s="1" customFormat="1" customHeight="1" spans="1:11">
      <c r="A457" s="8" t="str">
        <f t="shared" si="60"/>
        <v>F9G</v>
      </c>
      <c r="B457" s="8" t="s">
        <v>114</v>
      </c>
      <c r="C457" s="8" t="str">
        <f>"张雄英"</f>
        <v>张雄英</v>
      </c>
      <c r="D457" s="8" t="str">
        <f t="shared" ref="D457:D475" si="61">"女"</f>
        <v>女</v>
      </c>
      <c r="E457" s="8" t="str">
        <f>"2022027512"</f>
        <v>2022027512</v>
      </c>
      <c r="F457" s="9">
        <v>85.4</v>
      </c>
      <c r="G457" s="9">
        <v>79</v>
      </c>
      <c r="H457" s="9">
        <v>82.84</v>
      </c>
      <c r="I457" s="9">
        <v>2</v>
      </c>
      <c r="J457" s="10" t="s">
        <v>73</v>
      </c>
      <c r="K457" s="11" t="s">
        <v>12</v>
      </c>
    </row>
    <row r="458" s="1" customFormat="1" customHeight="1" spans="1:11">
      <c r="A458" s="8" t="str">
        <f t="shared" si="60"/>
        <v>F9G</v>
      </c>
      <c r="B458" s="8" t="s">
        <v>114</v>
      </c>
      <c r="C458" s="8" t="str">
        <f>"向品"</f>
        <v>向品</v>
      </c>
      <c r="D458" s="8" t="str">
        <f t="shared" si="61"/>
        <v>女</v>
      </c>
      <c r="E458" s="8" t="str">
        <f>"2022027507"</f>
        <v>2022027507</v>
      </c>
      <c r="F458" s="9">
        <v>76.2</v>
      </c>
      <c r="G458" s="9">
        <v>90</v>
      </c>
      <c r="H458" s="9">
        <v>81.72</v>
      </c>
      <c r="I458" s="9">
        <v>3</v>
      </c>
      <c r="J458" s="10" t="s">
        <v>73</v>
      </c>
      <c r="K458" s="11" t="s">
        <v>12</v>
      </c>
    </row>
    <row r="459" s="1" customFormat="1" customHeight="1" spans="1:11">
      <c r="A459" s="8" t="str">
        <f t="shared" si="60"/>
        <v>F9G</v>
      </c>
      <c r="B459" s="8" t="s">
        <v>114</v>
      </c>
      <c r="C459" s="8" t="str">
        <f>"袁夏莲"</f>
        <v>袁夏莲</v>
      </c>
      <c r="D459" s="8" t="str">
        <f t="shared" si="61"/>
        <v>女</v>
      </c>
      <c r="E459" s="8" t="str">
        <f>"2022027518"</f>
        <v>2022027518</v>
      </c>
      <c r="F459" s="9">
        <v>71.6</v>
      </c>
      <c r="G459" s="9">
        <v>95</v>
      </c>
      <c r="H459" s="9">
        <v>80.96</v>
      </c>
      <c r="I459" s="9">
        <v>4</v>
      </c>
      <c r="J459" s="10" t="s">
        <v>73</v>
      </c>
      <c r="K459" s="11" t="s">
        <v>12</v>
      </c>
    </row>
    <row r="460" s="1" customFormat="1" customHeight="1" spans="1:11">
      <c r="A460" s="8" t="str">
        <f t="shared" si="60"/>
        <v>F9G</v>
      </c>
      <c r="B460" s="8" t="s">
        <v>114</v>
      </c>
      <c r="C460" s="8" t="str">
        <f>"周池"</f>
        <v>周池</v>
      </c>
      <c r="D460" s="8" t="str">
        <f t="shared" si="61"/>
        <v>女</v>
      </c>
      <c r="E460" s="8" t="str">
        <f>"2022027513"</f>
        <v>2022027513</v>
      </c>
      <c r="F460" s="9">
        <v>78.6</v>
      </c>
      <c r="G460" s="9">
        <v>79</v>
      </c>
      <c r="H460" s="9">
        <v>78.76</v>
      </c>
      <c r="I460" s="9">
        <v>5</v>
      </c>
      <c r="J460" s="10" t="s">
        <v>73</v>
      </c>
      <c r="K460" s="11" t="s">
        <v>12</v>
      </c>
    </row>
    <row r="461" s="1" customFormat="1" customHeight="1" spans="1:11">
      <c r="A461" s="8" t="str">
        <f t="shared" si="60"/>
        <v>F9G</v>
      </c>
      <c r="B461" s="8" t="s">
        <v>114</v>
      </c>
      <c r="C461" s="8" t="str">
        <f>"卿佳林"</f>
        <v>卿佳林</v>
      </c>
      <c r="D461" s="8" t="str">
        <f t="shared" si="61"/>
        <v>女</v>
      </c>
      <c r="E461" s="8" t="str">
        <f>"2022027429"</f>
        <v>2022027429</v>
      </c>
      <c r="F461" s="9">
        <v>87.4</v>
      </c>
      <c r="G461" s="9">
        <v>60.2</v>
      </c>
      <c r="H461" s="9">
        <v>76.52</v>
      </c>
      <c r="I461" s="9">
        <v>6</v>
      </c>
      <c r="J461" s="10" t="s">
        <v>73</v>
      </c>
      <c r="K461" s="11" t="s">
        <v>12</v>
      </c>
    </row>
    <row r="462" s="1" customFormat="1" customHeight="1" spans="1:11">
      <c r="A462" s="8" t="str">
        <f t="shared" si="60"/>
        <v>F9G</v>
      </c>
      <c r="B462" s="8" t="s">
        <v>114</v>
      </c>
      <c r="C462" s="8" t="str">
        <f>"王希思"</f>
        <v>王希思</v>
      </c>
      <c r="D462" s="8" t="str">
        <f t="shared" si="61"/>
        <v>女</v>
      </c>
      <c r="E462" s="8" t="str">
        <f>"2022027505"</f>
        <v>2022027505</v>
      </c>
      <c r="F462" s="9">
        <v>74.6</v>
      </c>
      <c r="G462" s="9">
        <v>75.5</v>
      </c>
      <c r="H462" s="9">
        <v>74.96</v>
      </c>
      <c r="I462" s="9">
        <v>7</v>
      </c>
      <c r="J462" s="10" t="s">
        <v>73</v>
      </c>
      <c r="K462" s="11" t="s">
        <v>12</v>
      </c>
    </row>
    <row r="463" s="1" customFormat="1" customHeight="1" spans="1:11">
      <c r="A463" s="8" t="str">
        <f t="shared" si="60"/>
        <v>F9G</v>
      </c>
      <c r="B463" s="8" t="s">
        <v>114</v>
      </c>
      <c r="C463" s="8" t="str">
        <f>"阳芬"</f>
        <v>阳芬</v>
      </c>
      <c r="D463" s="8" t="str">
        <f t="shared" si="61"/>
        <v>女</v>
      </c>
      <c r="E463" s="8" t="str">
        <f>"2022027525"</f>
        <v>2022027525</v>
      </c>
      <c r="F463" s="9">
        <v>80.2</v>
      </c>
      <c r="G463" s="9">
        <v>56</v>
      </c>
      <c r="H463" s="9">
        <v>70.52</v>
      </c>
      <c r="I463" s="9">
        <v>8</v>
      </c>
      <c r="J463" s="10" t="s">
        <v>73</v>
      </c>
      <c r="K463" s="11" t="s">
        <v>12</v>
      </c>
    </row>
    <row r="464" s="1" customFormat="1" customHeight="1" spans="1:11">
      <c r="A464" s="8" t="str">
        <f t="shared" si="60"/>
        <v>F9G</v>
      </c>
      <c r="B464" s="8" t="s">
        <v>114</v>
      </c>
      <c r="C464" s="8" t="str">
        <f>"周娜"</f>
        <v>周娜</v>
      </c>
      <c r="D464" s="8" t="str">
        <f t="shared" si="61"/>
        <v>女</v>
      </c>
      <c r="E464" s="8" t="str">
        <f>"2022027516"</f>
        <v>2022027516</v>
      </c>
      <c r="F464" s="9">
        <v>76.8</v>
      </c>
      <c r="G464" s="9">
        <v>60</v>
      </c>
      <c r="H464" s="9">
        <v>70.08</v>
      </c>
      <c r="I464" s="9">
        <v>9</v>
      </c>
      <c r="J464" s="10" t="s">
        <v>73</v>
      </c>
      <c r="K464" s="11" t="s">
        <v>12</v>
      </c>
    </row>
    <row r="465" s="1" customFormat="1" customHeight="1" spans="1:11">
      <c r="A465" s="8" t="str">
        <f t="shared" si="60"/>
        <v>F9G</v>
      </c>
      <c r="B465" s="8" t="s">
        <v>114</v>
      </c>
      <c r="C465" s="8" t="str">
        <f>"唐兰"</f>
        <v>唐兰</v>
      </c>
      <c r="D465" s="8" t="str">
        <f t="shared" si="61"/>
        <v>女</v>
      </c>
      <c r="E465" s="8" t="str">
        <f>"2022027520"</f>
        <v>2022027520</v>
      </c>
      <c r="F465" s="9">
        <v>75.8</v>
      </c>
      <c r="G465" s="9">
        <v>60.5</v>
      </c>
      <c r="H465" s="9">
        <v>69.68</v>
      </c>
      <c r="I465" s="9">
        <v>10</v>
      </c>
      <c r="J465" s="10" t="s">
        <v>73</v>
      </c>
      <c r="K465" s="11" t="s">
        <v>12</v>
      </c>
    </row>
    <row r="466" s="1" customFormat="1" customHeight="1" spans="1:11">
      <c r="A466" s="8" t="str">
        <f t="shared" si="60"/>
        <v>F9G</v>
      </c>
      <c r="B466" s="8" t="s">
        <v>114</v>
      </c>
      <c r="C466" s="8" t="str">
        <f>"刘楠"</f>
        <v>刘楠</v>
      </c>
      <c r="D466" s="8" t="str">
        <f t="shared" si="61"/>
        <v>女</v>
      </c>
      <c r="E466" s="8" t="str">
        <f>"2022027427"</f>
        <v>2022027427</v>
      </c>
      <c r="F466" s="9">
        <v>61.2</v>
      </c>
      <c r="G466" s="9">
        <v>73</v>
      </c>
      <c r="H466" s="9">
        <v>65.92</v>
      </c>
      <c r="I466" s="9">
        <v>11</v>
      </c>
      <c r="J466" s="10" t="s">
        <v>73</v>
      </c>
      <c r="K466" s="11" t="s">
        <v>12</v>
      </c>
    </row>
    <row r="467" s="1" customFormat="1" customHeight="1" spans="1:11">
      <c r="A467" s="8" t="str">
        <f t="shared" si="60"/>
        <v>F9G</v>
      </c>
      <c r="B467" s="8" t="s">
        <v>114</v>
      </c>
      <c r="C467" s="8" t="str">
        <f>"达馨"</f>
        <v>达馨</v>
      </c>
      <c r="D467" s="8" t="str">
        <f t="shared" si="61"/>
        <v>女</v>
      </c>
      <c r="E467" s="8" t="str">
        <f>"2022027426"</f>
        <v>2022027426</v>
      </c>
      <c r="F467" s="9">
        <v>71.4</v>
      </c>
      <c r="G467" s="9">
        <v>56.7</v>
      </c>
      <c r="H467" s="9">
        <v>65.52</v>
      </c>
      <c r="I467" s="9">
        <v>12</v>
      </c>
      <c r="J467" s="10" t="s">
        <v>73</v>
      </c>
      <c r="K467" s="11" t="s">
        <v>12</v>
      </c>
    </row>
    <row r="468" s="1" customFormat="1" customHeight="1" spans="1:11">
      <c r="A468" s="8" t="str">
        <f t="shared" si="60"/>
        <v>F9G</v>
      </c>
      <c r="B468" s="8" t="s">
        <v>114</v>
      </c>
      <c r="C468" s="8" t="str">
        <f>"曾楠茜"</f>
        <v>曾楠茜</v>
      </c>
      <c r="D468" s="8" t="str">
        <f t="shared" si="61"/>
        <v>女</v>
      </c>
      <c r="E468" s="8" t="str">
        <f>"2022027526"</f>
        <v>2022027526</v>
      </c>
      <c r="F468" s="9">
        <v>61</v>
      </c>
      <c r="G468" s="9">
        <v>69</v>
      </c>
      <c r="H468" s="9">
        <v>64.2</v>
      </c>
      <c r="I468" s="9">
        <v>13</v>
      </c>
      <c r="J468" s="10" t="s">
        <v>73</v>
      </c>
      <c r="K468" s="11" t="s">
        <v>12</v>
      </c>
    </row>
    <row r="469" s="1" customFormat="1" customHeight="1" spans="1:11">
      <c r="A469" s="8" t="str">
        <f t="shared" si="60"/>
        <v>F9G</v>
      </c>
      <c r="B469" s="8" t="s">
        <v>114</v>
      </c>
      <c r="C469" s="8" t="str">
        <f>"申凝"</f>
        <v>申凝</v>
      </c>
      <c r="D469" s="8" t="str">
        <f t="shared" si="61"/>
        <v>女</v>
      </c>
      <c r="E469" s="8" t="str">
        <f>"2022027511"</f>
        <v>2022027511</v>
      </c>
      <c r="F469" s="9">
        <v>65.4</v>
      </c>
      <c r="G469" s="9">
        <v>56</v>
      </c>
      <c r="H469" s="9">
        <v>61.64</v>
      </c>
      <c r="I469" s="9">
        <v>14</v>
      </c>
      <c r="J469" s="10" t="s">
        <v>73</v>
      </c>
      <c r="K469" s="11" t="s">
        <v>12</v>
      </c>
    </row>
    <row r="470" s="1" customFormat="1" customHeight="1" spans="1:11">
      <c r="A470" s="8" t="str">
        <f t="shared" si="60"/>
        <v>F9G</v>
      </c>
      <c r="B470" s="8" t="s">
        <v>114</v>
      </c>
      <c r="C470" s="8" t="str">
        <f>"匡烨琼"</f>
        <v>匡烨琼</v>
      </c>
      <c r="D470" s="8" t="str">
        <f t="shared" si="61"/>
        <v>女</v>
      </c>
      <c r="E470" s="8" t="str">
        <f>"2022027428"</f>
        <v>2022027428</v>
      </c>
      <c r="F470" s="9">
        <v>63.4</v>
      </c>
      <c r="G470" s="9">
        <v>41</v>
      </c>
      <c r="H470" s="9">
        <v>54.44</v>
      </c>
      <c r="I470" s="9">
        <v>15</v>
      </c>
      <c r="J470" s="10" t="s">
        <v>73</v>
      </c>
      <c r="K470" s="11" t="s">
        <v>12</v>
      </c>
    </row>
    <row r="471" s="1" customFormat="1" customHeight="1" spans="1:11">
      <c r="A471" s="8" t="str">
        <f t="shared" si="60"/>
        <v>F9G</v>
      </c>
      <c r="B471" s="8" t="s">
        <v>114</v>
      </c>
      <c r="C471" s="8" t="str">
        <f>"谢敏"</f>
        <v>谢敏</v>
      </c>
      <c r="D471" s="8" t="str">
        <f t="shared" si="61"/>
        <v>女</v>
      </c>
      <c r="E471" s="8" t="str">
        <f>"2022027515"</f>
        <v>2022027515</v>
      </c>
      <c r="F471" s="9">
        <v>72</v>
      </c>
      <c r="G471" s="9">
        <v>20.5</v>
      </c>
      <c r="H471" s="9">
        <v>51.4</v>
      </c>
      <c r="I471" s="9">
        <v>16</v>
      </c>
      <c r="J471" s="10" t="s">
        <v>73</v>
      </c>
      <c r="K471" s="11" t="s">
        <v>12</v>
      </c>
    </row>
    <row r="472" s="1" customFormat="1" customHeight="1" spans="1:11">
      <c r="A472" s="8" t="str">
        <f t="shared" si="60"/>
        <v>F9G</v>
      </c>
      <c r="B472" s="8" t="s">
        <v>114</v>
      </c>
      <c r="C472" s="8" t="str">
        <f>"金鑫"</f>
        <v>金鑫</v>
      </c>
      <c r="D472" s="8" t="str">
        <f t="shared" si="61"/>
        <v>女</v>
      </c>
      <c r="E472" s="8" t="str">
        <f>"2022027509"</f>
        <v>2022027509</v>
      </c>
      <c r="F472" s="9">
        <v>58.6</v>
      </c>
      <c r="G472" s="9">
        <v>40.5</v>
      </c>
      <c r="H472" s="9">
        <v>51.36</v>
      </c>
      <c r="I472" s="9">
        <v>17</v>
      </c>
      <c r="J472" s="10" t="s">
        <v>73</v>
      </c>
      <c r="K472" s="11" t="s">
        <v>12</v>
      </c>
    </row>
    <row r="473" s="1" customFormat="1" customHeight="1" spans="1:11">
      <c r="A473" s="8" t="str">
        <f t="shared" si="60"/>
        <v>F9G</v>
      </c>
      <c r="B473" s="8" t="s">
        <v>114</v>
      </c>
      <c r="C473" s="8" t="str">
        <f>"张奇"</f>
        <v>张奇</v>
      </c>
      <c r="D473" s="8" t="str">
        <f t="shared" si="61"/>
        <v>女</v>
      </c>
      <c r="E473" s="8" t="str">
        <f>"2022027502"</f>
        <v>2022027502</v>
      </c>
      <c r="F473" s="9">
        <v>48.8</v>
      </c>
      <c r="G473" s="9">
        <v>47.6</v>
      </c>
      <c r="H473" s="9">
        <v>48.32</v>
      </c>
      <c r="I473" s="9">
        <v>18</v>
      </c>
      <c r="J473" s="10" t="s">
        <v>73</v>
      </c>
      <c r="K473" s="11" t="s">
        <v>12</v>
      </c>
    </row>
    <row r="474" s="1" customFormat="1" customHeight="1" spans="1:11">
      <c r="A474" s="8" t="str">
        <f t="shared" si="60"/>
        <v>F9G</v>
      </c>
      <c r="B474" s="8" t="s">
        <v>114</v>
      </c>
      <c r="C474" s="8" t="str">
        <f>"周洋"</f>
        <v>周洋</v>
      </c>
      <c r="D474" s="8" t="str">
        <f t="shared" si="61"/>
        <v>女</v>
      </c>
      <c r="E474" s="8" t="str">
        <f>"2022027528"</f>
        <v>2022027528</v>
      </c>
      <c r="F474" s="9">
        <v>52.8</v>
      </c>
      <c r="G474" s="9">
        <v>39.9</v>
      </c>
      <c r="H474" s="9">
        <v>47.64</v>
      </c>
      <c r="I474" s="9">
        <v>19</v>
      </c>
      <c r="J474" s="10" t="s">
        <v>73</v>
      </c>
      <c r="K474" s="11" t="s">
        <v>12</v>
      </c>
    </row>
    <row r="475" s="1" customFormat="1" customHeight="1" spans="1:11">
      <c r="A475" s="8" t="str">
        <f t="shared" si="60"/>
        <v>F9G</v>
      </c>
      <c r="B475" s="8" t="s">
        <v>114</v>
      </c>
      <c r="C475" s="8" t="str">
        <f>"肖韵蓝"</f>
        <v>肖韵蓝</v>
      </c>
      <c r="D475" s="8" t="str">
        <f t="shared" si="61"/>
        <v>女</v>
      </c>
      <c r="E475" s="8" t="str">
        <f>"2022027508"</f>
        <v>2022027508</v>
      </c>
      <c r="F475" s="9">
        <v>49.8</v>
      </c>
      <c r="G475" s="9">
        <v>25</v>
      </c>
      <c r="H475" s="9">
        <v>39.88</v>
      </c>
      <c r="I475" s="9">
        <v>20</v>
      </c>
      <c r="J475" s="10" t="s">
        <v>73</v>
      </c>
      <c r="K475" s="11" t="s">
        <v>12</v>
      </c>
    </row>
    <row r="476" s="1" customFormat="1" customHeight="1" spans="1:11">
      <c r="A476" s="8" t="str">
        <f t="shared" si="60"/>
        <v>F9G</v>
      </c>
      <c r="B476" s="8" t="s">
        <v>114</v>
      </c>
      <c r="C476" s="8" t="str">
        <f>"刘令寰"</f>
        <v>刘令寰</v>
      </c>
      <c r="D476" s="8" t="str">
        <f>"男"</f>
        <v>男</v>
      </c>
      <c r="E476" s="8" t="str">
        <f>"2022027510"</f>
        <v>2022027510</v>
      </c>
      <c r="F476" s="9">
        <v>42.4</v>
      </c>
      <c r="G476" s="9">
        <v>25</v>
      </c>
      <c r="H476" s="9">
        <v>35.44</v>
      </c>
      <c r="I476" s="9">
        <v>21</v>
      </c>
      <c r="J476" s="10" t="s">
        <v>73</v>
      </c>
      <c r="K476" s="11" t="s">
        <v>12</v>
      </c>
    </row>
    <row r="477" s="1" customFormat="1" customHeight="1" spans="1:11">
      <c r="A477" s="8" t="str">
        <f t="shared" si="60"/>
        <v>F9G</v>
      </c>
      <c r="B477" s="8" t="s">
        <v>114</v>
      </c>
      <c r="C477" s="8" t="str">
        <f>"冉志文"</f>
        <v>冉志文</v>
      </c>
      <c r="D477" s="8" t="str">
        <f t="shared" ref="D477:D483" si="62">"女"</f>
        <v>女</v>
      </c>
      <c r="E477" s="8" t="str">
        <f>"2022027522"</f>
        <v>2022027522</v>
      </c>
      <c r="F477" s="9">
        <v>49.8</v>
      </c>
      <c r="G477" s="9">
        <v>0</v>
      </c>
      <c r="H477" s="9">
        <v>29.88</v>
      </c>
      <c r="I477" s="9">
        <v>22</v>
      </c>
      <c r="J477" s="10" t="s">
        <v>73</v>
      </c>
      <c r="K477" s="11" t="s">
        <v>12</v>
      </c>
    </row>
    <row r="478" s="1" customFormat="1" customHeight="1" spans="1:11">
      <c r="A478" s="8" t="str">
        <f t="shared" si="60"/>
        <v>F9G</v>
      </c>
      <c r="B478" s="8" t="s">
        <v>114</v>
      </c>
      <c r="C478" s="8" t="str">
        <f>"兰晓红"</f>
        <v>兰晓红</v>
      </c>
      <c r="D478" s="8" t="str">
        <f t="shared" si="62"/>
        <v>女</v>
      </c>
      <c r="E478" s="8" t="str">
        <f>"2022027506"</f>
        <v>2022027506</v>
      </c>
      <c r="F478" s="9">
        <v>33.8</v>
      </c>
      <c r="G478" s="9">
        <v>20</v>
      </c>
      <c r="H478" s="9">
        <v>28.28</v>
      </c>
      <c r="I478" s="9">
        <v>23</v>
      </c>
      <c r="J478" s="10" t="s">
        <v>73</v>
      </c>
      <c r="K478" s="11" t="s">
        <v>12</v>
      </c>
    </row>
    <row r="479" s="1" customFormat="1" customHeight="1" spans="1:11">
      <c r="A479" s="8" t="str">
        <f t="shared" si="60"/>
        <v>F9G</v>
      </c>
      <c r="B479" s="8" t="s">
        <v>114</v>
      </c>
      <c r="C479" s="8" t="str">
        <f>"陈巧艳"</f>
        <v>陈巧艳</v>
      </c>
      <c r="D479" s="8" t="str">
        <f t="shared" si="62"/>
        <v>女</v>
      </c>
      <c r="E479" s="8" t="str">
        <f>"2022027527"</f>
        <v>2022027527</v>
      </c>
      <c r="F479" s="9">
        <v>25</v>
      </c>
      <c r="G479" s="9">
        <v>13</v>
      </c>
      <c r="H479" s="9">
        <v>20.2</v>
      </c>
      <c r="I479" s="9">
        <v>24</v>
      </c>
      <c r="J479" s="10" t="s">
        <v>73</v>
      </c>
      <c r="K479" s="11" t="s">
        <v>12</v>
      </c>
    </row>
    <row r="480" s="1" customFormat="1" customHeight="1" spans="1:11">
      <c r="A480" s="8" t="str">
        <f t="shared" si="60"/>
        <v>F9G</v>
      </c>
      <c r="B480" s="8" t="s">
        <v>114</v>
      </c>
      <c r="C480" s="8" t="str">
        <f>"潘佳敏"</f>
        <v>潘佳敏</v>
      </c>
      <c r="D480" s="8" t="str">
        <f t="shared" si="62"/>
        <v>女</v>
      </c>
      <c r="E480" s="8" t="str">
        <f>"2022027430"</f>
        <v>2022027430</v>
      </c>
      <c r="F480" s="9">
        <v>0</v>
      </c>
      <c r="G480" s="9">
        <v>0</v>
      </c>
      <c r="H480" s="9">
        <v>0</v>
      </c>
      <c r="I480" s="9">
        <v>25</v>
      </c>
      <c r="J480" s="10" t="s">
        <v>13</v>
      </c>
      <c r="K480" s="11" t="s">
        <v>12</v>
      </c>
    </row>
    <row r="481" s="1" customFormat="1" customHeight="1" spans="1:11">
      <c r="A481" s="8" t="str">
        <f t="shared" si="60"/>
        <v>F9G</v>
      </c>
      <c r="B481" s="8" t="s">
        <v>114</v>
      </c>
      <c r="C481" s="8" t="str">
        <f>"许晶"</f>
        <v>许晶</v>
      </c>
      <c r="D481" s="8" t="str">
        <f t="shared" si="62"/>
        <v>女</v>
      </c>
      <c r="E481" s="8" t="str">
        <f>"2022027501"</f>
        <v>2022027501</v>
      </c>
      <c r="F481" s="9">
        <v>0</v>
      </c>
      <c r="G481" s="9">
        <v>0</v>
      </c>
      <c r="H481" s="9">
        <v>0</v>
      </c>
      <c r="I481" s="9">
        <v>25</v>
      </c>
      <c r="J481" s="10" t="s">
        <v>13</v>
      </c>
      <c r="K481" s="11" t="s">
        <v>12</v>
      </c>
    </row>
    <row r="482" s="1" customFormat="1" customHeight="1" spans="1:11">
      <c r="A482" s="8" t="str">
        <f t="shared" si="60"/>
        <v>F9G</v>
      </c>
      <c r="B482" s="8" t="s">
        <v>114</v>
      </c>
      <c r="C482" s="8" t="str">
        <f>"刘芳群"</f>
        <v>刘芳群</v>
      </c>
      <c r="D482" s="8" t="str">
        <f t="shared" si="62"/>
        <v>女</v>
      </c>
      <c r="E482" s="8" t="str">
        <f>"2022027503"</f>
        <v>2022027503</v>
      </c>
      <c r="F482" s="9">
        <v>0</v>
      </c>
      <c r="G482" s="9">
        <v>0</v>
      </c>
      <c r="H482" s="9">
        <v>0</v>
      </c>
      <c r="I482" s="9">
        <v>25</v>
      </c>
      <c r="J482" s="10" t="s">
        <v>13</v>
      </c>
      <c r="K482" s="11" t="s">
        <v>12</v>
      </c>
    </row>
    <row r="483" s="1" customFormat="1" customHeight="1" spans="1:11">
      <c r="A483" s="8" t="str">
        <f t="shared" si="60"/>
        <v>F9G</v>
      </c>
      <c r="B483" s="8" t="s">
        <v>114</v>
      </c>
      <c r="C483" s="8" t="str">
        <f>"罗笑"</f>
        <v>罗笑</v>
      </c>
      <c r="D483" s="8" t="str">
        <f t="shared" si="62"/>
        <v>女</v>
      </c>
      <c r="E483" s="8" t="str">
        <f>"2022027504"</f>
        <v>2022027504</v>
      </c>
      <c r="F483" s="9">
        <v>0</v>
      </c>
      <c r="G483" s="9">
        <v>0</v>
      </c>
      <c r="H483" s="9">
        <v>0</v>
      </c>
      <c r="I483" s="9">
        <v>25</v>
      </c>
      <c r="J483" s="10" t="s">
        <v>13</v>
      </c>
      <c r="K483" s="11" t="s">
        <v>12</v>
      </c>
    </row>
    <row r="484" s="1" customFormat="1" customHeight="1" spans="1:11">
      <c r="A484" s="8" t="str">
        <f t="shared" si="60"/>
        <v>F9G</v>
      </c>
      <c r="B484" s="8" t="s">
        <v>114</v>
      </c>
      <c r="C484" s="8" t="str">
        <f>"罗卓洋"</f>
        <v>罗卓洋</v>
      </c>
      <c r="D484" s="8" t="str">
        <f>"男"</f>
        <v>男</v>
      </c>
      <c r="E484" s="8" t="str">
        <f>"2022027514"</f>
        <v>2022027514</v>
      </c>
      <c r="F484" s="9">
        <v>0</v>
      </c>
      <c r="G484" s="9">
        <v>0</v>
      </c>
      <c r="H484" s="9">
        <v>0</v>
      </c>
      <c r="I484" s="9">
        <v>25</v>
      </c>
      <c r="J484" s="10" t="s">
        <v>13</v>
      </c>
      <c r="K484" s="11" t="s">
        <v>12</v>
      </c>
    </row>
    <row r="485" s="1" customFormat="1" customHeight="1" spans="1:11">
      <c r="A485" s="8" t="str">
        <f t="shared" si="60"/>
        <v>F9G</v>
      </c>
      <c r="B485" s="8" t="s">
        <v>114</v>
      </c>
      <c r="C485" s="8" t="str">
        <f>"颜婷"</f>
        <v>颜婷</v>
      </c>
      <c r="D485" s="8" t="str">
        <f t="shared" ref="D485:D487" si="63">"女"</f>
        <v>女</v>
      </c>
      <c r="E485" s="8" t="str">
        <f>"2022027517"</f>
        <v>2022027517</v>
      </c>
      <c r="F485" s="9">
        <v>0</v>
      </c>
      <c r="G485" s="9">
        <v>0</v>
      </c>
      <c r="H485" s="9">
        <v>0</v>
      </c>
      <c r="I485" s="9">
        <v>25</v>
      </c>
      <c r="J485" s="10" t="s">
        <v>13</v>
      </c>
      <c r="K485" s="11" t="s">
        <v>12</v>
      </c>
    </row>
    <row r="486" s="1" customFormat="1" customHeight="1" spans="1:11">
      <c r="A486" s="8" t="str">
        <f t="shared" si="60"/>
        <v>F9G</v>
      </c>
      <c r="B486" s="8" t="s">
        <v>114</v>
      </c>
      <c r="C486" s="8" t="str">
        <f>"伍剑婷"</f>
        <v>伍剑婷</v>
      </c>
      <c r="D486" s="8" t="str">
        <f t="shared" si="63"/>
        <v>女</v>
      </c>
      <c r="E486" s="8" t="str">
        <f>"2022027519"</f>
        <v>2022027519</v>
      </c>
      <c r="F486" s="9">
        <v>0</v>
      </c>
      <c r="G486" s="9">
        <v>0</v>
      </c>
      <c r="H486" s="9">
        <v>0</v>
      </c>
      <c r="I486" s="9">
        <v>25</v>
      </c>
      <c r="J486" s="10" t="s">
        <v>13</v>
      </c>
      <c r="K486" s="11" t="s">
        <v>12</v>
      </c>
    </row>
    <row r="487" s="1" customFormat="1" customHeight="1" spans="1:11">
      <c r="A487" s="8" t="str">
        <f t="shared" si="60"/>
        <v>F9G</v>
      </c>
      <c r="B487" s="8" t="s">
        <v>114</v>
      </c>
      <c r="C487" s="8" t="str">
        <f>"肖思绮"</f>
        <v>肖思绮</v>
      </c>
      <c r="D487" s="8" t="str">
        <f t="shared" si="63"/>
        <v>女</v>
      </c>
      <c r="E487" s="8" t="str">
        <f>"2022027523"</f>
        <v>2022027523</v>
      </c>
      <c r="F487" s="9">
        <v>0</v>
      </c>
      <c r="G487" s="9">
        <v>0</v>
      </c>
      <c r="H487" s="9">
        <v>0</v>
      </c>
      <c r="I487" s="9">
        <v>25</v>
      </c>
      <c r="J487" s="10" t="s">
        <v>13</v>
      </c>
      <c r="K487" s="11" t="s">
        <v>12</v>
      </c>
    </row>
    <row r="488" s="1" customFormat="1" customHeight="1" spans="1:11">
      <c r="A488" s="8" t="str">
        <f t="shared" si="60"/>
        <v>F9G</v>
      </c>
      <c r="B488" s="8" t="s">
        <v>114</v>
      </c>
      <c r="C488" s="8" t="str">
        <f>"柳金宏"</f>
        <v>柳金宏</v>
      </c>
      <c r="D488" s="8" t="str">
        <f>"男"</f>
        <v>男</v>
      </c>
      <c r="E488" s="8" t="str">
        <f>"2022027524"</f>
        <v>2022027524</v>
      </c>
      <c r="F488" s="9">
        <v>0</v>
      </c>
      <c r="G488" s="9">
        <v>0</v>
      </c>
      <c r="H488" s="9">
        <v>0</v>
      </c>
      <c r="I488" s="9">
        <v>25</v>
      </c>
      <c r="J488" s="10" t="s">
        <v>13</v>
      </c>
      <c r="K488" s="11" t="s">
        <v>12</v>
      </c>
    </row>
    <row r="489" s="1" customFormat="1" customHeight="1" spans="1:11">
      <c r="A489" s="8" t="str">
        <f t="shared" si="60"/>
        <v>F9G</v>
      </c>
      <c r="B489" s="8" t="s">
        <v>114</v>
      </c>
      <c r="C489" s="8" t="str">
        <f>"杨秋"</f>
        <v>杨秋</v>
      </c>
      <c r="D489" s="8" t="str">
        <f>"女"</f>
        <v>女</v>
      </c>
      <c r="E489" s="8" t="str">
        <f>"2022027529"</f>
        <v>2022027529</v>
      </c>
      <c r="F489" s="9">
        <v>0</v>
      </c>
      <c r="G489" s="9">
        <v>0</v>
      </c>
      <c r="H489" s="9">
        <v>0</v>
      </c>
      <c r="I489" s="9">
        <v>25</v>
      </c>
      <c r="J489" s="10" t="s">
        <v>13</v>
      </c>
      <c r="K489" s="11" t="s">
        <v>12</v>
      </c>
    </row>
    <row r="490" s="1" customFormat="1" customHeight="1" spans="1:11">
      <c r="A490" s="8" t="str">
        <f t="shared" si="60"/>
        <v>F9G</v>
      </c>
      <c r="B490" s="8" t="s">
        <v>114</v>
      </c>
      <c r="C490" s="8" t="str">
        <f>"肖双嘉"</f>
        <v>肖双嘉</v>
      </c>
      <c r="D490" s="8" t="str">
        <f>"女"</f>
        <v>女</v>
      </c>
      <c r="E490" s="8" t="str">
        <f>"2022027530"</f>
        <v>2022027530</v>
      </c>
      <c r="F490" s="9">
        <v>0</v>
      </c>
      <c r="G490" s="9">
        <v>0</v>
      </c>
      <c r="H490" s="9">
        <v>0</v>
      </c>
      <c r="I490" s="9">
        <v>25</v>
      </c>
      <c r="J490" s="8" t="s">
        <v>13</v>
      </c>
      <c r="K490" s="11" t="s">
        <v>12</v>
      </c>
    </row>
    <row r="491" s="1" customFormat="1" customHeight="1" spans="2:2">
      <c r="B491" s="2"/>
    </row>
    <row r="492" s="1" customFormat="1" customHeight="1" spans="2:2">
      <c r="B492" s="2"/>
    </row>
    <row r="493" s="1" customFormat="1" customHeight="1" spans="2:2">
      <c r="B493" s="2"/>
    </row>
    <row r="494" s="1" customFormat="1" customHeight="1" spans="2:2">
      <c r="B494" s="2"/>
    </row>
    <row r="495" s="1" customFormat="1" customHeight="1" spans="2:2">
      <c r="B495" s="2"/>
    </row>
    <row r="496" s="1" customFormat="1" customHeight="1" spans="2:2">
      <c r="B496" s="2"/>
    </row>
    <row r="497" s="1" customFormat="1" customHeight="1" spans="2:2">
      <c r="B497" s="2"/>
    </row>
    <row r="498" s="1" customFormat="1" customHeight="1" spans="2:2">
      <c r="B498" s="2"/>
    </row>
    <row r="499" s="1" customFormat="1" customHeight="1" spans="2:2">
      <c r="B499" s="2"/>
    </row>
    <row r="500" s="1" customFormat="1" customHeight="1" spans="2:2">
      <c r="B500" s="2"/>
    </row>
    <row r="501" s="1" customFormat="1" customHeight="1" spans="2:2">
      <c r="B501" s="2"/>
    </row>
    <row r="502" s="1" customFormat="1" customHeight="1" spans="2:2">
      <c r="B502" s="2"/>
    </row>
    <row r="503" s="1" customFormat="1" customHeight="1" spans="2:2">
      <c r="B503" s="2"/>
    </row>
    <row r="504" s="1" customFormat="1" customHeight="1" spans="2:2">
      <c r="B504" s="2"/>
    </row>
    <row r="505" s="1" customFormat="1" customHeight="1" spans="2:2">
      <c r="B505" s="2"/>
    </row>
    <row r="506" s="1" customFormat="1" customHeight="1" spans="2:2">
      <c r="B506" s="2"/>
    </row>
    <row r="507" s="1" customFormat="1" customHeight="1" spans="2:2">
      <c r="B507" s="2"/>
    </row>
    <row r="508" s="1" customFormat="1" customHeight="1" spans="2:2">
      <c r="B508" s="2"/>
    </row>
    <row r="509" s="1" customFormat="1" customHeight="1" spans="2:2">
      <c r="B509" s="2"/>
    </row>
    <row r="510" s="1" customFormat="1" customHeight="1" spans="2:2">
      <c r="B510" s="2"/>
    </row>
    <row r="511" s="1" customFormat="1" customHeight="1" spans="2:2">
      <c r="B511" s="2"/>
    </row>
    <row r="512" s="1" customFormat="1" customHeight="1" spans="2:2">
      <c r="B512" s="2"/>
    </row>
    <row r="513" s="1" customFormat="1" customHeight="1" spans="2:2">
      <c r="B513" s="2"/>
    </row>
    <row r="514" s="1" customFormat="1" customHeight="1" spans="2:2">
      <c r="B514" s="2"/>
    </row>
    <row r="515" s="1" customFormat="1" customHeight="1" spans="2:2">
      <c r="B515" s="2"/>
    </row>
    <row r="516" s="1" customFormat="1" customHeight="1" spans="2:2">
      <c r="B516" s="2"/>
    </row>
    <row r="517" s="1" customFormat="1" customHeight="1" spans="2:2">
      <c r="B517" s="2"/>
    </row>
    <row r="518" s="1" customFormat="1" customHeight="1" spans="2:2">
      <c r="B518" s="2"/>
    </row>
    <row r="519" s="1" customFormat="1" customHeight="1" spans="2:2">
      <c r="B519" s="2"/>
    </row>
    <row r="520" s="1" customFormat="1" customHeight="1" spans="2:2">
      <c r="B520" s="2"/>
    </row>
    <row r="521" s="1" customFormat="1" customHeight="1" spans="2:2">
      <c r="B521" s="2"/>
    </row>
    <row r="522" s="1" customFormat="1" customHeight="1" spans="2:2">
      <c r="B522" s="2"/>
    </row>
    <row r="523" s="1" customFormat="1" customHeight="1" spans="2:2">
      <c r="B523" s="2"/>
    </row>
    <row r="524" s="1" customFormat="1" customHeight="1" spans="2:2">
      <c r="B524" s="2"/>
    </row>
    <row r="525" s="1" customFormat="1" customHeight="1" spans="2:2">
      <c r="B525" s="2"/>
    </row>
    <row r="526" s="1" customFormat="1" customHeight="1" spans="2:2">
      <c r="B526" s="2"/>
    </row>
    <row r="527" s="1" customFormat="1" customHeight="1" spans="2:2">
      <c r="B527" s="2"/>
    </row>
    <row r="528" s="1" customFormat="1" customHeight="1" spans="2:2">
      <c r="B528" s="2"/>
    </row>
    <row r="529" s="1" customFormat="1" customHeight="1" spans="2:2">
      <c r="B529" s="2"/>
    </row>
    <row r="530" s="1" customFormat="1" customHeight="1" spans="2:2">
      <c r="B530" s="2"/>
    </row>
    <row r="531" s="1" customFormat="1" customHeight="1" spans="2:2">
      <c r="B531" s="2"/>
    </row>
    <row r="532" s="1" customFormat="1" customHeight="1" spans="2:2">
      <c r="B532" s="2"/>
    </row>
    <row r="533" s="1" customFormat="1" customHeight="1" spans="2:2">
      <c r="B533" s="2"/>
    </row>
    <row r="534" s="1" customFormat="1" customHeight="1" spans="2:2">
      <c r="B534" s="2"/>
    </row>
    <row r="535" s="1" customFormat="1" customHeight="1" spans="2:2">
      <c r="B535" s="2"/>
    </row>
    <row r="536" s="1" customFormat="1" customHeight="1" spans="2:2">
      <c r="B536" s="2"/>
    </row>
    <row r="537" s="1" customFormat="1" customHeight="1" spans="2:2">
      <c r="B537" s="2"/>
    </row>
    <row r="538" s="1" customFormat="1" customHeight="1" spans="2:2">
      <c r="B538" s="2"/>
    </row>
    <row r="539" s="1" customFormat="1" customHeight="1" spans="2:2">
      <c r="B539" s="2"/>
    </row>
    <row r="540" s="1" customFormat="1" customHeight="1" spans="2:2">
      <c r="B540" s="2"/>
    </row>
    <row r="541" s="1" customFormat="1" customHeight="1" spans="2:2">
      <c r="B541" s="2"/>
    </row>
    <row r="542" s="1" customFormat="1" customHeight="1" spans="2:2">
      <c r="B542" s="2"/>
    </row>
    <row r="543" s="1" customFormat="1" customHeight="1" spans="2:2">
      <c r="B543" s="2"/>
    </row>
    <row r="544" s="1" customFormat="1" customHeight="1" spans="2:2">
      <c r="B544" s="2"/>
    </row>
    <row r="545" s="1" customFormat="1" customHeight="1" spans="2:2">
      <c r="B545" s="2"/>
    </row>
    <row r="546" s="1" customFormat="1" customHeight="1" spans="2:2">
      <c r="B546" s="2"/>
    </row>
    <row r="547" s="1" customFormat="1" customHeight="1" spans="2:2">
      <c r="B547" s="2"/>
    </row>
    <row r="548" s="1" customFormat="1" customHeight="1" spans="2:2">
      <c r="B548" s="2"/>
    </row>
    <row r="549" s="1" customFormat="1" customHeight="1" spans="2:2">
      <c r="B549" s="2"/>
    </row>
    <row r="550" s="1" customFormat="1" customHeight="1" spans="2:2">
      <c r="B550" s="2"/>
    </row>
    <row r="551" s="1" customFormat="1" customHeight="1" spans="2:2">
      <c r="B551" s="2"/>
    </row>
    <row r="552" s="1" customFormat="1" customHeight="1" spans="2:2">
      <c r="B552" s="2"/>
    </row>
    <row r="553" s="1" customFormat="1" customHeight="1" spans="2:2">
      <c r="B553" s="2"/>
    </row>
    <row r="554" s="1" customFormat="1" customHeight="1" spans="2:2">
      <c r="B554" s="2"/>
    </row>
    <row r="555" s="1" customFormat="1" customHeight="1" spans="2:2">
      <c r="B555" s="2"/>
    </row>
    <row r="556" s="1" customFormat="1" customHeight="1" spans="2:2">
      <c r="B556" s="2"/>
    </row>
    <row r="557" s="1" customFormat="1" customHeight="1" spans="2:2">
      <c r="B557" s="2"/>
    </row>
    <row r="558" s="1" customFormat="1" customHeight="1" spans="2:2">
      <c r="B558" s="2"/>
    </row>
    <row r="559" s="1" customFormat="1" customHeight="1" spans="2:2">
      <c r="B559" s="2"/>
    </row>
    <row r="560" s="1" customFormat="1" customHeight="1" spans="2:2">
      <c r="B560" s="2"/>
    </row>
    <row r="561" s="1" customFormat="1" customHeight="1" spans="2:2">
      <c r="B561" s="2"/>
    </row>
    <row r="562" s="1" customFormat="1" customHeight="1" spans="2:2">
      <c r="B562" s="2"/>
    </row>
    <row r="563" s="1" customFormat="1" customHeight="1" spans="2:2">
      <c r="B563" s="2"/>
    </row>
    <row r="564" s="1" customFormat="1" customHeight="1" spans="2:2">
      <c r="B564" s="2"/>
    </row>
    <row r="565" s="1" customFormat="1" customHeight="1" spans="2:2">
      <c r="B565" s="2"/>
    </row>
    <row r="566" s="1" customFormat="1" customHeight="1" spans="2:2">
      <c r="B566" s="2"/>
    </row>
    <row r="567" s="1" customFormat="1" customHeight="1" spans="2:2">
      <c r="B567" s="2"/>
    </row>
    <row r="568" s="1" customFormat="1" customHeight="1" spans="2:2">
      <c r="B568" s="2"/>
    </row>
    <row r="569" s="1" customFormat="1" customHeight="1" spans="2:2">
      <c r="B569" s="2"/>
    </row>
    <row r="570" s="1" customFormat="1" customHeight="1" spans="2:2">
      <c r="B570" s="2"/>
    </row>
    <row r="571" s="1" customFormat="1" customHeight="1" spans="2:2">
      <c r="B571" s="2"/>
    </row>
    <row r="572" s="1" customFormat="1" customHeight="1" spans="2:2">
      <c r="B572" s="2"/>
    </row>
    <row r="573" s="1" customFormat="1" customHeight="1" spans="2:2">
      <c r="B573" s="2"/>
    </row>
    <row r="574" s="1" customFormat="1" customHeight="1" spans="2:2">
      <c r="B574" s="2"/>
    </row>
    <row r="575" s="1" customFormat="1" customHeight="1" spans="2:2">
      <c r="B575" s="2"/>
    </row>
    <row r="576" s="1" customFormat="1" customHeight="1" spans="2:2">
      <c r="B576" s="2"/>
    </row>
    <row r="577" s="1" customFormat="1" customHeight="1" spans="2:2">
      <c r="B577" s="2"/>
    </row>
    <row r="578" s="1" customFormat="1" customHeight="1" spans="2:2">
      <c r="B578" s="2"/>
    </row>
    <row r="579" s="1" customFormat="1" customHeight="1" spans="2:2">
      <c r="B579" s="2"/>
    </row>
    <row r="580" s="1" customFormat="1" customHeight="1" spans="2:2">
      <c r="B580" s="2"/>
    </row>
    <row r="581" s="1" customFormat="1" customHeight="1" spans="2:2">
      <c r="B581" s="2"/>
    </row>
    <row r="582" s="1" customFormat="1" customHeight="1" spans="2:2">
      <c r="B582" s="2"/>
    </row>
    <row r="583" s="1" customFormat="1" customHeight="1" spans="2:2">
      <c r="B583" s="2"/>
    </row>
    <row r="584" s="1" customFormat="1" customHeight="1" spans="2:2">
      <c r="B584" s="2"/>
    </row>
    <row r="585" s="1" customFormat="1" customHeight="1" spans="2:2">
      <c r="B585" s="2"/>
    </row>
    <row r="586" s="1" customFormat="1" customHeight="1" spans="2:2">
      <c r="B586" s="2"/>
    </row>
    <row r="587" s="1" customFormat="1" customHeight="1" spans="2:2">
      <c r="B587" s="2"/>
    </row>
    <row r="588" s="1" customFormat="1" customHeight="1" spans="2:2">
      <c r="B588" s="2"/>
    </row>
    <row r="589" s="1" customFormat="1" customHeight="1" spans="2:2">
      <c r="B589" s="2"/>
    </row>
    <row r="590" s="1" customFormat="1" customHeight="1" spans="2:2">
      <c r="B590" s="2"/>
    </row>
    <row r="591" s="1" customFormat="1" customHeight="1" spans="2:2">
      <c r="B591" s="2"/>
    </row>
    <row r="592" s="1" customFormat="1" customHeight="1" spans="2:2">
      <c r="B592" s="2"/>
    </row>
    <row r="593" s="1" customFormat="1" customHeight="1" spans="2:2">
      <c r="B593" s="2"/>
    </row>
    <row r="594" s="1" customFormat="1" customHeight="1" spans="2:2">
      <c r="B594" s="2"/>
    </row>
    <row r="595" s="1" customFormat="1" customHeight="1" spans="2:2">
      <c r="B595" s="2"/>
    </row>
    <row r="596" s="1" customFormat="1" customHeight="1" spans="2:2">
      <c r="B596" s="2"/>
    </row>
    <row r="597" s="1" customFormat="1" customHeight="1" spans="2:2">
      <c r="B597" s="2"/>
    </row>
    <row r="598" s="1" customFormat="1" customHeight="1" spans="2:2">
      <c r="B598" s="2"/>
    </row>
    <row r="599" s="1" customFormat="1" customHeight="1" spans="2:2">
      <c r="B599" s="2"/>
    </row>
    <row r="600" s="1" customFormat="1" customHeight="1" spans="2:2">
      <c r="B600" s="2"/>
    </row>
    <row r="601" s="1" customFormat="1" customHeight="1" spans="2:2">
      <c r="B601" s="2"/>
    </row>
    <row r="602" s="1" customFormat="1" customHeight="1" spans="2:2">
      <c r="B602" s="2"/>
    </row>
    <row r="603" s="1" customFormat="1" customHeight="1" spans="2:2">
      <c r="B603" s="2"/>
    </row>
    <row r="604" s="1" customFormat="1" customHeight="1" spans="2:2">
      <c r="B604" s="2"/>
    </row>
    <row r="605" s="1" customFormat="1" customHeight="1" spans="2:2">
      <c r="B605" s="2"/>
    </row>
    <row r="606" s="1" customFormat="1" customHeight="1" spans="2:2">
      <c r="B606" s="2"/>
    </row>
    <row r="607" s="1" customFormat="1" customHeight="1" spans="2:2">
      <c r="B607" s="2"/>
    </row>
    <row r="608" s="1" customFormat="1" customHeight="1" spans="2:2">
      <c r="B608" s="2"/>
    </row>
    <row r="609" s="1" customFormat="1" customHeight="1" spans="2:2">
      <c r="B609" s="2"/>
    </row>
    <row r="610" s="1" customFormat="1" customHeight="1" spans="2:2">
      <c r="B610" s="2"/>
    </row>
    <row r="611" s="1" customFormat="1" customHeight="1" spans="2:2">
      <c r="B611" s="2"/>
    </row>
    <row r="612" s="1" customFormat="1" customHeight="1" spans="2:2">
      <c r="B612" s="2"/>
    </row>
    <row r="613" s="1" customFormat="1" customHeight="1" spans="2:2">
      <c r="B613" s="2"/>
    </row>
    <row r="614" s="1" customFormat="1" customHeight="1" spans="2:2">
      <c r="B614" s="2"/>
    </row>
    <row r="615" s="1" customFormat="1" customHeight="1" spans="2:2">
      <c r="B615" s="2"/>
    </row>
    <row r="616" s="1" customFormat="1" customHeight="1" spans="2:2">
      <c r="B616" s="2"/>
    </row>
    <row r="617" s="1" customFormat="1" customHeight="1" spans="2:2">
      <c r="B617" s="2"/>
    </row>
    <row r="618" s="1" customFormat="1" customHeight="1" spans="2:2">
      <c r="B618" s="2"/>
    </row>
    <row r="619" s="1" customFormat="1" customHeight="1" spans="2:2">
      <c r="B619" s="2"/>
    </row>
    <row r="620" s="1" customFormat="1" customHeight="1" spans="2:2">
      <c r="B620" s="2"/>
    </row>
    <row r="621" s="1" customFormat="1" customHeight="1" spans="2:2">
      <c r="B621" s="2"/>
    </row>
    <row r="622" s="1" customFormat="1" customHeight="1" spans="2:2">
      <c r="B622" s="2"/>
    </row>
    <row r="623" s="1" customFormat="1" customHeight="1" spans="2:2">
      <c r="B623" s="2"/>
    </row>
    <row r="624" s="1" customFormat="1" customHeight="1" spans="2:2">
      <c r="B624" s="2"/>
    </row>
    <row r="625" s="1" customFormat="1" customHeight="1" spans="2:2">
      <c r="B625" s="2"/>
    </row>
    <row r="626" s="1" customFormat="1" customHeight="1" spans="2:2">
      <c r="B626" s="2"/>
    </row>
    <row r="627" s="1" customFormat="1" customHeight="1" spans="2:2">
      <c r="B627" s="2"/>
    </row>
    <row r="628" s="1" customFormat="1" customHeight="1" spans="2:2">
      <c r="B628" s="2"/>
    </row>
    <row r="629" s="1" customFormat="1" customHeight="1" spans="2:2">
      <c r="B629" s="2"/>
    </row>
    <row r="630" s="1" customFormat="1" customHeight="1" spans="2:2">
      <c r="B630" s="2"/>
    </row>
    <row r="631" s="1" customFormat="1" customHeight="1" spans="2:2">
      <c r="B631" s="2"/>
    </row>
    <row r="632" s="1" customFormat="1" customHeight="1" spans="2:2">
      <c r="B632" s="2"/>
    </row>
    <row r="633" s="1" customFormat="1" customHeight="1" spans="2:2">
      <c r="B633" s="2"/>
    </row>
    <row r="634" s="1" customFormat="1" customHeight="1" spans="2:2">
      <c r="B634" s="2"/>
    </row>
    <row r="635" s="1" customFormat="1" customHeight="1" spans="2:2">
      <c r="B635" s="2"/>
    </row>
    <row r="636" s="1" customFormat="1" customHeight="1" spans="2:2">
      <c r="B636" s="2"/>
    </row>
    <row r="637" s="1" customFormat="1" customHeight="1" spans="2:2">
      <c r="B637" s="2"/>
    </row>
    <row r="638" s="1" customFormat="1" customHeight="1" spans="2:2">
      <c r="B638" s="2"/>
    </row>
    <row r="639" s="1" customFormat="1" customHeight="1" spans="2:2">
      <c r="B639" s="2"/>
    </row>
    <row r="640" s="1" customFormat="1" customHeight="1" spans="2:2">
      <c r="B640" s="2"/>
    </row>
    <row r="641" s="1" customFormat="1" customHeight="1" spans="2:2">
      <c r="B641" s="2"/>
    </row>
    <row r="642" s="1" customFormat="1" customHeight="1" spans="2:2">
      <c r="B642" s="2"/>
    </row>
    <row r="643" s="1" customFormat="1" customHeight="1" spans="2:2">
      <c r="B643" s="2"/>
    </row>
    <row r="644" s="1" customFormat="1" customHeight="1" spans="2:2">
      <c r="B644" s="2"/>
    </row>
    <row r="645" s="1" customFormat="1" customHeight="1" spans="2:2">
      <c r="B645" s="2"/>
    </row>
    <row r="646" s="1" customFormat="1" customHeight="1" spans="2:2">
      <c r="B646" s="2"/>
    </row>
    <row r="647" s="1" customFormat="1" customHeight="1" spans="2:2">
      <c r="B647" s="2"/>
    </row>
    <row r="648" s="1" customFormat="1" customHeight="1" spans="2:2">
      <c r="B648" s="2"/>
    </row>
    <row r="649" s="1" customFormat="1" customHeight="1" spans="2:2">
      <c r="B649" s="2"/>
    </row>
    <row r="650" s="1" customFormat="1" customHeight="1" spans="2:2">
      <c r="B650" s="2"/>
    </row>
    <row r="651" s="1" customFormat="1" customHeight="1" spans="2:2">
      <c r="B651" s="2"/>
    </row>
    <row r="652" s="1" customFormat="1" customHeight="1" spans="2:2">
      <c r="B652" s="2"/>
    </row>
    <row r="653" s="1" customFormat="1" customHeight="1" spans="2:2">
      <c r="B653" s="2"/>
    </row>
    <row r="654" s="1" customFormat="1" customHeight="1" spans="2:2">
      <c r="B654" s="2"/>
    </row>
    <row r="655" s="1" customFormat="1" customHeight="1" spans="2:2">
      <c r="B655" s="2"/>
    </row>
    <row r="656" s="1" customFormat="1" customHeight="1" spans="2:2">
      <c r="B656" s="2"/>
    </row>
    <row r="657" s="1" customFormat="1" customHeight="1" spans="2:2">
      <c r="B657" s="2"/>
    </row>
    <row r="658" s="1" customFormat="1" customHeight="1" spans="2:2">
      <c r="B658" s="2"/>
    </row>
    <row r="659" s="1" customFormat="1" customHeight="1" spans="2:2">
      <c r="B659" s="2"/>
    </row>
    <row r="660" s="1" customFormat="1" customHeight="1" spans="2:2">
      <c r="B660" s="2"/>
    </row>
    <row r="661" s="1" customFormat="1" customHeight="1" spans="2:2">
      <c r="B661" s="2"/>
    </row>
    <row r="662" s="1" customFormat="1" customHeight="1" spans="2:2">
      <c r="B662" s="2"/>
    </row>
    <row r="663" s="1" customFormat="1" customHeight="1" spans="2:2">
      <c r="B663" s="2"/>
    </row>
    <row r="664" s="1" customFormat="1" customHeight="1" spans="2:2">
      <c r="B664" s="2"/>
    </row>
    <row r="665" s="1" customFormat="1" customHeight="1" spans="2:2">
      <c r="B665" s="2"/>
    </row>
    <row r="666" s="1" customFormat="1" customHeight="1" spans="2:2">
      <c r="B666" s="2"/>
    </row>
    <row r="667" s="1" customFormat="1" customHeight="1" spans="2:2">
      <c r="B667" s="2"/>
    </row>
    <row r="668" s="1" customFormat="1" customHeight="1" spans="2:2">
      <c r="B668" s="2"/>
    </row>
    <row r="669" s="1" customFormat="1" customHeight="1" spans="2:2">
      <c r="B669" s="2"/>
    </row>
    <row r="670" s="1" customFormat="1" customHeight="1" spans="2:2">
      <c r="B670" s="2"/>
    </row>
    <row r="671" s="1" customFormat="1" customHeight="1" spans="2:2">
      <c r="B671" s="2"/>
    </row>
    <row r="672" s="1" customFormat="1" customHeight="1" spans="2:2">
      <c r="B672" s="2"/>
    </row>
    <row r="673" s="1" customFormat="1" customHeight="1" spans="2:2">
      <c r="B673" s="2"/>
    </row>
    <row r="674" s="1" customFormat="1" customHeight="1" spans="2:2">
      <c r="B674" s="2"/>
    </row>
    <row r="675" s="1" customFormat="1" customHeight="1" spans="2:2">
      <c r="B675" s="2"/>
    </row>
    <row r="676" s="1" customFormat="1" customHeight="1" spans="2:2">
      <c r="B676" s="2"/>
    </row>
    <row r="677" s="1" customFormat="1" customHeight="1" spans="2:2">
      <c r="B677" s="2"/>
    </row>
    <row r="678" s="1" customFormat="1" customHeight="1" spans="2:2">
      <c r="B678" s="2"/>
    </row>
    <row r="679" s="1" customFormat="1" customHeight="1" spans="2:2">
      <c r="B679" s="2"/>
    </row>
    <row r="680" s="1" customFormat="1" customHeight="1" spans="2:2">
      <c r="B680" s="2"/>
    </row>
    <row r="681" s="1" customFormat="1" customHeight="1" spans="2:2">
      <c r="B681" s="2"/>
    </row>
    <row r="682" s="1" customFormat="1" customHeight="1" spans="2:2">
      <c r="B682" s="2"/>
    </row>
    <row r="683" s="1" customFormat="1" customHeight="1" spans="2:2">
      <c r="B683" s="2"/>
    </row>
    <row r="684" s="1" customFormat="1" customHeight="1" spans="2:2">
      <c r="B684" s="2"/>
    </row>
    <row r="685" s="1" customFormat="1" customHeight="1" spans="2:2">
      <c r="B685" s="2"/>
    </row>
    <row r="686" s="1" customFormat="1" customHeight="1" spans="2:2">
      <c r="B686" s="2"/>
    </row>
    <row r="687" s="1" customFormat="1" customHeight="1" spans="2:2">
      <c r="B687" s="2"/>
    </row>
    <row r="688" s="1" customFormat="1" customHeight="1" spans="2:2">
      <c r="B688" s="2"/>
    </row>
    <row r="689" s="1" customFormat="1" customHeight="1" spans="2:2">
      <c r="B689" s="2"/>
    </row>
    <row r="690" s="1" customFormat="1" customHeight="1" spans="2:2">
      <c r="B690" s="2"/>
    </row>
    <row r="691" s="1" customFormat="1" customHeight="1" spans="2:2">
      <c r="B691" s="2"/>
    </row>
    <row r="692" s="1" customFormat="1" customHeight="1" spans="2:2">
      <c r="B692" s="2"/>
    </row>
    <row r="693" s="1" customFormat="1" customHeight="1" spans="2:2">
      <c r="B693" s="2"/>
    </row>
    <row r="694" s="1" customFormat="1" customHeight="1" spans="2:2">
      <c r="B694" s="2"/>
    </row>
    <row r="695" s="1" customFormat="1" customHeight="1" spans="2:2">
      <c r="B695" s="2"/>
    </row>
    <row r="696" s="1" customFormat="1" customHeight="1" spans="2:2">
      <c r="B696" s="2"/>
    </row>
    <row r="697" s="1" customFormat="1" customHeight="1" spans="2:2">
      <c r="B697" s="2"/>
    </row>
    <row r="698" s="1" customFormat="1" customHeight="1" spans="2:2">
      <c r="B698" s="2"/>
    </row>
    <row r="699" s="1" customFormat="1" customHeight="1" spans="2:2">
      <c r="B699" s="2"/>
    </row>
    <row r="700" s="1" customFormat="1" customHeight="1" spans="2:2">
      <c r="B700" s="2"/>
    </row>
    <row r="701" s="1" customFormat="1" customHeight="1" spans="2:2">
      <c r="B701" s="2"/>
    </row>
    <row r="702" s="1" customFormat="1" customHeight="1" spans="2:2">
      <c r="B702" s="2"/>
    </row>
    <row r="703" s="1" customFormat="1" customHeight="1" spans="2:2">
      <c r="B703" s="2"/>
    </row>
    <row r="704" s="1" customFormat="1" customHeight="1" spans="2:2">
      <c r="B704" s="2"/>
    </row>
    <row r="705" s="1" customFormat="1" customHeight="1" spans="2:2">
      <c r="B705" s="2"/>
    </row>
    <row r="706" s="1" customFormat="1" customHeight="1" spans="2:2">
      <c r="B706" s="2"/>
    </row>
    <row r="707" s="1" customFormat="1" customHeight="1" spans="2:2">
      <c r="B707" s="2"/>
    </row>
    <row r="708" s="1" customFormat="1" customHeight="1" spans="2:2">
      <c r="B708" s="2"/>
    </row>
    <row r="709" s="1" customFormat="1" customHeight="1" spans="2:2">
      <c r="B709" s="2"/>
    </row>
    <row r="710" s="1" customFormat="1" customHeight="1" spans="2:2">
      <c r="B710" s="2"/>
    </row>
    <row r="711" s="1" customFormat="1" customHeight="1" spans="2:2">
      <c r="B711" s="2"/>
    </row>
    <row r="712" s="1" customFormat="1" customHeight="1" spans="2:2">
      <c r="B712" s="2"/>
    </row>
    <row r="713" s="1" customFormat="1" customHeight="1" spans="2:2">
      <c r="B713" s="2"/>
    </row>
    <row r="714" s="1" customFormat="1" customHeight="1" spans="2:2">
      <c r="B714" s="2"/>
    </row>
    <row r="715" s="1" customFormat="1" customHeight="1" spans="2:2">
      <c r="B715" s="2"/>
    </row>
    <row r="716" s="1" customFormat="1" customHeight="1" spans="2:2">
      <c r="B716" s="2"/>
    </row>
    <row r="717" s="1" customFormat="1" customHeight="1" spans="2:2">
      <c r="B717" s="2"/>
    </row>
    <row r="718" s="1" customFormat="1" customHeight="1" spans="2:2">
      <c r="B718" s="2"/>
    </row>
    <row r="719" s="1" customFormat="1" customHeight="1" spans="2:2">
      <c r="B719" s="2"/>
    </row>
    <row r="720" s="1" customFormat="1" customHeight="1" spans="2:2">
      <c r="B720" s="2"/>
    </row>
    <row r="721" s="1" customFormat="1" customHeight="1" spans="2:2">
      <c r="B721" s="2"/>
    </row>
    <row r="722" s="1" customFormat="1" customHeight="1" spans="2:2">
      <c r="B722" s="2"/>
    </row>
    <row r="723" s="1" customFormat="1" customHeight="1" spans="2:2">
      <c r="B723" s="2"/>
    </row>
    <row r="724" s="1" customFormat="1" customHeight="1" spans="2:2">
      <c r="B724" s="2"/>
    </row>
    <row r="725" s="1" customFormat="1" customHeight="1" spans="2:2">
      <c r="B725" s="2"/>
    </row>
    <row r="726" s="1" customFormat="1" customHeight="1" spans="2:2">
      <c r="B726" s="2"/>
    </row>
    <row r="727" s="1" customFormat="1" customHeight="1" spans="2:2">
      <c r="B727" s="2"/>
    </row>
    <row r="728" s="1" customFormat="1" customHeight="1" spans="2:2">
      <c r="B728" s="2"/>
    </row>
    <row r="729" s="1" customFormat="1" customHeight="1" spans="2:2">
      <c r="B729" s="2"/>
    </row>
    <row r="730" s="1" customFormat="1" customHeight="1" spans="2:2">
      <c r="B730" s="2"/>
    </row>
    <row r="731" s="1" customFormat="1" customHeight="1" spans="2:2">
      <c r="B731" s="2"/>
    </row>
    <row r="732" s="1" customFormat="1" customHeight="1" spans="2:2">
      <c r="B732" s="2"/>
    </row>
    <row r="733" s="1" customFormat="1" customHeight="1" spans="2:2">
      <c r="B733" s="2"/>
    </row>
    <row r="734" s="1" customFormat="1" customHeight="1" spans="2:2">
      <c r="B734" s="2"/>
    </row>
    <row r="735" s="1" customFormat="1" customHeight="1" spans="2:2">
      <c r="B735" s="2"/>
    </row>
    <row r="736" s="1" customFormat="1" customHeight="1" spans="2:2">
      <c r="B736" s="2"/>
    </row>
    <row r="737" s="1" customFormat="1" customHeight="1" spans="2:2">
      <c r="B737" s="2"/>
    </row>
    <row r="738" s="1" customFormat="1" customHeight="1" spans="2:2">
      <c r="B738" s="2"/>
    </row>
    <row r="739" s="1" customFormat="1" customHeight="1" spans="2:2">
      <c r="B739" s="2"/>
    </row>
    <row r="740" s="1" customFormat="1" customHeight="1" spans="2:2">
      <c r="B740" s="2"/>
    </row>
    <row r="741" s="1" customFormat="1" customHeight="1" spans="2:2">
      <c r="B741" s="2"/>
    </row>
    <row r="742" s="1" customFormat="1" customHeight="1" spans="2:2">
      <c r="B742" s="2"/>
    </row>
    <row r="743" s="1" customFormat="1" customHeight="1" spans="2:2">
      <c r="B743" s="2"/>
    </row>
    <row r="744" s="1" customFormat="1" customHeight="1" spans="2:2">
      <c r="B744" s="2"/>
    </row>
    <row r="745" s="1" customFormat="1" customHeight="1" spans="2:2">
      <c r="B745" s="2"/>
    </row>
    <row r="746" s="1" customFormat="1" customHeight="1" spans="2:2">
      <c r="B746" s="2"/>
    </row>
    <row r="747" s="1" customFormat="1" customHeight="1" spans="2:2">
      <c r="B747" s="2"/>
    </row>
    <row r="748" s="1" customFormat="1" customHeight="1" spans="2:2">
      <c r="B748" s="2"/>
    </row>
    <row r="749" s="1" customFormat="1" customHeight="1" spans="2:2">
      <c r="B749" s="2"/>
    </row>
    <row r="750" s="1" customFormat="1" customHeight="1" spans="2:2">
      <c r="B750" s="2"/>
    </row>
    <row r="751" s="1" customFormat="1" customHeight="1" spans="2:2">
      <c r="B751" s="2"/>
    </row>
    <row r="752" s="1" customFormat="1" customHeight="1" spans="2:2">
      <c r="B752" s="2"/>
    </row>
    <row r="753" s="1" customFormat="1" customHeight="1" spans="2:2">
      <c r="B753" s="2"/>
    </row>
    <row r="754" s="1" customFormat="1" customHeight="1" spans="2:2">
      <c r="B754" s="2"/>
    </row>
    <row r="755" s="1" customFormat="1" customHeight="1" spans="2:2">
      <c r="B755" s="2"/>
    </row>
    <row r="756" s="1" customFormat="1" customHeight="1" spans="2:2">
      <c r="B756" s="2"/>
    </row>
    <row r="757" s="1" customFormat="1" customHeight="1" spans="2:2">
      <c r="B757" s="2"/>
    </row>
    <row r="758" s="1" customFormat="1" customHeight="1" spans="2:2">
      <c r="B758" s="2"/>
    </row>
    <row r="759" s="1" customFormat="1" customHeight="1" spans="2:2">
      <c r="B759" s="2"/>
    </row>
    <row r="760" s="1" customFormat="1" customHeight="1" spans="2:2">
      <c r="B760" s="2"/>
    </row>
    <row r="761" s="1" customFormat="1" customHeight="1" spans="2:2">
      <c r="B761" s="2"/>
    </row>
    <row r="762" s="1" customFormat="1" customHeight="1" spans="2:2">
      <c r="B762" s="2"/>
    </row>
    <row r="763" s="1" customFormat="1" customHeight="1" spans="2:2">
      <c r="B763" s="2"/>
    </row>
    <row r="764" s="1" customFormat="1" customHeight="1" spans="2:2">
      <c r="B764" s="2"/>
    </row>
    <row r="765" s="1" customFormat="1" customHeight="1" spans="2:2">
      <c r="B765" s="2"/>
    </row>
    <row r="766" s="1" customFormat="1" customHeight="1" spans="2:2">
      <c r="B766" s="2"/>
    </row>
    <row r="767" s="1" customFormat="1" customHeight="1" spans="2:2">
      <c r="B767" s="2"/>
    </row>
    <row r="768" s="1" customFormat="1" customHeight="1" spans="2:2">
      <c r="B768" s="2"/>
    </row>
    <row r="769" s="1" customFormat="1" customHeight="1" spans="2:2">
      <c r="B769" s="2"/>
    </row>
    <row r="770" s="1" customFormat="1" customHeight="1" spans="2:2">
      <c r="B770" s="2"/>
    </row>
    <row r="771" s="1" customFormat="1" customHeight="1" spans="2:2">
      <c r="B771" s="2"/>
    </row>
    <row r="772" s="1" customFormat="1" customHeight="1" spans="2:2">
      <c r="B772" s="2"/>
    </row>
    <row r="773" s="1" customFormat="1" customHeight="1" spans="2:2">
      <c r="B773" s="2"/>
    </row>
    <row r="774" s="1" customFormat="1" customHeight="1" spans="2:2">
      <c r="B774" s="2"/>
    </row>
    <row r="775" s="1" customFormat="1" customHeight="1" spans="2:2">
      <c r="B775" s="2"/>
    </row>
    <row r="776" s="1" customFormat="1" customHeight="1" spans="2:2">
      <c r="B776" s="2"/>
    </row>
    <row r="777" s="1" customFormat="1" customHeight="1" spans="2:2">
      <c r="B777" s="2"/>
    </row>
    <row r="778" s="1" customFormat="1" customHeight="1" spans="2:2">
      <c r="B778" s="2"/>
    </row>
    <row r="779" s="1" customFormat="1" customHeight="1" spans="2:2">
      <c r="B779" s="2"/>
    </row>
    <row r="780" s="1" customFormat="1" customHeight="1" spans="2:2">
      <c r="B780" s="2"/>
    </row>
    <row r="781" s="1" customFormat="1" customHeight="1" spans="2:2">
      <c r="B781" s="2"/>
    </row>
    <row r="782" s="1" customFormat="1" customHeight="1" spans="2:2">
      <c r="B782" s="2"/>
    </row>
    <row r="783" s="1" customFormat="1" customHeight="1" spans="2:2">
      <c r="B783" s="2"/>
    </row>
    <row r="784" s="1" customFormat="1" customHeight="1" spans="2:2">
      <c r="B784" s="2"/>
    </row>
    <row r="785" s="1" customFormat="1" customHeight="1" spans="2:2">
      <c r="B785" s="2"/>
    </row>
    <row r="786" s="1" customFormat="1" customHeight="1" spans="2:2">
      <c r="B786" s="2"/>
    </row>
    <row r="787" s="1" customFormat="1" customHeight="1" spans="2:2">
      <c r="B787" s="2"/>
    </row>
    <row r="788" s="1" customFormat="1" customHeight="1" spans="2:2">
      <c r="B788" s="2"/>
    </row>
    <row r="789" s="1" customFormat="1" customHeight="1" spans="2:2">
      <c r="B789" s="2"/>
    </row>
    <row r="790" s="1" customFormat="1" customHeight="1" spans="2:2">
      <c r="B790" s="2"/>
    </row>
    <row r="791" s="1" customFormat="1" customHeight="1" spans="2:2">
      <c r="B791" s="2"/>
    </row>
    <row r="792" s="1" customFormat="1" customHeight="1" spans="2:2">
      <c r="B792" s="2"/>
    </row>
    <row r="793" s="1" customFormat="1" customHeight="1" spans="2:2">
      <c r="B793" s="2"/>
    </row>
    <row r="794" s="1" customFormat="1" customHeight="1" spans="2:2">
      <c r="B794" s="2"/>
    </row>
    <row r="795" s="1" customFormat="1" customHeight="1" spans="2:2">
      <c r="B795" s="2"/>
    </row>
    <row r="796" s="1" customFormat="1" customHeight="1" spans="2:2">
      <c r="B796" s="2"/>
    </row>
    <row r="797" s="1" customFormat="1" customHeight="1" spans="2:2">
      <c r="B797" s="2"/>
    </row>
    <row r="798" s="1" customFormat="1" customHeight="1" spans="2:2">
      <c r="B798" s="2"/>
    </row>
    <row r="799" s="1" customFormat="1" customHeight="1" spans="2:2">
      <c r="B799" s="2"/>
    </row>
    <row r="800" s="1" customFormat="1" customHeight="1" spans="2:2">
      <c r="B800" s="2"/>
    </row>
    <row r="801" s="1" customFormat="1" customHeight="1" spans="2:2">
      <c r="B801" s="2"/>
    </row>
    <row r="802" s="1" customFormat="1" customHeight="1" spans="2:2">
      <c r="B802" s="2"/>
    </row>
    <row r="803" s="1" customFormat="1" customHeight="1" spans="2:2">
      <c r="B803" s="2"/>
    </row>
    <row r="804" s="1" customFormat="1" customHeight="1" spans="2:2">
      <c r="B804" s="2"/>
    </row>
    <row r="805" s="1" customFormat="1" customHeight="1" spans="2:2">
      <c r="B805" s="2"/>
    </row>
    <row r="806" s="1" customFormat="1" customHeight="1" spans="2:2">
      <c r="B806" s="2"/>
    </row>
    <row r="807" s="1" customFormat="1" customHeight="1" spans="2:2">
      <c r="B807" s="2"/>
    </row>
    <row r="808" s="1" customFormat="1" customHeight="1" spans="2:2">
      <c r="B808" s="2"/>
    </row>
    <row r="809" s="1" customFormat="1" customHeight="1" spans="2:2">
      <c r="B809" s="2"/>
    </row>
    <row r="810" s="1" customFormat="1" customHeight="1" spans="2:2">
      <c r="B810" s="2"/>
    </row>
    <row r="811" s="1" customFormat="1" customHeight="1" spans="2:2">
      <c r="B811" s="2"/>
    </row>
    <row r="812" s="1" customFormat="1" customHeight="1" spans="2:2">
      <c r="B812" s="2"/>
    </row>
    <row r="813" s="1" customFormat="1" customHeight="1" spans="2:2">
      <c r="B813" s="2"/>
    </row>
    <row r="814" s="1" customFormat="1" customHeight="1" spans="2:2">
      <c r="B814" s="2"/>
    </row>
    <row r="815" s="1" customFormat="1" customHeight="1" spans="2:2">
      <c r="B815" s="2"/>
    </row>
    <row r="816" s="1" customFormat="1" customHeight="1" spans="2:2">
      <c r="B816" s="2"/>
    </row>
    <row r="817" s="1" customFormat="1" customHeight="1" spans="2:2">
      <c r="B817" s="2"/>
    </row>
    <row r="818" s="1" customFormat="1" customHeight="1" spans="2:2">
      <c r="B818" s="2"/>
    </row>
    <row r="819" s="1" customFormat="1" customHeight="1" spans="2:2">
      <c r="B819" s="2"/>
    </row>
    <row r="820" s="1" customFormat="1" customHeight="1" spans="2:2">
      <c r="B820" s="2"/>
    </row>
    <row r="821" s="1" customFormat="1" customHeight="1" spans="2:2">
      <c r="B821" s="2"/>
    </row>
    <row r="822" s="1" customFormat="1" customHeight="1" spans="2:2">
      <c r="B822" s="2"/>
    </row>
    <row r="823" s="1" customFormat="1" customHeight="1" spans="2:2">
      <c r="B823" s="2"/>
    </row>
    <row r="824" s="1" customFormat="1" customHeight="1" spans="2:2">
      <c r="B824" s="2"/>
    </row>
    <row r="825" s="1" customFormat="1" customHeight="1" spans="2:2">
      <c r="B825" s="2"/>
    </row>
    <row r="826" s="1" customFormat="1" customHeight="1" spans="2:2">
      <c r="B826" s="2"/>
    </row>
    <row r="827" s="1" customFormat="1" customHeight="1" spans="2:2">
      <c r="B827" s="2"/>
    </row>
    <row r="828" s="1" customFormat="1" customHeight="1" spans="2:2">
      <c r="B828" s="2"/>
    </row>
    <row r="829" s="1" customFormat="1" customHeight="1" spans="2:2">
      <c r="B829" s="2"/>
    </row>
    <row r="830" s="1" customFormat="1" customHeight="1" spans="2:2">
      <c r="B830" s="2"/>
    </row>
    <row r="831" s="1" customFormat="1" customHeight="1" spans="2:2">
      <c r="B831" s="2"/>
    </row>
    <row r="832" s="1" customFormat="1" customHeight="1" spans="2:2">
      <c r="B832" s="2"/>
    </row>
    <row r="833" s="1" customFormat="1" customHeight="1" spans="2:2">
      <c r="B833" s="2"/>
    </row>
    <row r="834" s="1" customFormat="1" customHeight="1" spans="2:2">
      <c r="B834" s="2"/>
    </row>
    <row r="835" s="1" customFormat="1" customHeight="1" spans="2:2">
      <c r="B835" s="2"/>
    </row>
    <row r="836" s="1" customFormat="1" customHeight="1" spans="2:2">
      <c r="B836" s="2"/>
    </row>
    <row r="837" s="1" customFormat="1" customHeight="1" spans="2:2">
      <c r="B837" s="2"/>
    </row>
    <row r="838" s="1" customFormat="1" customHeight="1" spans="2:2">
      <c r="B838" s="2"/>
    </row>
    <row r="839" s="1" customFormat="1" customHeight="1" spans="2:2">
      <c r="B839" s="2"/>
    </row>
    <row r="840" s="1" customFormat="1" customHeight="1" spans="2:2">
      <c r="B840" s="2"/>
    </row>
    <row r="841" s="1" customFormat="1" customHeight="1" spans="2:2">
      <c r="B841" s="2"/>
    </row>
    <row r="842" s="1" customFormat="1" customHeight="1" spans="2:2">
      <c r="B842" s="2"/>
    </row>
    <row r="843" s="1" customFormat="1" customHeight="1" spans="2:2">
      <c r="B843" s="2"/>
    </row>
    <row r="844" s="1" customFormat="1" customHeight="1" spans="2:2">
      <c r="B844" s="2"/>
    </row>
    <row r="845" s="1" customFormat="1" customHeight="1" spans="2:2">
      <c r="B845" s="2"/>
    </row>
    <row r="846" s="1" customFormat="1" customHeight="1" spans="2:2">
      <c r="B846" s="2"/>
    </row>
    <row r="847" s="1" customFormat="1" customHeight="1" spans="2:2">
      <c r="B847" s="2"/>
    </row>
    <row r="848" s="1" customFormat="1" customHeight="1" spans="2:2">
      <c r="B848" s="2"/>
    </row>
    <row r="849" s="1" customFormat="1" customHeight="1" spans="2:2">
      <c r="B849" s="2"/>
    </row>
    <row r="850" s="1" customFormat="1" customHeight="1" spans="2:2">
      <c r="B850" s="2"/>
    </row>
    <row r="851" s="1" customFormat="1" customHeight="1" spans="2:2">
      <c r="B851" s="2"/>
    </row>
    <row r="852" s="1" customFormat="1" customHeight="1" spans="2:2">
      <c r="B852" s="2"/>
    </row>
    <row r="853" s="1" customFormat="1" customHeight="1" spans="2:2">
      <c r="B853" s="2"/>
    </row>
    <row r="854" s="1" customFormat="1" customHeight="1" spans="2:2">
      <c r="B854" s="2"/>
    </row>
    <row r="855" s="1" customFormat="1" customHeight="1" spans="2:2">
      <c r="B855" s="2"/>
    </row>
    <row r="856" s="1" customFormat="1" customHeight="1" spans="2:2">
      <c r="B856" s="2"/>
    </row>
    <row r="857" s="1" customFormat="1" customHeight="1" spans="2:2">
      <c r="B857" s="2"/>
    </row>
    <row r="858" s="1" customFormat="1" customHeight="1" spans="2:2">
      <c r="B858" s="2"/>
    </row>
    <row r="859" s="1" customFormat="1" customHeight="1" spans="2:2">
      <c r="B859" s="2"/>
    </row>
    <row r="860" s="1" customFormat="1" customHeight="1" spans="2:2">
      <c r="B860" s="2"/>
    </row>
    <row r="861" s="1" customFormat="1" customHeight="1" spans="2:2">
      <c r="B861" s="2"/>
    </row>
    <row r="862" s="1" customFormat="1" customHeight="1" spans="2:2">
      <c r="B862" s="2"/>
    </row>
    <row r="863" s="1" customFormat="1" customHeight="1" spans="2:2">
      <c r="B863" s="2"/>
    </row>
    <row r="864" s="1" customFormat="1" customHeight="1" spans="2:2">
      <c r="B864" s="2"/>
    </row>
    <row r="865" s="1" customFormat="1" customHeight="1" spans="2:2">
      <c r="B865" s="2"/>
    </row>
    <row r="866" s="1" customFormat="1" customHeight="1" spans="2:2">
      <c r="B866" s="2"/>
    </row>
    <row r="867" s="1" customFormat="1" customHeight="1" spans="2:2">
      <c r="B867" s="2"/>
    </row>
    <row r="868" s="1" customFormat="1" customHeight="1" spans="2:2">
      <c r="B868" s="2"/>
    </row>
    <row r="869" s="1" customFormat="1" customHeight="1" spans="2:2">
      <c r="B869" s="2"/>
    </row>
    <row r="870" s="1" customFormat="1" customHeight="1" spans="2:2">
      <c r="B870" s="2"/>
    </row>
    <row r="871" s="1" customFormat="1" customHeight="1" spans="2:2">
      <c r="B871" s="2"/>
    </row>
    <row r="872" s="1" customFormat="1" customHeight="1" spans="2:2">
      <c r="B872" s="2"/>
    </row>
    <row r="873" s="1" customFormat="1" customHeight="1" spans="2:2">
      <c r="B873" s="2"/>
    </row>
    <row r="874" s="1" customFormat="1" customHeight="1" spans="2:2">
      <c r="B874" s="2"/>
    </row>
    <row r="875" s="1" customFormat="1" customHeight="1" spans="2:2">
      <c r="B875" s="2"/>
    </row>
    <row r="876" s="1" customFormat="1" customHeight="1" spans="2:2">
      <c r="B876" s="2"/>
    </row>
    <row r="877" s="1" customFormat="1" customHeight="1" spans="2:2">
      <c r="B877" s="2"/>
    </row>
    <row r="878" s="1" customFormat="1" customHeight="1" spans="2:2">
      <c r="B878" s="2"/>
    </row>
    <row r="879" s="1" customFormat="1" customHeight="1" spans="2:2">
      <c r="B879" s="2"/>
    </row>
    <row r="880" s="1" customFormat="1" customHeight="1" spans="2:2">
      <c r="B880" s="2"/>
    </row>
    <row r="881" s="1" customFormat="1" customHeight="1" spans="2:2">
      <c r="B881" s="2"/>
    </row>
    <row r="882" s="1" customFormat="1" customHeight="1" spans="2:2">
      <c r="B882" s="2"/>
    </row>
    <row r="883" s="1" customFormat="1" customHeight="1" spans="2:2">
      <c r="B883" s="2"/>
    </row>
    <row r="884" s="1" customFormat="1" customHeight="1" spans="2:2">
      <c r="B884" s="2"/>
    </row>
    <row r="885" s="1" customFormat="1" customHeight="1" spans="2:2">
      <c r="B885" s="2"/>
    </row>
    <row r="886" s="1" customFormat="1" customHeight="1" spans="2:2">
      <c r="B886" s="2"/>
    </row>
    <row r="887" s="1" customFormat="1" customHeight="1" spans="2:2">
      <c r="B887" s="2"/>
    </row>
    <row r="888" s="1" customFormat="1" customHeight="1" spans="2:2">
      <c r="B888" s="2"/>
    </row>
    <row r="889" s="1" customFormat="1" customHeight="1" spans="2:2">
      <c r="B889" s="2"/>
    </row>
    <row r="890" s="1" customFormat="1" customHeight="1" spans="2:2">
      <c r="B890" s="2"/>
    </row>
    <row r="891" s="1" customFormat="1" customHeight="1" spans="2:2">
      <c r="B891" s="2"/>
    </row>
    <row r="892" s="1" customFormat="1" customHeight="1" spans="2:2">
      <c r="B892" s="2"/>
    </row>
    <row r="893" s="1" customFormat="1" customHeight="1" spans="2:2">
      <c r="B893" s="2"/>
    </row>
    <row r="894" s="1" customFormat="1" customHeight="1" spans="2:2">
      <c r="B894" s="2"/>
    </row>
    <row r="895" s="1" customFormat="1" customHeight="1" spans="2:2">
      <c r="B895" s="2"/>
    </row>
    <row r="896" s="1" customFormat="1" customHeight="1" spans="2:2">
      <c r="B896" s="2"/>
    </row>
    <row r="897" s="1" customFormat="1" customHeight="1" spans="2:2">
      <c r="B897" s="2"/>
    </row>
    <row r="898" s="1" customFormat="1" customHeight="1" spans="2:2">
      <c r="B898" s="2"/>
    </row>
    <row r="899" s="1" customFormat="1" customHeight="1" spans="2:2">
      <c r="B899" s="2"/>
    </row>
    <row r="900" s="1" customFormat="1" customHeight="1" spans="2:2">
      <c r="B900" s="2"/>
    </row>
    <row r="901" s="1" customFormat="1" customHeight="1" spans="2:2">
      <c r="B901" s="2"/>
    </row>
    <row r="902" s="1" customFormat="1" customHeight="1" spans="2:2">
      <c r="B902" s="2"/>
    </row>
    <row r="903" s="1" customFormat="1" customHeight="1" spans="2:2">
      <c r="B903" s="2"/>
    </row>
    <row r="904" s="1" customFormat="1" customHeight="1" spans="2:2">
      <c r="B904" s="2"/>
    </row>
    <row r="905" s="1" customFormat="1" customHeight="1" spans="2:2">
      <c r="B905" s="2"/>
    </row>
    <row r="906" s="1" customFormat="1" customHeight="1" spans="2:2">
      <c r="B906" s="2"/>
    </row>
    <row r="907" s="1" customFormat="1" customHeight="1" spans="2:2">
      <c r="B907" s="2"/>
    </row>
    <row r="908" s="1" customFormat="1" customHeight="1" spans="2:2">
      <c r="B908" s="2"/>
    </row>
    <row r="909" s="1" customFormat="1" customHeight="1" spans="2:2">
      <c r="B909" s="2"/>
    </row>
    <row r="910" s="1" customFormat="1" customHeight="1" spans="2:2">
      <c r="B910" s="2"/>
    </row>
    <row r="911" s="1" customFormat="1" customHeight="1" spans="2:2">
      <c r="B911" s="2"/>
    </row>
    <row r="912" s="1" customFormat="1" customHeight="1" spans="2:2">
      <c r="B912" s="2"/>
    </row>
    <row r="913" s="1" customFormat="1" customHeight="1" spans="2:2">
      <c r="B913" s="2"/>
    </row>
    <row r="914" s="1" customFormat="1" customHeight="1" spans="2:2">
      <c r="B914" s="2"/>
    </row>
    <row r="915" s="1" customFormat="1" customHeight="1" spans="2:2">
      <c r="B915" s="2"/>
    </row>
    <row r="916" s="1" customFormat="1" customHeight="1" spans="2:2">
      <c r="B916" s="2"/>
    </row>
    <row r="917" s="1" customFormat="1" customHeight="1" spans="2:2">
      <c r="B917" s="2"/>
    </row>
    <row r="918" s="1" customFormat="1" customHeight="1" spans="2:2">
      <c r="B918" s="2"/>
    </row>
    <row r="919" s="1" customFormat="1" customHeight="1" spans="2:2">
      <c r="B919" s="2"/>
    </row>
    <row r="920" s="1" customFormat="1" customHeight="1" spans="2:2">
      <c r="B920" s="2"/>
    </row>
    <row r="921" s="1" customFormat="1" customHeight="1" spans="2:2">
      <c r="B921" s="2"/>
    </row>
    <row r="922" s="1" customFormat="1" customHeight="1" spans="2:2">
      <c r="B922" s="2"/>
    </row>
    <row r="923" s="1" customFormat="1" customHeight="1" spans="2:2">
      <c r="B923" s="2"/>
    </row>
    <row r="924" s="1" customFormat="1" customHeight="1" spans="2:2">
      <c r="B924" s="2"/>
    </row>
    <row r="925" s="1" customFormat="1" customHeight="1" spans="2:2">
      <c r="B925" s="2"/>
    </row>
    <row r="926" s="1" customFormat="1" customHeight="1" spans="2:2">
      <c r="B926" s="2"/>
    </row>
    <row r="927" s="1" customFormat="1" customHeight="1" spans="2:2">
      <c r="B927" s="2"/>
    </row>
    <row r="928" s="1" customFormat="1" customHeight="1" spans="2:2">
      <c r="B928" s="2"/>
    </row>
    <row r="929" s="1" customFormat="1" customHeight="1" spans="2:2">
      <c r="B929" s="2"/>
    </row>
    <row r="930" s="1" customFormat="1" customHeight="1" spans="2:2">
      <c r="B930" s="2"/>
    </row>
    <row r="931" s="1" customFormat="1" customHeight="1" spans="2:2">
      <c r="B931" s="2"/>
    </row>
    <row r="932" s="1" customFormat="1" customHeight="1" spans="2:2">
      <c r="B932" s="2"/>
    </row>
    <row r="933" s="1" customFormat="1" customHeight="1" spans="2:2">
      <c r="B933" s="2"/>
    </row>
    <row r="934" s="1" customFormat="1" customHeight="1" spans="2:2">
      <c r="B934" s="2"/>
    </row>
    <row r="935" s="1" customFormat="1" customHeight="1" spans="2:2">
      <c r="B935" s="2"/>
    </row>
    <row r="936" s="1" customFormat="1" customHeight="1" spans="2:2">
      <c r="B936" s="2"/>
    </row>
    <row r="937" s="1" customFormat="1" customHeight="1" spans="2:2">
      <c r="B937" s="2"/>
    </row>
    <row r="938" s="1" customFormat="1" customHeight="1" spans="2:2">
      <c r="B938" s="2"/>
    </row>
    <row r="939" s="1" customFormat="1" customHeight="1" spans="2:2">
      <c r="B939" s="2"/>
    </row>
    <row r="940" s="1" customFormat="1" customHeight="1" spans="2:2">
      <c r="B940" s="2"/>
    </row>
    <row r="941" s="1" customFormat="1" customHeight="1" spans="2:2">
      <c r="B941" s="2"/>
    </row>
    <row r="942" s="1" customFormat="1" customHeight="1" spans="2:2">
      <c r="B942" s="2"/>
    </row>
    <row r="943" s="1" customFormat="1" customHeight="1" spans="2:2">
      <c r="B943" s="2"/>
    </row>
    <row r="944" s="1" customFormat="1" customHeight="1" spans="2:2">
      <c r="B944" s="2"/>
    </row>
    <row r="945" s="1" customFormat="1" customHeight="1" spans="2:2">
      <c r="B945" s="2"/>
    </row>
    <row r="946" s="1" customFormat="1" customHeight="1" spans="2:2">
      <c r="B946" s="2"/>
    </row>
    <row r="947" s="1" customFormat="1" customHeight="1" spans="2:2">
      <c r="B947" s="2"/>
    </row>
    <row r="948" s="1" customFormat="1" customHeight="1" spans="2:2">
      <c r="B948" s="2"/>
    </row>
    <row r="949" s="1" customFormat="1" customHeight="1" spans="2:2">
      <c r="B949" s="2"/>
    </row>
    <row r="950" s="1" customFormat="1" customHeight="1" spans="2:2">
      <c r="B950" s="2"/>
    </row>
    <row r="951" s="1" customFormat="1" customHeight="1" spans="2:2">
      <c r="B951" s="2"/>
    </row>
    <row r="952" s="1" customFormat="1" customHeight="1" spans="2:2">
      <c r="B952" s="2"/>
    </row>
    <row r="953" s="1" customFormat="1" customHeight="1" spans="2:2">
      <c r="B953" s="2"/>
    </row>
    <row r="954" s="1" customFormat="1" customHeight="1" spans="2:2">
      <c r="B954" s="2"/>
    </row>
    <row r="955" s="1" customFormat="1" customHeight="1" spans="2:2">
      <c r="B955" s="2"/>
    </row>
    <row r="956" s="1" customFormat="1" customHeight="1" spans="2:2">
      <c r="B956" s="2"/>
    </row>
    <row r="957" s="1" customFormat="1" customHeight="1" spans="2:2">
      <c r="B957" s="2"/>
    </row>
    <row r="958" s="1" customFormat="1" customHeight="1" spans="2:2">
      <c r="B958" s="2"/>
    </row>
    <row r="959" s="1" customFormat="1" customHeight="1" spans="2:2">
      <c r="B959" s="2"/>
    </row>
    <row r="960" s="1" customFormat="1" customHeight="1" spans="2:2">
      <c r="B960" s="2"/>
    </row>
    <row r="961" s="1" customFormat="1" customHeight="1" spans="2:2">
      <c r="B961" s="2"/>
    </row>
    <row r="962" s="1" customFormat="1" customHeight="1" spans="2:2">
      <c r="B962" s="2"/>
    </row>
    <row r="963" s="1" customFormat="1" customHeight="1" spans="2:2">
      <c r="B963" s="2"/>
    </row>
    <row r="964" s="1" customFormat="1" customHeight="1" spans="2:2">
      <c r="B964" s="2"/>
    </row>
    <row r="965" s="1" customFormat="1" customHeight="1" spans="2:2">
      <c r="B965" s="2"/>
    </row>
    <row r="966" s="1" customFormat="1" customHeight="1" spans="2:2">
      <c r="B966" s="2"/>
    </row>
    <row r="967" s="1" customFormat="1" customHeight="1" spans="2:2">
      <c r="B967" s="2"/>
    </row>
    <row r="968" s="1" customFormat="1" customHeight="1" spans="2:2">
      <c r="B968" s="2"/>
    </row>
    <row r="969" s="1" customFormat="1" customHeight="1" spans="2:2">
      <c r="B969" s="2"/>
    </row>
    <row r="970" s="1" customFormat="1" customHeight="1" spans="2:2">
      <c r="B970" s="2"/>
    </row>
    <row r="971" s="1" customFormat="1" customHeight="1" spans="2:2">
      <c r="B971" s="2"/>
    </row>
    <row r="972" s="1" customFormat="1" customHeight="1" spans="2:2">
      <c r="B972" s="2"/>
    </row>
    <row r="973" s="1" customFormat="1" customHeight="1" spans="2:2">
      <c r="B973" s="2"/>
    </row>
    <row r="974" s="1" customFormat="1" customHeight="1" spans="2:2">
      <c r="B974" s="2"/>
    </row>
    <row r="975" s="1" customFormat="1" customHeight="1" spans="2:2">
      <c r="B975" s="2"/>
    </row>
    <row r="976" s="1" customFormat="1" customHeight="1" spans="2:2">
      <c r="B976" s="2"/>
    </row>
    <row r="977" s="1" customFormat="1" customHeight="1" spans="2:2">
      <c r="B977" s="2"/>
    </row>
    <row r="978" s="1" customFormat="1" customHeight="1" spans="2:2">
      <c r="B978" s="2"/>
    </row>
    <row r="979" s="1" customFormat="1" customHeight="1" spans="2:2">
      <c r="B979" s="2"/>
    </row>
    <row r="980" s="1" customFormat="1" customHeight="1" spans="2:2">
      <c r="B980" s="2"/>
    </row>
    <row r="981" s="1" customFormat="1" customHeight="1" spans="2:2">
      <c r="B981" s="2"/>
    </row>
    <row r="982" s="1" customFormat="1" customHeight="1" spans="2:2">
      <c r="B982" s="2"/>
    </row>
    <row r="983" s="1" customFormat="1" customHeight="1" spans="2:2">
      <c r="B983" s="2"/>
    </row>
    <row r="984" s="1" customFormat="1" customHeight="1" spans="2:2">
      <c r="B984" s="2"/>
    </row>
    <row r="985" s="1" customFormat="1" customHeight="1" spans="2:2">
      <c r="B985" s="2"/>
    </row>
    <row r="986" s="1" customFormat="1" customHeight="1" spans="2:2">
      <c r="B986" s="2"/>
    </row>
    <row r="987" s="1" customFormat="1" customHeight="1" spans="2:2">
      <c r="B987" s="2"/>
    </row>
    <row r="988" s="1" customFormat="1" customHeight="1" spans="2:2">
      <c r="B988" s="2"/>
    </row>
    <row r="989" s="1" customFormat="1" customHeight="1" spans="2:2">
      <c r="B989" s="2"/>
    </row>
    <row r="990" s="1" customFormat="1" customHeight="1" spans="2:2">
      <c r="B990" s="2"/>
    </row>
    <row r="991" s="1" customFormat="1" customHeight="1" spans="2:2">
      <c r="B991" s="2"/>
    </row>
    <row r="992" s="1" customFormat="1" customHeight="1" spans="2:2">
      <c r="B992" s="2"/>
    </row>
    <row r="993" s="1" customFormat="1" customHeight="1" spans="2:2">
      <c r="B993" s="2"/>
    </row>
    <row r="994" s="1" customFormat="1" customHeight="1" spans="2:2">
      <c r="B994" s="2"/>
    </row>
    <row r="995" s="1" customFormat="1" customHeight="1" spans="2:2">
      <c r="B995" s="2"/>
    </row>
    <row r="996" s="1" customFormat="1" customHeight="1" spans="2:2">
      <c r="B996" s="2"/>
    </row>
    <row r="997" s="1" customFormat="1" customHeight="1" spans="2:2">
      <c r="B997" s="2"/>
    </row>
    <row r="998" s="1" customFormat="1" customHeight="1" spans="2:2">
      <c r="B998" s="2"/>
    </row>
    <row r="999" s="1" customFormat="1" customHeight="1" spans="2:2">
      <c r="B999" s="2"/>
    </row>
    <row r="1000" s="1" customFormat="1" customHeight="1" spans="2:2">
      <c r="B1000" s="2"/>
    </row>
    <row r="1001" s="1" customFormat="1" customHeight="1" spans="2:2">
      <c r="B1001" s="2"/>
    </row>
    <row r="1002" s="1" customFormat="1" customHeight="1" spans="2:2">
      <c r="B1002" s="2"/>
    </row>
    <row r="1003" s="1" customFormat="1" customHeight="1" spans="2:2">
      <c r="B1003" s="2"/>
    </row>
    <row r="1004" s="1" customFormat="1" customHeight="1" spans="2:2">
      <c r="B1004" s="2"/>
    </row>
    <row r="1005" s="1" customFormat="1" customHeight="1" spans="2:2">
      <c r="B1005" s="2"/>
    </row>
    <row r="1006" s="1" customFormat="1" customHeight="1" spans="2:2">
      <c r="B1006" s="2"/>
    </row>
    <row r="1007" s="1" customFormat="1" customHeight="1" spans="2:2">
      <c r="B1007" s="2"/>
    </row>
    <row r="1008" s="1" customFormat="1" customHeight="1" spans="2:2">
      <c r="B1008" s="2"/>
    </row>
    <row r="1009" s="1" customFormat="1" customHeight="1" spans="2:2">
      <c r="B1009" s="2"/>
    </row>
    <row r="1010" s="1" customFormat="1" customHeight="1" spans="2:2">
      <c r="B1010" s="2"/>
    </row>
    <row r="1011" s="1" customFormat="1" customHeight="1" spans="2:2">
      <c r="B1011" s="2"/>
    </row>
    <row r="1012" s="1" customFormat="1" customHeight="1" spans="2:2">
      <c r="B1012" s="2"/>
    </row>
    <row r="1013" s="1" customFormat="1" customHeight="1" spans="2:2">
      <c r="B1013" s="2"/>
    </row>
    <row r="1014" s="1" customFormat="1" customHeight="1" spans="2:2">
      <c r="B1014" s="2"/>
    </row>
    <row r="1015" s="1" customFormat="1" customHeight="1" spans="2:2">
      <c r="B1015" s="2"/>
    </row>
    <row r="1016" s="1" customFormat="1" customHeight="1" spans="2:2">
      <c r="B1016" s="2"/>
    </row>
    <row r="1017" s="1" customFormat="1" customHeight="1" spans="2:2">
      <c r="B1017" s="2"/>
    </row>
    <row r="1018" s="1" customFormat="1" customHeight="1" spans="2:2">
      <c r="B1018" s="2"/>
    </row>
    <row r="1019" s="1" customFormat="1" customHeight="1" spans="2:2">
      <c r="B1019" s="2"/>
    </row>
    <row r="1020" s="1" customFormat="1" customHeight="1" spans="2:2">
      <c r="B1020" s="2"/>
    </row>
    <row r="1021" s="1" customFormat="1" customHeight="1" spans="2:2">
      <c r="B1021" s="2"/>
    </row>
    <row r="1022" s="1" customFormat="1" customHeight="1" spans="2:2">
      <c r="B1022" s="2"/>
    </row>
    <row r="1023" s="1" customFormat="1" customHeight="1" spans="2:2">
      <c r="B1023" s="2"/>
    </row>
    <row r="1024" s="1" customFormat="1" customHeight="1" spans="2:2">
      <c r="B1024" s="2"/>
    </row>
    <row r="1025" s="1" customFormat="1" customHeight="1" spans="2:2">
      <c r="B1025" s="2"/>
    </row>
    <row r="1026" s="1" customFormat="1" customHeight="1" spans="2:2">
      <c r="B1026" s="2"/>
    </row>
    <row r="1027" s="1" customFormat="1" customHeight="1" spans="2:2">
      <c r="B1027" s="2"/>
    </row>
    <row r="1028" s="1" customFormat="1" customHeight="1" spans="2:2">
      <c r="B1028" s="2"/>
    </row>
    <row r="1029" s="1" customFormat="1" customHeight="1" spans="2:2">
      <c r="B1029" s="2"/>
    </row>
    <row r="1030" s="1" customFormat="1" customHeight="1" spans="2:2">
      <c r="B1030" s="2"/>
    </row>
    <row r="1031" s="1" customFormat="1" customHeight="1" spans="2:2">
      <c r="B1031" s="2"/>
    </row>
    <row r="1032" s="1" customFormat="1" customHeight="1" spans="2:2">
      <c r="B1032" s="2"/>
    </row>
    <row r="1033" s="1" customFormat="1" customHeight="1" spans="2:2">
      <c r="B1033" s="2"/>
    </row>
    <row r="1034" s="1" customFormat="1" customHeight="1" spans="2:2">
      <c r="B1034" s="2"/>
    </row>
    <row r="1035" s="1" customFormat="1" customHeight="1" spans="2:2">
      <c r="B1035" s="2"/>
    </row>
    <row r="1036" s="1" customFormat="1" customHeight="1" spans="2:2">
      <c r="B1036" s="2"/>
    </row>
    <row r="1037" s="1" customFormat="1" customHeight="1" spans="2:2">
      <c r="B1037" s="2"/>
    </row>
    <row r="1038" s="1" customFormat="1" customHeight="1" spans="2:2">
      <c r="B1038" s="2"/>
    </row>
    <row r="1039" s="1" customFormat="1" customHeight="1" spans="2:2">
      <c r="B1039" s="2"/>
    </row>
    <row r="1040" s="1" customFormat="1" customHeight="1" spans="2:2">
      <c r="B1040" s="2"/>
    </row>
    <row r="1041" s="1" customFormat="1" customHeight="1" spans="2:2">
      <c r="B1041" s="2"/>
    </row>
    <row r="1042" s="1" customFormat="1" customHeight="1" spans="2:2">
      <c r="B1042" s="2"/>
    </row>
    <row r="1043" s="1" customFormat="1" customHeight="1" spans="2:2">
      <c r="B1043" s="2"/>
    </row>
    <row r="1044" s="1" customFormat="1" customHeight="1" spans="2:2">
      <c r="B1044" s="2"/>
    </row>
    <row r="1045" s="1" customFormat="1" customHeight="1" spans="2:2">
      <c r="B1045" s="2"/>
    </row>
    <row r="1046" s="1" customFormat="1" customHeight="1" spans="2:2">
      <c r="B1046" s="2"/>
    </row>
    <row r="1047" s="1" customFormat="1" customHeight="1" spans="2:2">
      <c r="B1047" s="2"/>
    </row>
    <row r="1048" s="1" customFormat="1" customHeight="1" spans="2:2">
      <c r="B1048" s="2"/>
    </row>
    <row r="1049" s="1" customFormat="1" customHeight="1" spans="2:2">
      <c r="B1049" s="2"/>
    </row>
    <row r="1050" s="1" customFormat="1" customHeight="1" spans="2:2">
      <c r="B1050" s="2"/>
    </row>
    <row r="1051" s="1" customFormat="1" customHeight="1" spans="2:2">
      <c r="B1051" s="2"/>
    </row>
    <row r="1052" s="1" customFormat="1" customHeight="1" spans="2:2">
      <c r="B1052" s="2"/>
    </row>
    <row r="1053" s="1" customFormat="1" customHeight="1" spans="2:2">
      <c r="B1053" s="2"/>
    </row>
    <row r="1054" s="1" customFormat="1" customHeight="1" spans="2:2">
      <c r="B1054" s="2"/>
    </row>
    <row r="1055" s="1" customFormat="1" customHeight="1" spans="2:2">
      <c r="B1055" s="2"/>
    </row>
    <row r="1056" s="1" customFormat="1" customHeight="1" spans="2:2">
      <c r="B1056" s="2"/>
    </row>
    <row r="1057" s="1" customFormat="1" customHeight="1" spans="2:2">
      <c r="B1057" s="2"/>
    </row>
    <row r="1058" s="1" customFormat="1" customHeight="1" spans="2:2">
      <c r="B1058" s="2"/>
    </row>
    <row r="1059" s="1" customFormat="1" customHeight="1" spans="2:2">
      <c r="B1059" s="2"/>
    </row>
    <row r="1060" s="1" customFormat="1" customHeight="1" spans="2:2">
      <c r="B1060" s="2"/>
    </row>
    <row r="1061" s="1" customFormat="1" customHeight="1" spans="2:2">
      <c r="B1061" s="2"/>
    </row>
    <row r="1062" s="1" customFormat="1" customHeight="1" spans="2:2">
      <c r="B1062" s="2"/>
    </row>
    <row r="1063" s="1" customFormat="1" customHeight="1" spans="2:2">
      <c r="B1063" s="2"/>
    </row>
    <row r="1064" s="1" customFormat="1" customHeight="1" spans="2:2">
      <c r="B1064" s="2"/>
    </row>
    <row r="1065" s="1" customFormat="1" customHeight="1" spans="2:2">
      <c r="B1065" s="2"/>
    </row>
    <row r="1066" s="1" customFormat="1" customHeight="1" spans="2:2">
      <c r="B1066" s="2"/>
    </row>
    <row r="1067" s="1" customFormat="1" customHeight="1" spans="2:2">
      <c r="B1067" s="2"/>
    </row>
    <row r="1068" s="1" customFormat="1" customHeight="1" spans="2:2">
      <c r="B1068" s="2"/>
    </row>
    <row r="1069" s="1" customFormat="1" customHeight="1" spans="2:2">
      <c r="B1069" s="2"/>
    </row>
    <row r="1070" s="1" customFormat="1" customHeight="1" spans="2:2">
      <c r="B1070" s="2"/>
    </row>
    <row r="1071" s="1" customFormat="1" customHeight="1" spans="2:2">
      <c r="B1071" s="2"/>
    </row>
    <row r="1072" s="1" customFormat="1" customHeight="1" spans="2:2">
      <c r="B1072" s="2"/>
    </row>
    <row r="1073" s="1" customFormat="1" customHeight="1" spans="2:2">
      <c r="B1073" s="2"/>
    </row>
    <row r="1074" s="1" customFormat="1" customHeight="1" spans="2:2">
      <c r="B1074" s="2"/>
    </row>
    <row r="1075" s="1" customFormat="1" customHeight="1" spans="2:2">
      <c r="B1075" s="2"/>
    </row>
    <row r="1076" s="1" customFormat="1" customHeight="1" spans="2:2">
      <c r="B1076" s="2"/>
    </row>
    <row r="1077" s="1" customFormat="1" customHeight="1" spans="2:2">
      <c r="B1077" s="2"/>
    </row>
    <row r="1078" s="1" customFormat="1" customHeight="1" spans="2:2">
      <c r="B1078" s="2"/>
    </row>
    <row r="1079" s="1" customFormat="1" customHeight="1" spans="2:2">
      <c r="B1079" s="2"/>
    </row>
    <row r="1080" s="1" customFormat="1" customHeight="1" spans="2:2">
      <c r="B1080" s="2"/>
    </row>
    <row r="1081" s="1" customFormat="1" customHeight="1" spans="2:2">
      <c r="B1081" s="2"/>
    </row>
    <row r="1082" s="1" customFormat="1" customHeight="1" spans="2:2">
      <c r="B1082" s="2"/>
    </row>
    <row r="1083" s="1" customFormat="1" customHeight="1" spans="2:2">
      <c r="B1083" s="2"/>
    </row>
    <row r="1084" s="1" customFormat="1" customHeight="1" spans="2:2">
      <c r="B1084" s="2"/>
    </row>
    <row r="1085" s="1" customFormat="1" customHeight="1" spans="2:2">
      <c r="B1085" s="2"/>
    </row>
    <row r="1086" s="1" customFormat="1" customHeight="1" spans="2:2">
      <c r="B1086" s="2"/>
    </row>
    <row r="1087" s="1" customFormat="1" customHeight="1" spans="2:2">
      <c r="B1087" s="2"/>
    </row>
    <row r="1088" s="1" customFormat="1" customHeight="1" spans="2:2">
      <c r="B1088" s="2"/>
    </row>
    <row r="1089" s="1" customFormat="1" customHeight="1" spans="2:2">
      <c r="B1089" s="2"/>
    </row>
    <row r="1090" s="1" customFormat="1" customHeight="1" spans="2:2">
      <c r="B1090" s="2"/>
    </row>
    <row r="1091" s="1" customFormat="1" customHeight="1" spans="2:2">
      <c r="B1091" s="2"/>
    </row>
    <row r="1092" s="1" customFormat="1" customHeight="1" spans="2:2">
      <c r="B1092" s="2"/>
    </row>
    <row r="1093" s="1" customFormat="1" customHeight="1" spans="2:2">
      <c r="B1093" s="2"/>
    </row>
    <row r="1094" s="1" customFormat="1" customHeight="1" spans="2:2">
      <c r="B1094" s="2"/>
    </row>
    <row r="1095" s="1" customFormat="1" customHeight="1" spans="2:2">
      <c r="B1095" s="2"/>
    </row>
    <row r="1096" s="1" customFormat="1" customHeight="1" spans="2:2">
      <c r="B1096" s="2"/>
    </row>
    <row r="1097" s="1" customFormat="1" customHeight="1" spans="2:2">
      <c r="B1097" s="2"/>
    </row>
    <row r="1098" s="1" customFormat="1" customHeight="1" spans="2:2">
      <c r="B1098" s="2"/>
    </row>
    <row r="1099" s="1" customFormat="1" customHeight="1" spans="2:2">
      <c r="B1099" s="2"/>
    </row>
    <row r="1100" s="1" customFormat="1" customHeight="1" spans="2:2">
      <c r="B1100" s="2"/>
    </row>
    <row r="1101" s="1" customFormat="1" customHeight="1" spans="2:2">
      <c r="B1101" s="2"/>
    </row>
    <row r="1102" s="1" customFormat="1" customHeight="1" spans="2:2">
      <c r="B1102" s="2"/>
    </row>
    <row r="1103" s="1" customFormat="1" customHeight="1" spans="2:2">
      <c r="B1103" s="2"/>
    </row>
    <row r="1104" s="1" customFormat="1" customHeight="1" spans="2:2">
      <c r="B1104" s="2"/>
    </row>
    <row r="1105" s="1" customFormat="1" customHeight="1" spans="2:2">
      <c r="B1105" s="2"/>
    </row>
    <row r="1106" s="1" customFormat="1" customHeight="1" spans="2:2">
      <c r="B1106" s="2"/>
    </row>
    <row r="1107" s="1" customFormat="1" customHeight="1" spans="2:2">
      <c r="B1107" s="2"/>
    </row>
    <row r="1108" s="1" customFormat="1" customHeight="1" spans="2:2">
      <c r="B1108" s="2"/>
    </row>
    <row r="1109" s="1" customFormat="1" customHeight="1" spans="2:2">
      <c r="B1109" s="2"/>
    </row>
    <row r="1110" s="1" customFormat="1" customHeight="1" spans="2:2">
      <c r="B1110" s="2"/>
    </row>
    <row r="1111" s="1" customFormat="1" customHeight="1" spans="2:2">
      <c r="B1111" s="2"/>
    </row>
    <row r="1112" s="1" customFormat="1" customHeight="1" spans="2:2">
      <c r="B1112" s="2"/>
    </row>
    <row r="1113" s="1" customFormat="1" customHeight="1" spans="2:2">
      <c r="B1113" s="2"/>
    </row>
    <row r="1114" s="1" customFormat="1" customHeight="1" spans="2:2">
      <c r="B1114" s="2"/>
    </row>
    <row r="1115" s="1" customFormat="1" customHeight="1" spans="2:2">
      <c r="B1115" s="2"/>
    </row>
    <row r="1116" s="1" customFormat="1" customHeight="1" spans="2:2">
      <c r="B1116" s="2"/>
    </row>
    <row r="1117" s="1" customFormat="1" customHeight="1" spans="2:2">
      <c r="B1117" s="2"/>
    </row>
    <row r="1118" s="1" customFormat="1" customHeight="1" spans="2:2">
      <c r="B1118" s="2"/>
    </row>
    <row r="1119" s="1" customFormat="1" customHeight="1" spans="2:2">
      <c r="B1119" s="2"/>
    </row>
    <row r="1120" s="1" customFormat="1" customHeight="1" spans="2:2">
      <c r="B1120" s="2"/>
    </row>
    <row r="1121" s="1" customFormat="1" customHeight="1" spans="2:2">
      <c r="B1121" s="2"/>
    </row>
    <row r="1122" s="1" customFormat="1" customHeight="1" spans="2:2">
      <c r="B1122" s="2"/>
    </row>
    <row r="1123" s="1" customFormat="1" customHeight="1" spans="2:2">
      <c r="B1123" s="2"/>
    </row>
    <row r="1124" s="1" customFormat="1" customHeight="1" spans="2:2">
      <c r="B1124" s="2"/>
    </row>
    <row r="1125" s="1" customFormat="1" customHeight="1" spans="2:2">
      <c r="B1125" s="2"/>
    </row>
    <row r="1126" s="1" customFormat="1" customHeight="1" spans="2:2">
      <c r="B1126" s="2"/>
    </row>
    <row r="1127" s="1" customFormat="1" customHeight="1" spans="2:2">
      <c r="B1127" s="2"/>
    </row>
    <row r="1128" s="1" customFormat="1" customHeight="1" spans="2:2">
      <c r="B1128" s="2"/>
    </row>
    <row r="1129" s="1" customFormat="1" customHeight="1" spans="2:2">
      <c r="B1129" s="2"/>
    </row>
    <row r="1130" s="1" customFormat="1" customHeight="1" spans="2:2">
      <c r="B1130" s="2"/>
    </row>
    <row r="1131" s="1" customFormat="1" customHeight="1" spans="2:2">
      <c r="B1131" s="2"/>
    </row>
    <row r="1132" s="1" customFormat="1" customHeight="1" spans="2:2">
      <c r="B1132" s="2"/>
    </row>
    <row r="1133" s="1" customFormat="1" customHeight="1" spans="2:2">
      <c r="B1133" s="2"/>
    </row>
    <row r="1134" s="1" customFormat="1" customHeight="1" spans="2:2">
      <c r="B1134" s="2"/>
    </row>
    <row r="1135" s="1" customFormat="1" customHeight="1" spans="2:2">
      <c r="B1135" s="2"/>
    </row>
    <row r="1136" s="1" customFormat="1" customHeight="1" spans="2:2">
      <c r="B1136" s="2"/>
    </row>
    <row r="1137" s="1" customFormat="1" customHeight="1" spans="2:2">
      <c r="B1137" s="2"/>
    </row>
    <row r="1138" s="1" customFormat="1" customHeight="1" spans="2:2">
      <c r="B1138" s="2"/>
    </row>
    <row r="1139" s="1" customFormat="1" customHeight="1" spans="2:2">
      <c r="B1139" s="2"/>
    </row>
    <row r="1140" s="1" customFormat="1" customHeight="1" spans="2:2">
      <c r="B1140" s="2"/>
    </row>
    <row r="1141" s="1" customFormat="1" customHeight="1" spans="2:2">
      <c r="B1141" s="2"/>
    </row>
    <row r="1142" s="1" customFormat="1" customHeight="1" spans="2:2">
      <c r="B1142" s="2"/>
    </row>
    <row r="1143" s="1" customFormat="1" customHeight="1" spans="2:2">
      <c r="B1143" s="2"/>
    </row>
    <row r="1144" s="1" customFormat="1" customHeight="1" spans="2:2">
      <c r="B1144" s="2"/>
    </row>
    <row r="1145" s="1" customFormat="1" customHeight="1" spans="2:2">
      <c r="B1145" s="2"/>
    </row>
    <row r="1146" s="1" customFormat="1" customHeight="1" spans="2:2">
      <c r="B1146" s="2"/>
    </row>
    <row r="1147" s="1" customFormat="1" customHeight="1" spans="2:2">
      <c r="B1147" s="2"/>
    </row>
    <row r="1148" s="1" customFormat="1" customHeight="1" spans="2:2">
      <c r="B1148" s="2"/>
    </row>
    <row r="1149" s="1" customFormat="1" customHeight="1" spans="2:2">
      <c r="B1149" s="2"/>
    </row>
    <row r="1150" s="1" customFormat="1" customHeight="1" spans="2:2">
      <c r="B1150" s="2"/>
    </row>
    <row r="1151" s="1" customFormat="1" customHeight="1" spans="2:2">
      <c r="B1151" s="2"/>
    </row>
    <row r="1152" s="1" customFormat="1" customHeight="1" spans="2:2">
      <c r="B1152" s="2"/>
    </row>
    <row r="1153" s="1" customFormat="1" customHeight="1" spans="2:2">
      <c r="B1153" s="2"/>
    </row>
    <row r="1154" s="1" customFormat="1" customHeight="1" spans="2:2">
      <c r="B1154" s="2"/>
    </row>
    <row r="1155" s="1" customFormat="1" customHeight="1" spans="2:2">
      <c r="B1155" s="2"/>
    </row>
    <row r="1156" s="1" customFormat="1" customHeight="1" spans="2:2">
      <c r="B1156" s="2"/>
    </row>
    <row r="1157" s="1" customFormat="1" customHeight="1" spans="2:2">
      <c r="B1157" s="2"/>
    </row>
    <row r="1158" s="1" customFormat="1" customHeight="1" spans="2:2">
      <c r="B1158" s="2"/>
    </row>
    <row r="1159" s="1" customFormat="1" customHeight="1" spans="2:2">
      <c r="B1159" s="2"/>
    </row>
    <row r="1160" s="1" customFormat="1" customHeight="1" spans="2:2">
      <c r="B1160" s="2"/>
    </row>
    <row r="1161" s="1" customFormat="1" customHeight="1" spans="2:2">
      <c r="B1161" s="2"/>
    </row>
    <row r="1162" s="1" customFormat="1" customHeight="1" spans="2:2">
      <c r="B1162" s="2"/>
    </row>
    <row r="1163" s="1" customFormat="1" customHeight="1" spans="2:2">
      <c r="B1163" s="2"/>
    </row>
    <row r="1164" s="1" customFormat="1" customHeight="1" spans="2:2">
      <c r="B1164" s="2"/>
    </row>
    <row r="1165" s="1" customFormat="1" customHeight="1" spans="2:2">
      <c r="B1165" s="2"/>
    </row>
    <row r="1166" s="1" customFormat="1" customHeight="1" spans="2:2">
      <c r="B1166" s="2"/>
    </row>
    <row r="1167" s="1" customFormat="1" customHeight="1" spans="2:2">
      <c r="B1167" s="2"/>
    </row>
    <row r="1168" s="1" customFormat="1" customHeight="1" spans="2:2">
      <c r="B1168" s="2"/>
    </row>
    <row r="1169" s="1" customFormat="1" customHeight="1" spans="2:2">
      <c r="B1169" s="2"/>
    </row>
    <row r="1170" s="1" customFormat="1" customHeight="1" spans="2:2">
      <c r="B1170" s="2"/>
    </row>
    <row r="1171" s="1" customFormat="1" customHeight="1" spans="2:2">
      <c r="B1171" s="2"/>
    </row>
    <row r="1172" s="1" customFormat="1" customHeight="1" spans="2:2">
      <c r="B1172" s="2"/>
    </row>
    <row r="1173" s="1" customFormat="1" customHeight="1" spans="2:2">
      <c r="B1173" s="2"/>
    </row>
    <row r="1174" s="1" customFormat="1" customHeight="1" spans="2:2">
      <c r="B1174" s="2"/>
    </row>
    <row r="1175" s="1" customFormat="1" customHeight="1" spans="2:2">
      <c r="B1175" s="2"/>
    </row>
    <row r="1176" s="1" customFormat="1" customHeight="1" spans="2:2">
      <c r="B1176" s="2"/>
    </row>
    <row r="1177" s="1" customFormat="1" customHeight="1" spans="2:2">
      <c r="B1177" s="2"/>
    </row>
    <row r="1178" s="1" customFormat="1" customHeight="1" spans="2:2">
      <c r="B1178" s="2"/>
    </row>
    <row r="1179" s="1" customFormat="1" customHeight="1" spans="2:2">
      <c r="B1179" s="2"/>
    </row>
    <row r="1180" s="1" customFormat="1" customHeight="1" spans="2:2">
      <c r="B1180" s="2"/>
    </row>
    <row r="1181" s="1" customFormat="1" customHeight="1" spans="2:2">
      <c r="B1181" s="2"/>
    </row>
    <row r="1182" s="1" customFormat="1" customHeight="1" spans="2:2">
      <c r="B1182" s="2"/>
    </row>
    <row r="1183" s="1" customFormat="1" customHeight="1" spans="2:2">
      <c r="B1183" s="2"/>
    </row>
    <row r="1184" s="1" customFormat="1" customHeight="1" spans="2:2">
      <c r="B1184" s="2"/>
    </row>
    <row r="1185" s="1" customFormat="1" customHeight="1" spans="2:2">
      <c r="B1185" s="2"/>
    </row>
    <row r="1186" s="1" customFormat="1" customHeight="1" spans="2:2">
      <c r="B1186" s="2"/>
    </row>
    <row r="1187" s="1" customFormat="1" customHeight="1" spans="2:2">
      <c r="B1187" s="2"/>
    </row>
    <row r="1188" s="1" customFormat="1" customHeight="1" spans="2:2">
      <c r="B1188" s="2"/>
    </row>
    <row r="1189" s="1" customFormat="1" customHeight="1" spans="2:2">
      <c r="B1189" s="2"/>
    </row>
    <row r="1190" s="1" customFormat="1" customHeight="1" spans="2:2">
      <c r="B1190" s="2"/>
    </row>
    <row r="1191" s="1" customFormat="1" customHeight="1" spans="2:2">
      <c r="B1191" s="2"/>
    </row>
    <row r="1192" s="1" customFormat="1" customHeight="1" spans="2:2">
      <c r="B1192" s="2"/>
    </row>
    <row r="1193" s="1" customFormat="1" customHeight="1" spans="2:2">
      <c r="B1193" s="2"/>
    </row>
    <row r="1194" s="1" customFormat="1" customHeight="1" spans="2:2">
      <c r="B1194" s="2"/>
    </row>
    <row r="1195" s="1" customFormat="1" customHeight="1" spans="2:2">
      <c r="B1195" s="2"/>
    </row>
    <row r="1196" s="1" customFormat="1" customHeight="1" spans="2:2">
      <c r="B1196" s="2"/>
    </row>
    <row r="1197" s="1" customFormat="1" customHeight="1" spans="2:2">
      <c r="B1197" s="2"/>
    </row>
    <row r="1198" s="1" customFormat="1" customHeight="1" spans="2:2">
      <c r="B1198" s="2"/>
    </row>
    <row r="1199" s="1" customFormat="1" customHeight="1" spans="2:2">
      <c r="B1199" s="2"/>
    </row>
    <row r="1200" s="1" customFormat="1" customHeight="1" spans="2:2">
      <c r="B1200" s="2"/>
    </row>
    <row r="1201" s="1" customFormat="1" customHeight="1" spans="2:2">
      <c r="B1201" s="2"/>
    </row>
    <row r="1202" s="1" customFormat="1" customHeight="1" spans="2:2">
      <c r="B1202" s="2"/>
    </row>
    <row r="1203" s="1" customFormat="1" customHeight="1" spans="2:2">
      <c r="B1203" s="2"/>
    </row>
    <row r="1204" s="1" customFormat="1" customHeight="1" spans="2:2">
      <c r="B1204" s="2"/>
    </row>
    <row r="1205" s="1" customFormat="1" customHeight="1" spans="2:2">
      <c r="B1205" s="2"/>
    </row>
    <row r="1206" s="1" customFormat="1" customHeight="1" spans="2:2">
      <c r="B1206" s="2"/>
    </row>
    <row r="1207" s="1" customFormat="1" customHeight="1" spans="2:2">
      <c r="B1207" s="2"/>
    </row>
    <row r="1208" s="1" customFormat="1" customHeight="1" spans="2:2">
      <c r="B1208" s="2"/>
    </row>
    <row r="1209" s="1" customFormat="1" customHeight="1" spans="2:2">
      <c r="B1209" s="2"/>
    </row>
    <row r="1210" s="1" customFormat="1" customHeight="1" spans="2:2">
      <c r="B1210" s="2"/>
    </row>
    <row r="1211" s="1" customFormat="1" customHeight="1" spans="2:2">
      <c r="B1211" s="2"/>
    </row>
    <row r="1212" s="1" customFormat="1" customHeight="1" spans="2:2">
      <c r="B1212" s="2"/>
    </row>
    <row r="1213" s="1" customFormat="1" customHeight="1" spans="2:2">
      <c r="B1213" s="2"/>
    </row>
    <row r="1214" s="1" customFormat="1" customHeight="1" spans="2:2">
      <c r="B1214" s="2"/>
    </row>
    <row r="1215" s="1" customFormat="1" customHeight="1" spans="2:2">
      <c r="B1215" s="2"/>
    </row>
    <row r="1216" s="1" customFormat="1" customHeight="1" spans="2:2">
      <c r="B1216" s="2"/>
    </row>
    <row r="1217" s="1" customFormat="1" customHeight="1" spans="2:2">
      <c r="B1217" s="2"/>
    </row>
    <row r="1218" s="1" customFormat="1" customHeight="1" spans="2:2">
      <c r="B1218" s="2"/>
    </row>
    <row r="1219" s="1" customFormat="1" customHeight="1" spans="2:2">
      <c r="B1219" s="2"/>
    </row>
    <row r="1220" s="1" customFormat="1" customHeight="1" spans="2:2">
      <c r="B1220" s="2"/>
    </row>
    <row r="1221" s="1" customFormat="1" customHeight="1" spans="2:2">
      <c r="B1221" s="2"/>
    </row>
    <row r="1222" s="1" customFormat="1" customHeight="1" spans="2:2">
      <c r="B1222" s="2"/>
    </row>
    <row r="1223" s="1" customFormat="1" customHeight="1" spans="2:2">
      <c r="B1223" s="2"/>
    </row>
    <row r="1224" s="1" customFormat="1" customHeight="1" spans="2:2">
      <c r="B1224" s="2"/>
    </row>
    <row r="1225" s="1" customFormat="1" customHeight="1" spans="2:2">
      <c r="B1225" s="2"/>
    </row>
    <row r="1226" s="1" customFormat="1" customHeight="1" spans="2:2">
      <c r="B1226" s="2"/>
    </row>
    <row r="1227" s="1" customFormat="1" customHeight="1" spans="2:2">
      <c r="B1227" s="2"/>
    </row>
    <row r="1228" s="1" customFormat="1" customHeight="1" spans="2:2">
      <c r="B1228" s="2"/>
    </row>
    <row r="1229" s="1" customFormat="1" customHeight="1" spans="2:2">
      <c r="B1229" s="2"/>
    </row>
    <row r="1230" s="1" customFormat="1" customHeight="1" spans="2:2">
      <c r="B1230" s="2"/>
    </row>
    <row r="1231" s="1" customFormat="1" customHeight="1" spans="2:2">
      <c r="B1231" s="2"/>
    </row>
    <row r="1232" s="1" customFormat="1" customHeight="1" spans="2:2">
      <c r="B1232" s="2"/>
    </row>
    <row r="1233" s="1" customFormat="1" customHeight="1" spans="2:2">
      <c r="B1233" s="2"/>
    </row>
    <row r="1234" s="1" customFormat="1" customHeight="1" spans="2:2">
      <c r="B1234" s="2"/>
    </row>
    <row r="1235" s="1" customFormat="1" customHeight="1" spans="2:2">
      <c r="B1235" s="2"/>
    </row>
    <row r="1236" s="1" customFormat="1" customHeight="1" spans="2:2">
      <c r="B1236" s="2"/>
    </row>
    <row r="1237" s="1" customFormat="1" customHeight="1" spans="2:2">
      <c r="B1237" s="2"/>
    </row>
    <row r="1238" s="1" customFormat="1" customHeight="1" spans="2:2">
      <c r="B1238" s="2"/>
    </row>
    <row r="1239" s="1" customFormat="1" customHeight="1" spans="2:2">
      <c r="B1239" s="2"/>
    </row>
    <row r="1240" s="1" customFormat="1" customHeight="1" spans="2:2">
      <c r="B1240" s="2"/>
    </row>
    <row r="1241" s="1" customFormat="1" customHeight="1" spans="2:2">
      <c r="B1241" s="2"/>
    </row>
    <row r="1242" s="1" customFormat="1" customHeight="1" spans="2:2">
      <c r="B1242" s="2"/>
    </row>
    <row r="1243" s="1" customFormat="1" customHeight="1" spans="2:2">
      <c r="B1243" s="2"/>
    </row>
    <row r="1244" s="1" customFormat="1" customHeight="1" spans="2:2">
      <c r="B1244" s="2"/>
    </row>
    <row r="1245" s="1" customFormat="1" customHeight="1" spans="2:2">
      <c r="B1245" s="2"/>
    </row>
    <row r="1246" s="1" customFormat="1" customHeight="1" spans="2:2">
      <c r="B1246" s="2"/>
    </row>
    <row r="1247" s="1" customFormat="1" customHeight="1" spans="2:2">
      <c r="B1247" s="2"/>
    </row>
    <row r="1248" s="1" customFormat="1" customHeight="1" spans="2:2">
      <c r="B1248" s="2"/>
    </row>
    <row r="1249" s="1" customFormat="1" customHeight="1" spans="2:2">
      <c r="B1249" s="2"/>
    </row>
    <row r="1250" s="1" customFormat="1" customHeight="1" spans="2:2">
      <c r="B1250" s="2"/>
    </row>
    <row r="1251" s="1" customFormat="1" customHeight="1" spans="2:2">
      <c r="B1251" s="2"/>
    </row>
    <row r="1252" s="1" customFormat="1" customHeight="1" spans="2:2">
      <c r="B1252" s="2"/>
    </row>
    <row r="1253" s="1" customFormat="1" customHeight="1" spans="2:2">
      <c r="B1253" s="2"/>
    </row>
    <row r="1254" s="1" customFormat="1" customHeight="1" spans="2:2">
      <c r="B1254" s="2"/>
    </row>
    <row r="1255" s="1" customFormat="1" customHeight="1" spans="2:2">
      <c r="B1255" s="2"/>
    </row>
    <row r="1256" s="1" customFormat="1" customHeight="1" spans="2:2">
      <c r="B1256" s="2"/>
    </row>
    <row r="1257" s="1" customFormat="1" customHeight="1" spans="2:2">
      <c r="B1257" s="2"/>
    </row>
    <row r="1258" s="1" customFormat="1" customHeight="1" spans="2:2">
      <c r="B1258" s="2"/>
    </row>
    <row r="1259" s="1" customFormat="1" customHeight="1" spans="2:2">
      <c r="B1259" s="2"/>
    </row>
    <row r="1260" s="1" customFormat="1" customHeight="1" spans="2:2">
      <c r="B1260" s="2"/>
    </row>
    <row r="1261" s="1" customFormat="1" customHeight="1" spans="2:2">
      <c r="B1261" s="2"/>
    </row>
    <row r="1262" s="1" customFormat="1" customHeight="1" spans="2:2">
      <c r="B1262" s="2"/>
    </row>
    <row r="1263" s="1" customFormat="1" customHeight="1" spans="2:2">
      <c r="B1263" s="2"/>
    </row>
    <row r="1264" s="1" customFormat="1" customHeight="1" spans="2:2">
      <c r="B1264" s="2"/>
    </row>
    <row r="1265" s="1" customFormat="1" customHeight="1" spans="2:2">
      <c r="B1265" s="2"/>
    </row>
    <row r="1266" s="1" customFormat="1" customHeight="1" spans="2:2">
      <c r="B1266" s="2"/>
    </row>
    <row r="1267" s="1" customFormat="1" customHeight="1" spans="2:2">
      <c r="B1267" s="2"/>
    </row>
    <row r="1268" s="1" customFormat="1" customHeight="1" spans="2:2">
      <c r="B1268" s="2"/>
    </row>
    <row r="1269" s="1" customFormat="1" customHeight="1" spans="2:2">
      <c r="B1269" s="2"/>
    </row>
    <row r="1270" s="1" customFormat="1" customHeight="1" spans="2:2">
      <c r="B1270" s="2"/>
    </row>
    <row r="1271" s="1" customFormat="1" customHeight="1" spans="2:2">
      <c r="B1271" s="2"/>
    </row>
    <row r="1272" s="1" customFormat="1" customHeight="1" spans="2:2">
      <c r="B1272" s="2"/>
    </row>
    <row r="1273" s="1" customFormat="1" customHeight="1" spans="2:2">
      <c r="B1273" s="2"/>
    </row>
    <row r="1274" s="1" customFormat="1" customHeight="1" spans="2:2">
      <c r="B1274" s="2"/>
    </row>
    <row r="1275" s="1" customFormat="1" customHeight="1" spans="2:2">
      <c r="B1275" s="2"/>
    </row>
    <row r="1276" s="1" customFormat="1" customHeight="1" spans="2:2">
      <c r="B1276" s="2"/>
    </row>
    <row r="1277" s="1" customFormat="1" customHeight="1" spans="2:2">
      <c r="B1277" s="2"/>
    </row>
    <row r="1278" s="1" customFormat="1" customHeight="1" spans="2:2">
      <c r="B1278" s="2"/>
    </row>
    <row r="1279" s="1" customFormat="1" customHeight="1" spans="2:2">
      <c r="B1279" s="2"/>
    </row>
    <row r="1280" s="1" customFormat="1" customHeight="1" spans="2:2">
      <c r="B1280" s="2"/>
    </row>
    <row r="1281" s="1" customFormat="1" customHeight="1" spans="2:2">
      <c r="B1281" s="2"/>
    </row>
    <row r="1282" s="1" customFormat="1" customHeight="1" spans="2:2">
      <c r="B1282" s="2"/>
    </row>
    <row r="1283" s="1" customFormat="1" customHeight="1" spans="2:2">
      <c r="B1283" s="2"/>
    </row>
    <row r="1284" s="1" customFormat="1" customHeight="1" spans="2:2">
      <c r="B1284" s="2"/>
    </row>
    <row r="1285" s="1" customFormat="1" customHeight="1" spans="2:2">
      <c r="B1285" s="2"/>
    </row>
    <row r="1286" s="1" customFormat="1" customHeight="1" spans="2:2">
      <c r="B1286" s="2"/>
    </row>
    <row r="1287" s="1" customFormat="1" customHeight="1" spans="2:2">
      <c r="B1287" s="2"/>
    </row>
    <row r="1288" s="1" customFormat="1" customHeight="1" spans="2:2">
      <c r="B1288" s="2"/>
    </row>
    <row r="1289" s="1" customFormat="1" customHeight="1" spans="2:2">
      <c r="B1289" s="2"/>
    </row>
    <row r="1290" s="1" customFormat="1" customHeight="1" spans="2:2">
      <c r="B1290" s="2"/>
    </row>
    <row r="1291" s="1" customFormat="1" customHeight="1" spans="2:2">
      <c r="B1291" s="2"/>
    </row>
    <row r="1292" s="1" customFormat="1" customHeight="1" spans="2:2">
      <c r="B1292" s="2"/>
    </row>
    <row r="1293" s="1" customFormat="1" customHeight="1" spans="2:2">
      <c r="B1293" s="2"/>
    </row>
    <row r="1294" s="1" customFormat="1" customHeight="1" spans="2:2">
      <c r="B1294" s="2"/>
    </row>
    <row r="1295" s="1" customFormat="1" customHeight="1" spans="2:2">
      <c r="B1295" s="2"/>
    </row>
    <row r="1296" s="1" customFormat="1" customHeight="1" spans="2:2">
      <c r="B1296" s="2"/>
    </row>
    <row r="1297" s="1" customFormat="1" customHeight="1" spans="2:2">
      <c r="B1297" s="2"/>
    </row>
    <row r="1298" s="1" customFormat="1" customHeight="1" spans="2:2">
      <c r="B1298" s="2"/>
    </row>
    <row r="1299" s="1" customFormat="1" customHeight="1" spans="2:2">
      <c r="B1299" s="2"/>
    </row>
    <row r="1300" s="1" customFormat="1" customHeight="1" spans="2:2">
      <c r="B1300" s="2"/>
    </row>
    <row r="1301" s="1" customFormat="1" customHeight="1" spans="2:2">
      <c r="B1301" s="2"/>
    </row>
    <row r="1302" s="1" customFormat="1" customHeight="1" spans="2:2">
      <c r="B1302" s="2"/>
    </row>
    <row r="1303" s="1" customFormat="1" customHeight="1" spans="2:2">
      <c r="B1303" s="2"/>
    </row>
    <row r="1304" s="1" customFormat="1" customHeight="1" spans="2:2">
      <c r="B1304" s="2"/>
    </row>
    <row r="1305" s="1" customFormat="1" customHeight="1" spans="2:2">
      <c r="B1305" s="2"/>
    </row>
    <row r="1306" s="1" customFormat="1" customHeight="1" spans="2:2">
      <c r="B1306" s="2"/>
    </row>
    <row r="1307" s="1" customFormat="1" customHeight="1" spans="2:2">
      <c r="B1307" s="2"/>
    </row>
    <row r="1308" s="1" customFormat="1" customHeight="1" spans="2:2">
      <c r="B1308" s="2"/>
    </row>
    <row r="1309" s="1" customFormat="1" customHeight="1" spans="2:2">
      <c r="B1309" s="2"/>
    </row>
    <row r="1310" s="1" customFormat="1" customHeight="1" spans="2:2">
      <c r="B1310" s="2"/>
    </row>
    <row r="1311" s="1" customFormat="1" customHeight="1" spans="2:2">
      <c r="B1311" s="2"/>
    </row>
    <row r="1312" s="1" customFormat="1" customHeight="1" spans="2:2">
      <c r="B1312" s="2"/>
    </row>
    <row r="1313" s="1" customFormat="1" customHeight="1" spans="2:2">
      <c r="B1313" s="2"/>
    </row>
    <row r="1314" s="1" customFormat="1" customHeight="1" spans="2:2">
      <c r="B1314" s="2"/>
    </row>
    <row r="1315" s="1" customFormat="1" customHeight="1" spans="2:2">
      <c r="B1315" s="2"/>
    </row>
    <row r="1316" s="1" customFormat="1" customHeight="1" spans="2:2">
      <c r="B1316" s="2"/>
    </row>
    <row r="1317" s="1" customFormat="1" customHeight="1" spans="2:2">
      <c r="B1317" s="2"/>
    </row>
    <row r="1318" s="1" customFormat="1" customHeight="1" spans="2:2">
      <c r="B1318" s="2"/>
    </row>
    <row r="1319" s="1" customFormat="1" customHeight="1" spans="2:2">
      <c r="B1319" s="2"/>
    </row>
    <row r="1320" s="1" customFormat="1" customHeight="1" spans="2:2">
      <c r="B1320" s="2"/>
    </row>
    <row r="1321" s="1" customFormat="1" customHeight="1" spans="2:2">
      <c r="B1321" s="2"/>
    </row>
    <row r="1322" s="1" customFormat="1" customHeight="1" spans="2:2">
      <c r="B1322" s="2"/>
    </row>
    <row r="1323" s="1" customFormat="1" customHeight="1" spans="2:2">
      <c r="B1323" s="2"/>
    </row>
    <row r="1324" s="1" customFormat="1" customHeight="1" spans="2:2">
      <c r="B1324" s="2"/>
    </row>
    <row r="1325" s="1" customFormat="1" customHeight="1" spans="2:2">
      <c r="B1325" s="2"/>
    </row>
    <row r="1326" s="1" customFormat="1" customHeight="1" spans="2:2">
      <c r="B1326" s="2"/>
    </row>
    <row r="1327" s="1" customFormat="1" customHeight="1" spans="2:2">
      <c r="B1327" s="2"/>
    </row>
    <row r="1328" s="1" customFormat="1" customHeight="1" spans="2:2">
      <c r="B1328" s="2"/>
    </row>
    <row r="1329" s="1" customFormat="1" customHeight="1" spans="2:2">
      <c r="B1329" s="2"/>
    </row>
    <row r="1330" s="1" customFormat="1" customHeight="1" spans="2:2">
      <c r="B1330" s="2"/>
    </row>
    <row r="1331" s="1" customFormat="1" customHeight="1" spans="2:2">
      <c r="B1331" s="2"/>
    </row>
    <row r="1332" s="1" customFormat="1" customHeight="1" spans="2:2">
      <c r="B1332" s="2"/>
    </row>
    <row r="1333" s="1" customFormat="1" customHeight="1" spans="2:2">
      <c r="B1333" s="2"/>
    </row>
    <row r="1334" s="1" customFormat="1" customHeight="1" spans="2:2">
      <c r="B1334" s="2"/>
    </row>
    <row r="1335" s="1" customFormat="1" customHeight="1" spans="2:2">
      <c r="B1335" s="2"/>
    </row>
    <row r="1336" s="1" customFormat="1" customHeight="1" spans="2:2">
      <c r="B1336" s="2"/>
    </row>
    <row r="1337" s="1" customFormat="1" customHeight="1" spans="2:2">
      <c r="B1337" s="2"/>
    </row>
    <row r="1338" s="1" customFormat="1" customHeight="1" spans="2:2">
      <c r="B1338" s="2"/>
    </row>
    <row r="1339" s="1" customFormat="1" customHeight="1" spans="2:2">
      <c r="B1339" s="2"/>
    </row>
    <row r="1340" s="1" customFormat="1" customHeight="1" spans="2:2">
      <c r="B1340" s="2"/>
    </row>
    <row r="1341" s="1" customFormat="1" customHeight="1" spans="2:2">
      <c r="B1341" s="2"/>
    </row>
    <row r="1342" s="1" customFormat="1" customHeight="1" spans="2:2">
      <c r="B1342" s="2"/>
    </row>
    <row r="1343" s="1" customFormat="1" customHeight="1" spans="2:2">
      <c r="B1343" s="2"/>
    </row>
    <row r="1344" s="1" customFormat="1" customHeight="1" spans="2:2">
      <c r="B1344" s="2"/>
    </row>
    <row r="1345" s="1" customFormat="1" customHeight="1" spans="2:2">
      <c r="B1345" s="2"/>
    </row>
    <row r="1346" s="1" customFormat="1" customHeight="1" spans="2:2">
      <c r="B1346" s="2"/>
    </row>
    <row r="1347" s="1" customFormat="1" customHeight="1" spans="2:2">
      <c r="B1347" s="2"/>
    </row>
    <row r="1348" s="1" customFormat="1" customHeight="1" spans="2:2">
      <c r="B1348" s="2"/>
    </row>
    <row r="1349" s="1" customFormat="1" customHeight="1" spans="2:2">
      <c r="B1349" s="2"/>
    </row>
    <row r="1350" s="1" customFormat="1" customHeight="1" spans="2:2">
      <c r="B1350" s="2"/>
    </row>
    <row r="1351" s="1" customFormat="1" customHeight="1" spans="2:2">
      <c r="B1351" s="2"/>
    </row>
    <row r="1352" s="1" customFormat="1" customHeight="1" spans="2:2">
      <c r="B1352" s="2"/>
    </row>
    <row r="1353" s="1" customFormat="1" customHeight="1" spans="2:2">
      <c r="B1353" s="2"/>
    </row>
    <row r="1354" s="1" customFormat="1" customHeight="1" spans="2:2">
      <c r="B1354" s="2"/>
    </row>
    <row r="1355" s="1" customFormat="1" customHeight="1" spans="2:2">
      <c r="B1355" s="2"/>
    </row>
    <row r="1356" s="1" customFormat="1" customHeight="1" spans="2:2">
      <c r="B1356" s="2"/>
    </row>
    <row r="1357" s="1" customFormat="1" customHeight="1" spans="2:2">
      <c r="B1357" s="2"/>
    </row>
    <row r="1358" s="1" customFormat="1" customHeight="1" spans="2:2">
      <c r="B1358" s="2"/>
    </row>
    <row r="1359" s="1" customFormat="1" customHeight="1" spans="2:2">
      <c r="B1359" s="2"/>
    </row>
    <row r="1360" s="1" customFormat="1" customHeight="1" spans="2:2">
      <c r="B1360" s="2"/>
    </row>
    <row r="1361" s="1" customFormat="1" customHeight="1" spans="2:2">
      <c r="B1361" s="2"/>
    </row>
    <row r="1362" s="1" customFormat="1" customHeight="1" spans="2:2">
      <c r="B1362" s="2"/>
    </row>
    <row r="1363" s="1" customFormat="1" customHeight="1" spans="2:2">
      <c r="B1363" s="2"/>
    </row>
    <row r="1364" s="1" customFormat="1" customHeight="1" spans="2:2">
      <c r="B1364" s="2"/>
    </row>
    <row r="1365" s="1" customFormat="1" customHeight="1" spans="2:2">
      <c r="B1365" s="2"/>
    </row>
    <row r="1366" s="1" customFormat="1" customHeight="1" spans="2:2">
      <c r="B1366" s="2"/>
    </row>
    <row r="1367" s="1" customFormat="1" customHeight="1" spans="2:2">
      <c r="B1367" s="2"/>
    </row>
    <row r="1368" s="1" customFormat="1" customHeight="1" spans="2:2">
      <c r="B1368" s="2"/>
    </row>
    <row r="1369" s="1" customFormat="1" customHeight="1" spans="2:2">
      <c r="B1369" s="2"/>
    </row>
    <row r="1370" s="1" customFormat="1" customHeight="1" spans="2:2">
      <c r="B1370" s="2"/>
    </row>
    <row r="1371" s="1" customFormat="1" customHeight="1" spans="2:2">
      <c r="B1371" s="2"/>
    </row>
    <row r="1372" s="1" customFormat="1" customHeight="1" spans="2:2">
      <c r="B1372" s="2"/>
    </row>
    <row r="1373" s="1" customFormat="1" customHeight="1" spans="2:2">
      <c r="B1373" s="2"/>
    </row>
    <row r="1374" s="1" customFormat="1" customHeight="1" spans="2:2">
      <c r="B1374" s="2"/>
    </row>
    <row r="1375" s="1" customFormat="1" customHeight="1" spans="2:2">
      <c r="B1375" s="2"/>
    </row>
    <row r="1376" s="1" customFormat="1" customHeight="1" spans="2:2">
      <c r="B1376" s="2"/>
    </row>
    <row r="1377" s="1" customFormat="1" customHeight="1" spans="2:2">
      <c r="B1377" s="2"/>
    </row>
    <row r="1378" s="1" customFormat="1" customHeight="1" spans="2:2">
      <c r="B1378" s="2"/>
    </row>
    <row r="1379" s="1" customFormat="1" customHeight="1" spans="2:2">
      <c r="B1379" s="2"/>
    </row>
    <row r="1380" s="1" customFormat="1" customHeight="1" spans="2:2">
      <c r="B1380" s="2"/>
    </row>
    <row r="1381" s="1" customFormat="1" customHeight="1" spans="2:2">
      <c r="B1381" s="2"/>
    </row>
    <row r="1382" s="1" customFormat="1" customHeight="1" spans="2:2">
      <c r="B1382" s="2"/>
    </row>
    <row r="1383" s="1" customFormat="1" customHeight="1" spans="2:2">
      <c r="B1383" s="2"/>
    </row>
    <row r="1384" s="1" customFormat="1" customHeight="1" spans="2:2">
      <c r="B1384" s="2"/>
    </row>
    <row r="1385" s="1" customFormat="1" customHeight="1" spans="2:2">
      <c r="B1385" s="2"/>
    </row>
    <row r="1386" s="1" customFormat="1" customHeight="1" spans="2:2">
      <c r="B1386" s="2"/>
    </row>
    <row r="1387" s="1" customFormat="1" customHeight="1" spans="2:2">
      <c r="B1387" s="2"/>
    </row>
    <row r="1388" s="1" customFormat="1" customHeight="1" spans="2:2">
      <c r="B1388" s="2"/>
    </row>
    <row r="1389" s="1" customFormat="1" customHeight="1" spans="2:2">
      <c r="B1389" s="2"/>
    </row>
    <row r="1390" s="1" customFormat="1" customHeight="1" spans="2:2">
      <c r="B1390" s="2"/>
    </row>
    <row r="1391" s="1" customFormat="1" customHeight="1" spans="2:2">
      <c r="B1391" s="2"/>
    </row>
    <row r="1392" s="1" customFormat="1" customHeight="1" spans="2:2">
      <c r="B1392" s="2"/>
    </row>
    <row r="1393" s="1" customFormat="1" customHeight="1" spans="2:2">
      <c r="B1393" s="2"/>
    </row>
    <row r="1394" s="1" customFormat="1" customHeight="1" spans="2:2">
      <c r="B1394" s="2"/>
    </row>
    <row r="1395" s="1" customFormat="1" customHeight="1" spans="2:2">
      <c r="B1395" s="2"/>
    </row>
    <row r="1396" s="1" customFormat="1" customHeight="1" spans="2:2">
      <c r="B1396" s="2"/>
    </row>
    <row r="1397" s="1" customFormat="1" customHeight="1" spans="2:2">
      <c r="B1397" s="2"/>
    </row>
    <row r="1398" s="1" customFormat="1" customHeight="1" spans="2:2">
      <c r="B1398" s="2"/>
    </row>
    <row r="1399" s="1" customFormat="1" customHeight="1" spans="2:2">
      <c r="B1399" s="2"/>
    </row>
    <row r="1400" s="1" customFormat="1" customHeight="1" spans="2:2">
      <c r="B1400" s="2"/>
    </row>
    <row r="1401" s="1" customFormat="1" customHeight="1" spans="2:2">
      <c r="B1401" s="2"/>
    </row>
    <row r="1402" s="1" customFormat="1" customHeight="1" spans="2:2">
      <c r="B1402" s="2"/>
    </row>
    <row r="1403" s="1" customFormat="1" customHeight="1" spans="2:2">
      <c r="B1403" s="2"/>
    </row>
    <row r="1404" s="1" customFormat="1" customHeight="1" spans="2:2">
      <c r="B1404" s="2"/>
    </row>
    <row r="1405" s="1" customFormat="1" customHeight="1" spans="2:2">
      <c r="B1405" s="2"/>
    </row>
    <row r="1406" s="1" customFormat="1" customHeight="1" spans="2:2">
      <c r="B1406" s="2"/>
    </row>
    <row r="1407" s="1" customFormat="1" customHeight="1" spans="2:2">
      <c r="B1407" s="2"/>
    </row>
    <row r="1408" s="1" customFormat="1" customHeight="1" spans="2:2">
      <c r="B1408" s="2"/>
    </row>
    <row r="1409" s="1" customFormat="1" customHeight="1" spans="2:2">
      <c r="B1409" s="2"/>
    </row>
    <row r="1410" s="1" customFormat="1" customHeight="1" spans="2:2">
      <c r="B1410" s="2"/>
    </row>
    <row r="1411" s="1" customFormat="1" customHeight="1" spans="2:2">
      <c r="B1411" s="2"/>
    </row>
    <row r="1412" s="1" customFormat="1" customHeight="1" spans="2:2">
      <c r="B1412" s="2"/>
    </row>
    <row r="1413" s="1" customFormat="1" customHeight="1" spans="2:2">
      <c r="B1413" s="2"/>
    </row>
    <row r="1414" s="1" customFormat="1" customHeight="1" spans="2:2">
      <c r="B1414" s="2"/>
    </row>
    <row r="1415" s="1" customFormat="1" customHeight="1" spans="2:2">
      <c r="B1415" s="2"/>
    </row>
    <row r="1416" s="1" customFormat="1" customHeight="1" spans="2:2">
      <c r="B1416" s="2"/>
    </row>
    <row r="1417" s="1" customFormat="1" customHeight="1" spans="2:2">
      <c r="B1417" s="2"/>
    </row>
    <row r="1418" s="1" customFormat="1" customHeight="1" spans="2:2">
      <c r="B1418" s="2"/>
    </row>
    <row r="1419" s="1" customFormat="1" customHeight="1" spans="2:2">
      <c r="B1419" s="2"/>
    </row>
    <row r="1420" s="1" customFormat="1" customHeight="1" spans="2:2">
      <c r="B1420" s="2"/>
    </row>
    <row r="1421" s="1" customFormat="1" customHeight="1" spans="2:2">
      <c r="B1421" s="2"/>
    </row>
    <row r="1422" s="1" customFormat="1" customHeight="1" spans="2:2">
      <c r="B1422" s="2"/>
    </row>
    <row r="1423" s="1" customFormat="1" customHeight="1" spans="2:2">
      <c r="B1423" s="2"/>
    </row>
    <row r="1424" s="1" customFormat="1" customHeight="1" spans="2:2">
      <c r="B1424" s="2"/>
    </row>
    <row r="1425" s="1" customFormat="1" customHeight="1" spans="2:2">
      <c r="B1425" s="2"/>
    </row>
    <row r="1426" s="1" customFormat="1" customHeight="1" spans="2:2">
      <c r="B1426" s="2"/>
    </row>
    <row r="1427" s="1" customFormat="1" customHeight="1" spans="2:2">
      <c r="B1427" s="2"/>
    </row>
    <row r="1428" s="1" customFormat="1" customHeight="1" spans="2:2">
      <c r="B1428" s="2"/>
    </row>
    <row r="1429" s="1" customFormat="1" customHeight="1" spans="2:2">
      <c r="B1429" s="2"/>
    </row>
    <row r="1430" s="1" customFormat="1" customHeight="1" spans="2:2">
      <c r="B1430" s="2"/>
    </row>
    <row r="1431" s="1" customFormat="1" customHeight="1" spans="2:2">
      <c r="B1431" s="2"/>
    </row>
    <row r="1432" s="1" customFormat="1" customHeight="1" spans="2:2">
      <c r="B1432" s="2"/>
    </row>
    <row r="1433" s="1" customFormat="1" customHeight="1" spans="2:2">
      <c r="B1433" s="2"/>
    </row>
    <row r="1434" s="1" customFormat="1" customHeight="1" spans="2:2">
      <c r="B1434" s="2"/>
    </row>
    <row r="1435" s="1" customFormat="1" customHeight="1" spans="2:2">
      <c r="B1435" s="2"/>
    </row>
    <row r="1436" s="1" customFormat="1" customHeight="1" spans="2:2">
      <c r="B1436" s="2"/>
    </row>
    <row r="1437" s="1" customFormat="1" customHeight="1" spans="2:2">
      <c r="B1437" s="2"/>
    </row>
    <row r="1438" s="1" customFormat="1" customHeight="1" spans="2:2">
      <c r="B1438" s="2"/>
    </row>
    <row r="1439" s="1" customFormat="1" customHeight="1" spans="2:2">
      <c r="B1439" s="2"/>
    </row>
    <row r="1440" s="1" customFormat="1" customHeight="1" spans="2:2">
      <c r="B1440" s="2"/>
    </row>
    <row r="1441" s="1" customFormat="1" customHeight="1" spans="2:2">
      <c r="B1441" s="2"/>
    </row>
    <row r="1442" s="1" customFormat="1" customHeight="1" spans="2:2">
      <c r="B1442" s="2"/>
    </row>
    <row r="1443" s="1" customFormat="1" customHeight="1" spans="2:2">
      <c r="B1443" s="2"/>
    </row>
    <row r="1444" s="1" customFormat="1" customHeight="1" spans="2:2">
      <c r="B1444" s="2"/>
    </row>
    <row r="1445" s="1" customFormat="1" customHeight="1" spans="2:2">
      <c r="B1445" s="2"/>
    </row>
    <row r="1446" s="1" customFormat="1" customHeight="1" spans="2:2">
      <c r="B1446" s="2"/>
    </row>
    <row r="1447" s="1" customFormat="1" customHeight="1" spans="2:2">
      <c r="B1447" s="2"/>
    </row>
    <row r="1448" s="1" customFormat="1" customHeight="1" spans="2:2">
      <c r="B1448" s="2"/>
    </row>
    <row r="1449" s="1" customFormat="1" customHeight="1" spans="2:2">
      <c r="B1449" s="2"/>
    </row>
    <row r="1450" s="1" customFormat="1" customHeight="1" spans="2:2">
      <c r="B1450" s="2"/>
    </row>
    <row r="1451" s="1" customFormat="1" customHeight="1" spans="2:2">
      <c r="B1451" s="2"/>
    </row>
    <row r="1452" s="1" customFormat="1" customHeight="1" spans="2:2">
      <c r="B1452" s="2"/>
    </row>
    <row r="1453" s="1" customFormat="1" customHeight="1" spans="2:2">
      <c r="B1453" s="2"/>
    </row>
    <row r="1454" s="1" customFormat="1" customHeight="1" spans="2:2">
      <c r="B1454" s="2"/>
    </row>
    <row r="1455" s="1" customFormat="1" customHeight="1" spans="2:2">
      <c r="B1455" s="2"/>
    </row>
    <row r="1456" s="1" customFormat="1" customHeight="1" spans="2:2">
      <c r="B1456" s="2"/>
    </row>
    <row r="1457" s="1" customFormat="1" customHeight="1" spans="2:2">
      <c r="B1457" s="2"/>
    </row>
    <row r="1458" s="1" customFormat="1" customHeight="1" spans="2:2">
      <c r="B1458" s="2"/>
    </row>
    <row r="1459" s="1" customFormat="1" customHeight="1" spans="2:2">
      <c r="B1459" s="2"/>
    </row>
    <row r="1460" s="1" customFormat="1" customHeight="1" spans="2:2">
      <c r="B1460" s="2"/>
    </row>
    <row r="1461" s="1" customFormat="1" customHeight="1" spans="2:2">
      <c r="B1461" s="2"/>
    </row>
    <row r="1462" s="1" customFormat="1" customHeight="1" spans="2:2">
      <c r="B1462" s="2"/>
    </row>
    <row r="1463" s="1" customFormat="1" customHeight="1" spans="2:2">
      <c r="B1463" s="2"/>
    </row>
    <row r="1464" s="1" customFormat="1" customHeight="1" spans="2:2">
      <c r="B1464" s="2"/>
    </row>
    <row r="1465" s="1" customFormat="1" customHeight="1" spans="2:2">
      <c r="B1465" s="2"/>
    </row>
    <row r="1466" s="1" customFormat="1" customHeight="1" spans="2:2">
      <c r="B1466" s="2"/>
    </row>
    <row r="1467" s="1" customFormat="1" customHeight="1" spans="2:2">
      <c r="B1467" s="2"/>
    </row>
    <row r="1468" s="1" customFormat="1" customHeight="1" spans="2:2">
      <c r="B1468" s="2"/>
    </row>
    <row r="1469" s="1" customFormat="1" customHeight="1" spans="2:2">
      <c r="B1469" s="2"/>
    </row>
    <row r="1470" s="1" customFormat="1" customHeight="1" spans="2:2">
      <c r="B1470" s="2"/>
    </row>
    <row r="1471" s="1" customFormat="1" customHeight="1" spans="2:2">
      <c r="B1471" s="2"/>
    </row>
    <row r="1472" s="1" customFormat="1" customHeight="1" spans="2:2">
      <c r="B1472" s="2"/>
    </row>
    <row r="1473" s="1" customFormat="1" customHeight="1" spans="2:2">
      <c r="B1473" s="2"/>
    </row>
    <row r="1474" s="1" customFormat="1" customHeight="1" spans="2:2">
      <c r="B1474" s="2"/>
    </row>
    <row r="1475" s="1" customFormat="1" customHeight="1" spans="2:2">
      <c r="B1475" s="2"/>
    </row>
    <row r="1476" s="1" customFormat="1" customHeight="1" spans="2:2">
      <c r="B1476" s="2"/>
    </row>
    <row r="1477" s="1" customFormat="1" customHeight="1" spans="2:2">
      <c r="B1477" s="2"/>
    </row>
    <row r="1478" s="1" customFormat="1" customHeight="1" spans="2:2">
      <c r="B1478" s="2"/>
    </row>
    <row r="1479" s="1" customFormat="1" customHeight="1" spans="2:2">
      <c r="B1479" s="2"/>
    </row>
    <row r="1480" s="1" customFormat="1" customHeight="1" spans="2:2">
      <c r="B1480" s="2"/>
    </row>
    <row r="1481" s="1" customFormat="1" customHeight="1" spans="2:2">
      <c r="B1481" s="2"/>
    </row>
    <row r="1482" s="1" customFormat="1" customHeight="1" spans="2:2">
      <c r="B1482" s="2"/>
    </row>
    <row r="1483" s="1" customFormat="1" customHeight="1" spans="2:2">
      <c r="B1483" s="2"/>
    </row>
    <row r="1484" s="1" customFormat="1" customHeight="1" spans="2:2">
      <c r="B1484" s="2"/>
    </row>
    <row r="1485" s="1" customFormat="1" customHeight="1" spans="2:2">
      <c r="B1485" s="2"/>
    </row>
    <row r="1486" s="1" customFormat="1" customHeight="1" spans="2:2">
      <c r="B1486" s="2"/>
    </row>
    <row r="1487" s="1" customFormat="1" customHeight="1" spans="2:2">
      <c r="B1487" s="2"/>
    </row>
    <row r="1488" s="1" customFormat="1" customHeight="1" spans="2:2">
      <c r="B1488" s="2"/>
    </row>
    <row r="1489" s="1" customFormat="1" customHeight="1" spans="2:2">
      <c r="B1489" s="2"/>
    </row>
    <row r="1490" s="1" customFormat="1" customHeight="1" spans="2:2">
      <c r="B1490" s="2"/>
    </row>
    <row r="1491" s="1" customFormat="1" customHeight="1" spans="2:2">
      <c r="B1491" s="2"/>
    </row>
    <row r="1492" s="1" customFormat="1" customHeight="1" spans="2:2">
      <c r="B1492" s="2"/>
    </row>
    <row r="1493" s="1" customFormat="1" customHeight="1" spans="2:2">
      <c r="B1493" s="2"/>
    </row>
    <row r="1494" s="1" customFormat="1" customHeight="1" spans="2:2">
      <c r="B1494" s="2"/>
    </row>
    <row r="1495" s="1" customFormat="1" customHeight="1" spans="2:2">
      <c r="B1495" s="2"/>
    </row>
    <row r="1496" s="1" customFormat="1" customHeight="1" spans="2:2">
      <c r="B1496" s="2"/>
    </row>
    <row r="1497" s="1" customFormat="1" customHeight="1" spans="2:2">
      <c r="B1497" s="2"/>
    </row>
    <row r="1498" s="1" customFormat="1" customHeight="1" spans="2:2">
      <c r="B1498" s="2"/>
    </row>
    <row r="1499" s="1" customFormat="1" customHeight="1" spans="2:2">
      <c r="B1499" s="2"/>
    </row>
    <row r="1500" s="1" customFormat="1" customHeight="1" spans="2:2">
      <c r="B1500" s="2"/>
    </row>
    <row r="1501" s="1" customFormat="1" customHeight="1" spans="2:2">
      <c r="B1501" s="2"/>
    </row>
    <row r="1502" s="1" customFormat="1" customHeight="1" spans="2:2">
      <c r="B1502" s="2"/>
    </row>
    <row r="1503" s="1" customFormat="1" customHeight="1" spans="2:2">
      <c r="B1503" s="2"/>
    </row>
    <row r="1504" s="1" customFormat="1" customHeight="1" spans="2:2">
      <c r="B1504" s="2"/>
    </row>
    <row r="1505" s="1" customFormat="1" customHeight="1" spans="2:2">
      <c r="B1505" s="2"/>
    </row>
    <row r="1506" s="1" customFormat="1" customHeight="1" spans="2:2">
      <c r="B1506" s="2"/>
    </row>
    <row r="1507" s="1" customFormat="1" customHeight="1" spans="2:2">
      <c r="B1507" s="2"/>
    </row>
    <row r="1508" s="1" customFormat="1" customHeight="1" spans="2:2">
      <c r="B1508" s="2"/>
    </row>
    <row r="1509" s="1" customFormat="1" customHeight="1" spans="2:2">
      <c r="B1509" s="2"/>
    </row>
    <row r="1510" s="1" customFormat="1" customHeight="1" spans="2:2">
      <c r="B1510" s="2"/>
    </row>
    <row r="1511" s="1" customFormat="1" customHeight="1" spans="2:2">
      <c r="B1511" s="2"/>
    </row>
    <row r="1512" s="1" customFormat="1" customHeight="1" spans="2:2">
      <c r="B1512" s="2"/>
    </row>
    <row r="1513" s="1" customFormat="1" customHeight="1" spans="2:2">
      <c r="B1513" s="2"/>
    </row>
    <row r="1514" s="1" customFormat="1" customHeight="1" spans="2:2">
      <c r="B1514" s="2"/>
    </row>
    <row r="1515" s="1" customFormat="1" customHeight="1" spans="2:2">
      <c r="B1515" s="2"/>
    </row>
    <row r="1516" s="1" customFormat="1" customHeight="1" spans="2:2">
      <c r="B1516" s="2"/>
    </row>
    <row r="1517" s="1" customFormat="1" customHeight="1" spans="2:2">
      <c r="B1517" s="2"/>
    </row>
    <row r="1518" s="1" customFormat="1" customHeight="1" spans="2:2">
      <c r="B1518" s="2"/>
    </row>
    <row r="1519" s="1" customFormat="1" customHeight="1" spans="2:2">
      <c r="B1519" s="2"/>
    </row>
    <row r="1520" s="1" customFormat="1" customHeight="1" spans="2:2">
      <c r="B1520" s="2"/>
    </row>
    <row r="1521" s="1" customFormat="1" customHeight="1" spans="2:2">
      <c r="B1521" s="2"/>
    </row>
    <row r="1522" s="1" customFormat="1" customHeight="1" spans="2:2">
      <c r="B1522" s="2"/>
    </row>
    <row r="1523" s="1" customFormat="1" customHeight="1" spans="2:2">
      <c r="B1523" s="2"/>
    </row>
    <row r="1524" s="1" customFormat="1" customHeight="1" spans="2:2">
      <c r="B1524" s="2"/>
    </row>
    <row r="1525" s="1" customFormat="1" customHeight="1" spans="2:2">
      <c r="B1525" s="2"/>
    </row>
    <row r="1526" s="1" customFormat="1" customHeight="1" spans="2:2">
      <c r="B1526" s="2"/>
    </row>
    <row r="1527" s="1" customFormat="1" customHeight="1" spans="2:2">
      <c r="B1527" s="2"/>
    </row>
    <row r="1528" s="1" customFormat="1" customHeight="1" spans="2:2">
      <c r="B1528" s="2"/>
    </row>
    <row r="1529" s="1" customFormat="1" customHeight="1" spans="2:2">
      <c r="B1529" s="2"/>
    </row>
    <row r="1530" s="1" customFormat="1" customHeight="1" spans="2:2">
      <c r="B1530" s="2"/>
    </row>
    <row r="1531" s="1" customFormat="1" customHeight="1" spans="2:2">
      <c r="B1531" s="2"/>
    </row>
    <row r="1532" s="1" customFormat="1" customHeight="1" spans="2:2">
      <c r="B1532" s="2"/>
    </row>
    <row r="1533" s="1" customFormat="1" customHeight="1" spans="2:2">
      <c r="B1533" s="2"/>
    </row>
    <row r="1534" s="1" customFormat="1" customHeight="1" spans="2:2">
      <c r="B1534" s="2"/>
    </row>
    <row r="1535" s="1" customFormat="1" customHeight="1" spans="2:2">
      <c r="B1535" s="2"/>
    </row>
    <row r="1536" s="1" customFormat="1" customHeight="1" spans="2:2">
      <c r="B1536" s="2"/>
    </row>
    <row r="1537" s="1" customFormat="1" customHeight="1" spans="2:2">
      <c r="B1537" s="2"/>
    </row>
    <row r="1538" s="1" customFormat="1" customHeight="1" spans="2:2">
      <c r="B1538" s="2"/>
    </row>
    <row r="1539" s="1" customFormat="1" customHeight="1" spans="2:2">
      <c r="B1539" s="2"/>
    </row>
    <row r="1540" s="1" customFormat="1" customHeight="1" spans="2:2">
      <c r="B1540" s="2"/>
    </row>
    <row r="1541" s="1" customFormat="1" customHeight="1" spans="2:2">
      <c r="B1541" s="2"/>
    </row>
    <row r="1542" s="1" customFormat="1" customHeight="1" spans="2:2">
      <c r="B1542" s="2"/>
    </row>
    <row r="1543" s="1" customFormat="1" customHeight="1" spans="2:2">
      <c r="B1543" s="2"/>
    </row>
    <row r="1544" s="1" customFormat="1" customHeight="1" spans="2:2">
      <c r="B1544" s="2"/>
    </row>
    <row r="1545" s="1" customFormat="1" customHeight="1" spans="2:2">
      <c r="B1545" s="2"/>
    </row>
    <row r="1546" s="1" customFormat="1" customHeight="1" spans="2:2">
      <c r="B1546" s="2"/>
    </row>
    <row r="1547" s="1" customFormat="1" customHeight="1" spans="2:2">
      <c r="B1547" s="2"/>
    </row>
    <row r="1548" s="1" customFormat="1" customHeight="1" spans="2:2">
      <c r="B1548" s="2"/>
    </row>
    <row r="1549" s="1" customFormat="1" customHeight="1" spans="2:2">
      <c r="B1549" s="2"/>
    </row>
    <row r="1550" s="1" customFormat="1" customHeight="1" spans="2:2">
      <c r="B1550" s="2"/>
    </row>
    <row r="1551" s="1" customFormat="1" customHeight="1" spans="2:2">
      <c r="B1551" s="2"/>
    </row>
    <row r="1552" s="1" customFormat="1" customHeight="1" spans="2:2">
      <c r="B1552" s="2"/>
    </row>
    <row r="1553" s="1" customFormat="1" customHeight="1" spans="2:2">
      <c r="B1553" s="2"/>
    </row>
    <row r="1554" s="1" customFormat="1" customHeight="1" spans="2:2">
      <c r="B1554" s="2"/>
    </row>
    <row r="1555" s="1" customFormat="1" customHeight="1" spans="2:2">
      <c r="B1555" s="2"/>
    </row>
    <row r="1556" s="1" customFormat="1" customHeight="1" spans="2:2">
      <c r="B1556" s="2"/>
    </row>
    <row r="1557" s="1" customFormat="1" customHeight="1" spans="2:2">
      <c r="B1557" s="2"/>
    </row>
    <row r="1558" s="1" customFormat="1" customHeight="1" spans="2:2">
      <c r="B1558" s="2"/>
    </row>
    <row r="1559" s="1" customFormat="1" customHeight="1" spans="2:2">
      <c r="B1559" s="2"/>
    </row>
    <row r="1560" s="1" customFormat="1" customHeight="1" spans="2:2">
      <c r="B1560" s="2"/>
    </row>
    <row r="1561" s="1" customFormat="1" customHeight="1" spans="2:2">
      <c r="B1561" s="2"/>
    </row>
    <row r="1562" s="1" customFormat="1" customHeight="1" spans="2:2">
      <c r="B1562" s="2"/>
    </row>
    <row r="1563" s="1" customFormat="1" customHeight="1" spans="2:2">
      <c r="B1563" s="2"/>
    </row>
    <row r="1564" s="1" customFormat="1" customHeight="1" spans="2:2">
      <c r="B1564" s="2"/>
    </row>
    <row r="1565" s="1" customFormat="1" customHeight="1" spans="2:2">
      <c r="B1565" s="2"/>
    </row>
    <row r="1566" s="1" customFormat="1" customHeight="1" spans="2:2">
      <c r="B1566" s="2"/>
    </row>
    <row r="1567" s="1" customFormat="1" customHeight="1" spans="2:2">
      <c r="B1567" s="2"/>
    </row>
    <row r="1568" s="1" customFormat="1" customHeight="1" spans="2:2">
      <c r="B1568" s="2"/>
    </row>
    <row r="1569" s="1" customFormat="1" customHeight="1" spans="2:2">
      <c r="B1569" s="2"/>
    </row>
    <row r="1570" s="1" customFormat="1" customHeight="1" spans="2:2">
      <c r="B1570" s="2"/>
    </row>
    <row r="1571" s="1" customFormat="1" customHeight="1" spans="2:2">
      <c r="B1571" s="2"/>
    </row>
    <row r="1572" s="1" customFormat="1" customHeight="1" spans="2:2">
      <c r="B1572" s="2"/>
    </row>
    <row r="1573" s="1" customFormat="1" customHeight="1" spans="2:2">
      <c r="B1573" s="2"/>
    </row>
    <row r="1574" s="1" customFormat="1" customHeight="1" spans="2:2">
      <c r="B1574" s="2"/>
    </row>
    <row r="1575" s="1" customFormat="1" customHeight="1" spans="2:2">
      <c r="B1575" s="2"/>
    </row>
    <row r="1576" s="1" customFormat="1" customHeight="1" spans="2:2">
      <c r="B1576" s="2"/>
    </row>
    <row r="1577" s="1" customFormat="1" customHeight="1" spans="2:2">
      <c r="B1577" s="2"/>
    </row>
    <row r="1578" s="1" customFormat="1" customHeight="1" spans="2:2">
      <c r="B1578" s="2"/>
    </row>
    <row r="1579" s="1" customFormat="1" customHeight="1" spans="2:2">
      <c r="B1579" s="2"/>
    </row>
    <row r="1580" s="1" customFormat="1" customHeight="1" spans="2:2">
      <c r="B1580" s="2"/>
    </row>
    <row r="1581" s="1" customFormat="1" customHeight="1" spans="2:2">
      <c r="B1581" s="2"/>
    </row>
    <row r="1582" s="1" customFormat="1" customHeight="1" spans="2:2">
      <c r="B1582" s="2"/>
    </row>
    <row r="1583" s="1" customFormat="1" customHeight="1" spans="2:2">
      <c r="B1583" s="2"/>
    </row>
    <row r="1584" s="1" customFormat="1" customHeight="1" spans="2:2">
      <c r="B1584" s="2"/>
    </row>
    <row r="1585" s="1" customFormat="1" customHeight="1" spans="2:2">
      <c r="B1585" s="2"/>
    </row>
    <row r="1586" s="1" customFormat="1" customHeight="1" spans="2:2">
      <c r="B1586" s="2"/>
    </row>
    <row r="1587" s="1" customFormat="1" customHeight="1" spans="2:2">
      <c r="B1587" s="2"/>
    </row>
    <row r="1588" s="1" customFormat="1" customHeight="1" spans="2:2">
      <c r="B1588" s="2"/>
    </row>
    <row r="1589" s="1" customFormat="1" customHeight="1" spans="2:2">
      <c r="B1589" s="2"/>
    </row>
    <row r="1590" s="1" customFormat="1" customHeight="1" spans="2:2">
      <c r="B1590" s="2"/>
    </row>
    <row r="1591" s="1" customFormat="1" customHeight="1" spans="2:2">
      <c r="B1591" s="2"/>
    </row>
    <row r="1592" s="1" customFormat="1" customHeight="1" spans="2:2">
      <c r="B1592" s="2"/>
    </row>
    <row r="1593" s="1" customFormat="1" customHeight="1" spans="2:2">
      <c r="B1593" s="2"/>
    </row>
    <row r="1594" s="1" customFormat="1" customHeight="1" spans="2:2">
      <c r="B1594" s="2"/>
    </row>
    <row r="1595" s="1" customFormat="1" customHeight="1" spans="2:2">
      <c r="B1595" s="2"/>
    </row>
    <row r="1596" s="1" customFormat="1" customHeight="1" spans="2:2">
      <c r="B1596" s="2"/>
    </row>
    <row r="1597" s="1" customFormat="1" customHeight="1" spans="2:2">
      <c r="B1597" s="2"/>
    </row>
    <row r="1598" s="1" customFormat="1" customHeight="1" spans="2:2">
      <c r="B1598" s="2"/>
    </row>
    <row r="1599" s="1" customFormat="1" customHeight="1" spans="2:2">
      <c r="B1599" s="2"/>
    </row>
    <row r="1600" s="1" customFormat="1" customHeight="1" spans="2:2">
      <c r="B1600" s="2"/>
    </row>
    <row r="1601" s="1" customFormat="1" customHeight="1" spans="2:2">
      <c r="B1601" s="2"/>
    </row>
    <row r="1602" s="1" customFormat="1" customHeight="1" spans="2:2">
      <c r="B1602" s="2"/>
    </row>
    <row r="1603" s="1" customFormat="1" customHeight="1" spans="2:2">
      <c r="B1603" s="2"/>
    </row>
    <row r="1604" s="1" customFormat="1" customHeight="1" spans="2:2">
      <c r="B1604" s="2"/>
    </row>
    <row r="1605" s="1" customFormat="1" customHeight="1" spans="2:2">
      <c r="B1605" s="2"/>
    </row>
    <row r="1606" s="1" customFormat="1" customHeight="1" spans="2:2">
      <c r="B1606" s="2"/>
    </row>
    <row r="1607" s="1" customFormat="1" customHeight="1" spans="2:2">
      <c r="B1607" s="2"/>
    </row>
    <row r="1608" s="1" customFormat="1" customHeight="1" spans="2:2">
      <c r="B1608" s="2"/>
    </row>
    <row r="1609" s="1" customFormat="1" customHeight="1" spans="2:2">
      <c r="B1609" s="2"/>
    </row>
    <row r="1610" s="1" customFormat="1" customHeight="1" spans="2:2">
      <c r="B1610" s="2"/>
    </row>
    <row r="1611" s="1" customFormat="1" customHeight="1" spans="2:2">
      <c r="B1611" s="2"/>
    </row>
    <row r="1612" s="1" customFormat="1" customHeight="1" spans="2:2">
      <c r="B1612" s="2"/>
    </row>
    <row r="1613" s="1" customFormat="1" customHeight="1" spans="2:2">
      <c r="B1613" s="2"/>
    </row>
    <row r="1614" s="1" customFormat="1" customHeight="1" spans="2:2">
      <c r="B1614" s="2"/>
    </row>
    <row r="1615" s="1" customFormat="1" customHeight="1" spans="2:2">
      <c r="B1615" s="2"/>
    </row>
    <row r="1616" s="1" customFormat="1" customHeight="1" spans="2:2">
      <c r="B1616" s="2"/>
    </row>
    <row r="1617" s="1" customFormat="1" customHeight="1" spans="2:2">
      <c r="B1617" s="2"/>
    </row>
    <row r="1618" s="1" customFormat="1" customHeight="1" spans="2:2">
      <c r="B1618" s="2"/>
    </row>
    <row r="1619" s="1" customFormat="1" customHeight="1" spans="2:2">
      <c r="B1619" s="2"/>
    </row>
    <row r="1620" s="1" customFormat="1" customHeight="1" spans="2:2">
      <c r="B1620" s="2"/>
    </row>
    <row r="1621" s="1" customFormat="1" customHeight="1" spans="2:2">
      <c r="B1621" s="2"/>
    </row>
    <row r="1622" s="1" customFormat="1" customHeight="1" spans="2:2">
      <c r="B1622" s="2"/>
    </row>
    <row r="1623" s="1" customFormat="1" customHeight="1" spans="2:2">
      <c r="B1623" s="2"/>
    </row>
    <row r="1624" s="1" customFormat="1" customHeight="1" spans="2:2">
      <c r="B1624" s="2"/>
    </row>
    <row r="1625" s="1" customFormat="1" customHeight="1" spans="2:2">
      <c r="B1625" s="2"/>
    </row>
    <row r="1626" s="1" customFormat="1" customHeight="1" spans="2:2">
      <c r="B1626" s="2"/>
    </row>
    <row r="1627" s="1" customFormat="1" customHeight="1" spans="2:2">
      <c r="B1627" s="2"/>
    </row>
    <row r="1628" s="1" customFormat="1" customHeight="1" spans="2:2">
      <c r="B1628" s="2"/>
    </row>
    <row r="1629" s="1" customFormat="1" customHeight="1" spans="2:2">
      <c r="B1629" s="2"/>
    </row>
    <row r="1630" s="1" customFormat="1" customHeight="1" spans="2:2">
      <c r="B1630" s="2"/>
    </row>
    <row r="1631" s="1" customFormat="1" customHeight="1" spans="2:2">
      <c r="B1631" s="2"/>
    </row>
    <row r="1632" s="1" customFormat="1" customHeight="1" spans="2:2">
      <c r="B1632" s="2"/>
    </row>
    <row r="1633" s="1" customFormat="1" customHeight="1" spans="2:2">
      <c r="B1633" s="2"/>
    </row>
    <row r="1634" s="1" customFormat="1" customHeight="1" spans="2:2">
      <c r="B1634" s="2"/>
    </row>
    <row r="1635" s="1" customFormat="1" customHeight="1" spans="2:2">
      <c r="B1635" s="2"/>
    </row>
    <row r="1636" s="1" customFormat="1" customHeight="1" spans="2:2">
      <c r="B1636" s="2"/>
    </row>
    <row r="1637" s="1" customFormat="1" customHeight="1" spans="2:2">
      <c r="B1637" s="2"/>
    </row>
    <row r="1638" s="1" customFormat="1" customHeight="1" spans="2:2">
      <c r="B1638" s="2"/>
    </row>
    <row r="1639" s="1" customFormat="1" customHeight="1" spans="2:2">
      <c r="B1639" s="2"/>
    </row>
    <row r="1640" s="1" customFormat="1" customHeight="1" spans="2:2">
      <c r="B1640" s="2"/>
    </row>
    <row r="1641" s="1" customFormat="1" customHeight="1" spans="2:2">
      <c r="B1641" s="2"/>
    </row>
    <row r="1642" s="1" customFormat="1" customHeight="1" spans="2:2">
      <c r="B1642" s="2"/>
    </row>
    <row r="1643" s="1" customFormat="1" customHeight="1" spans="2:2">
      <c r="B1643" s="2"/>
    </row>
    <row r="1644" s="1" customFormat="1" customHeight="1" spans="2:2">
      <c r="B1644" s="2"/>
    </row>
    <row r="1645" s="1" customFormat="1" customHeight="1" spans="2:2">
      <c r="B1645" s="2"/>
    </row>
    <row r="1646" s="1" customFormat="1" customHeight="1" spans="2:2">
      <c r="B1646" s="2"/>
    </row>
    <row r="1647" s="1" customFormat="1" customHeight="1" spans="2:2">
      <c r="B1647" s="2"/>
    </row>
    <row r="1648" s="1" customFormat="1" customHeight="1" spans="2:2">
      <c r="B1648" s="2"/>
    </row>
    <row r="1649" s="1" customFormat="1" customHeight="1" spans="2:2">
      <c r="B1649" s="2"/>
    </row>
    <row r="1650" s="1" customFormat="1" customHeight="1" spans="2:2">
      <c r="B1650" s="2"/>
    </row>
    <row r="1651" s="1" customFormat="1" customHeight="1" spans="2:2">
      <c r="B1651" s="2"/>
    </row>
    <row r="1652" s="1" customFormat="1" customHeight="1" spans="2:2">
      <c r="B1652" s="2"/>
    </row>
    <row r="1653" s="1" customFormat="1" customHeight="1" spans="2:2">
      <c r="B1653" s="2"/>
    </row>
    <row r="1654" s="1" customFormat="1" customHeight="1" spans="2:2">
      <c r="B1654" s="2"/>
    </row>
    <row r="1655" s="1" customFormat="1" customHeight="1" spans="2:2">
      <c r="B1655" s="2"/>
    </row>
    <row r="1656" s="1" customFormat="1" customHeight="1" spans="2:2">
      <c r="B1656" s="2"/>
    </row>
    <row r="1657" s="1" customFormat="1" customHeight="1" spans="2:2">
      <c r="B1657" s="2"/>
    </row>
    <row r="1658" s="1" customFormat="1" customHeight="1" spans="2:2">
      <c r="B1658" s="2"/>
    </row>
    <row r="1659" s="1" customFormat="1" customHeight="1" spans="2:2">
      <c r="B1659" s="2"/>
    </row>
    <row r="1660" s="1" customFormat="1" customHeight="1" spans="2:2">
      <c r="B1660" s="2"/>
    </row>
    <row r="1661" s="1" customFormat="1" customHeight="1" spans="2:2">
      <c r="B1661" s="2"/>
    </row>
    <row r="1662" s="1" customFormat="1" customHeight="1" spans="2:2">
      <c r="B1662" s="2"/>
    </row>
    <row r="1663" s="1" customFormat="1" customHeight="1" spans="2:2">
      <c r="B1663" s="2"/>
    </row>
    <row r="1664" s="1" customFormat="1" customHeight="1" spans="2:2">
      <c r="B1664" s="2"/>
    </row>
    <row r="1665" s="1" customFormat="1" customHeight="1" spans="2:2">
      <c r="B1665" s="2"/>
    </row>
    <row r="1666" s="1" customFormat="1" customHeight="1" spans="2:2">
      <c r="B1666" s="2"/>
    </row>
    <row r="1667" s="1" customFormat="1" customHeight="1" spans="2:2">
      <c r="B1667" s="2"/>
    </row>
    <row r="1668" s="1" customFormat="1" customHeight="1" spans="2:2">
      <c r="B1668" s="2"/>
    </row>
    <row r="1669" s="1" customFormat="1" customHeight="1" spans="2:2">
      <c r="B1669" s="2"/>
    </row>
    <row r="1670" s="1" customFormat="1" customHeight="1" spans="2:2">
      <c r="B1670" s="2"/>
    </row>
    <row r="1671" s="1" customFormat="1" customHeight="1" spans="2:2">
      <c r="B1671" s="2"/>
    </row>
    <row r="1672" s="1" customFormat="1" customHeight="1" spans="2:2">
      <c r="B1672" s="2"/>
    </row>
    <row r="1673" s="1" customFormat="1" customHeight="1" spans="2:2">
      <c r="B1673" s="2"/>
    </row>
    <row r="1674" s="1" customFormat="1" customHeight="1" spans="2:2">
      <c r="B1674" s="2"/>
    </row>
    <row r="1675" s="1" customFormat="1" customHeight="1" spans="2:2">
      <c r="B1675" s="2"/>
    </row>
    <row r="1676" s="1" customFormat="1" customHeight="1" spans="2:2">
      <c r="B1676" s="2"/>
    </row>
    <row r="1677" s="1" customFormat="1" customHeight="1" spans="2:2">
      <c r="B1677" s="2"/>
    </row>
    <row r="1678" s="1" customFormat="1" customHeight="1" spans="2:2">
      <c r="B1678" s="2"/>
    </row>
    <row r="1679" s="1" customFormat="1" customHeight="1" spans="2:2">
      <c r="B1679" s="2"/>
    </row>
    <row r="1680" s="1" customFormat="1" customHeight="1" spans="2:2">
      <c r="B1680" s="2"/>
    </row>
    <row r="1681" s="1" customFormat="1" customHeight="1" spans="2:2">
      <c r="B1681" s="2"/>
    </row>
    <row r="1682" s="1" customFormat="1" customHeight="1" spans="2:2">
      <c r="B1682" s="2"/>
    </row>
    <row r="1683" s="1" customFormat="1" customHeight="1" spans="2:2">
      <c r="B1683" s="2"/>
    </row>
    <row r="1684" s="1" customFormat="1" customHeight="1" spans="2:2">
      <c r="B1684" s="2"/>
    </row>
    <row r="1685" s="1" customFormat="1" customHeight="1" spans="2:2">
      <c r="B1685" s="2"/>
    </row>
    <row r="1686" s="1" customFormat="1" customHeight="1" spans="2:2">
      <c r="B1686" s="2"/>
    </row>
    <row r="1687" s="1" customFormat="1" customHeight="1" spans="2:2">
      <c r="B1687" s="2"/>
    </row>
    <row r="1688" s="1" customFormat="1" customHeight="1" spans="2:2">
      <c r="B1688" s="2"/>
    </row>
    <row r="1689" s="1" customFormat="1" customHeight="1" spans="2:2">
      <c r="B1689" s="2"/>
    </row>
    <row r="1690" s="1" customFormat="1" customHeight="1" spans="2:2">
      <c r="B1690" s="2"/>
    </row>
    <row r="1691" s="1" customFormat="1" customHeight="1" spans="2:2">
      <c r="B1691" s="2"/>
    </row>
    <row r="1692" s="1" customFormat="1" customHeight="1" spans="2:2">
      <c r="B1692" s="2"/>
    </row>
    <row r="1693" s="1" customFormat="1" customHeight="1" spans="2:2">
      <c r="B1693" s="2"/>
    </row>
    <row r="1694" s="1" customFormat="1" customHeight="1" spans="2:2">
      <c r="B1694" s="2"/>
    </row>
    <row r="1695" s="1" customFormat="1" customHeight="1" spans="2:2">
      <c r="B1695" s="2"/>
    </row>
    <row r="1696" s="1" customFormat="1" customHeight="1" spans="2:2">
      <c r="B1696" s="2"/>
    </row>
    <row r="1697" s="1" customFormat="1" customHeight="1" spans="2:2">
      <c r="B1697" s="2"/>
    </row>
    <row r="1698" s="1" customFormat="1" customHeight="1" spans="2:2">
      <c r="B1698" s="2"/>
    </row>
    <row r="1699" s="1" customFormat="1" customHeight="1" spans="2:2">
      <c r="B1699" s="2"/>
    </row>
    <row r="1700" s="1" customFormat="1" customHeight="1" spans="2:2">
      <c r="B1700" s="2"/>
    </row>
    <row r="1701" s="1" customFormat="1" customHeight="1" spans="2:2">
      <c r="B1701" s="2"/>
    </row>
    <row r="1702" s="1" customFormat="1" customHeight="1" spans="2:2">
      <c r="B1702" s="2"/>
    </row>
    <row r="1703" s="1" customFormat="1" customHeight="1" spans="2:2">
      <c r="B1703" s="2"/>
    </row>
    <row r="1704" s="1" customFormat="1" customHeight="1" spans="2:2">
      <c r="B1704" s="2"/>
    </row>
    <row r="1705" s="1" customFormat="1" customHeight="1" spans="2:2">
      <c r="B1705" s="2"/>
    </row>
    <row r="1706" s="1" customFormat="1" customHeight="1" spans="2:2">
      <c r="B1706" s="2"/>
    </row>
    <row r="1707" s="1" customFormat="1" customHeight="1" spans="2:2">
      <c r="B1707" s="2"/>
    </row>
    <row r="1708" s="1" customFormat="1" customHeight="1" spans="2:2">
      <c r="B1708" s="2"/>
    </row>
    <row r="1709" s="1" customFormat="1" customHeight="1" spans="2:2">
      <c r="B1709" s="2"/>
    </row>
    <row r="1710" s="1" customFormat="1" customHeight="1" spans="2:2">
      <c r="B1710" s="2"/>
    </row>
    <row r="1711" s="1" customFormat="1" customHeight="1" spans="2:2">
      <c r="B1711" s="2"/>
    </row>
    <row r="1712" s="1" customFormat="1" customHeight="1" spans="2:2">
      <c r="B1712" s="2"/>
    </row>
    <row r="1713" s="1" customFormat="1" customHeight="1" spans="2:2">
      <c r="B1713" s="2"/>
    </row>
    <row r="1714" s="1" customFormat="1" customHeight="1" spans="2:2">
      <c r="B1714" s="2"/>
    </row>
    <row r="1715" s="1" customFormat="1" customHeight="1" spans="2:2">
      <c r="B1715" s="2"/>
    </row>
    <row r="1716" s="1" customFormat="1" customHeight="1" spans="2:2">
      <c r="B1716" s="2"/>
    </row>
    <row r="1717" s="1" customFormat="1" customHeight="1" spans="2:2">
      <c r="B1717" s="2"/>
    </row>
    <row r="1718" s="1" customFormat="1" customHeight="1" spans="2:2">
      <c r="B1718" s="2"/>
    </row>
    <row r="1719" s="1" customFormat="1" customHeight="1" spans="2:2">
      <c r="B1719" s="2"/>
    </row>
    <row r="1720" s="1" customFormat="1" customHeight="1" spans="2:2">
      <c r="B1720" s="2"/>
    </row>
    <row r="1721" s="1" customFormat="1" customHeight="1" spans="2:2">
      <c r="B1721" s="2"/>
    </row>
    <row r="1722" s="1" customFormat="1" customHeight="1" spans="2:2">
      <c r="B1722" s="2"/>
    </row>
    <row r="1723" s="1" customFormat="1" customHeight="1" spans="2:2">
      <c r="B1723" s="2"/>
    </row>
    <row r="1724" s="1" customFormat="1" customHeight="1" spans="2:2">
      <c r="B1724" s="2"/>
    </row>
    <row r="1725" s="1" customFormat="1" customHeight="1" spans="2:2">
      <c r="B1725" s="2"/>
    </row>
    <row r="1726" s="1" customFormat="1" customHeight="1" spans="2:2">
      <c r="B1726" s="2"/>
    </row>
    <row r="1727" s="1" customFormat="1" customHeight="1" spans="2:2">
      <c r="B1727" s="2"/>
    </row>
    <row r="1728" s="1" customFormat="1" customHeight="1" spans="2:2">
      <c r="B1728" s="2"/>
    </row>
    <row r="1729" s="1" customFormat="1" customHeight="1" spans="2:2">
      <c r="B1729" s="2"/>
    </row>
    <row r="1730" s="1" customFormat="1" customHeight="1" spans="2:2">
      <c r="B1730" s="2"/>
    </row>
    <row r="1731" s="1" customFormat="1" customHeight="1" spans="2:2">
      <c r="B1731" s="2"/>
    </row>
    <row r="1732" s="1" customFormat="1" customHeight="1" spans="2:2">
      <c r="B1732" s="2"/>
    </row>
    <row r="1733" s="1" customFormat="1" customHeight="1" spans="2:2">
      <c r="B1733" s="2"/>
    </row>
    <row r="1734" s="1" customFormat="1" customHeight="1" spans="2:2">
      <c r="B1734" s="2"/>
    </row>
    <row r="1735" s="1" customFormat="1" customHeight="1" spans="2:2">
      <c r="B1735" s="2"/>
    </row>
    <row r="1736" s="1" customFormat="1" customHeight="1" spans="2:2">
      <c r="B1736" s="2"/>
    </row>
    <row r="1737" s="1" customFormat="1" customHeight="1" spans="2:2">
      <c r="B1737" s="2"/>
    </row>
    <row r="1738" s="1" customFormat="1" customHeight="1" spans="2:2">
      <c r="B1738" s="2"/>
    </row>
    <row r="1739" s="1" customFormat="1" customHeight="1" spans="2:2">
      <c r="B1739" s="2"/>
    </row>
    <row r="1740" s="1" customFormat="1" customHeight="1" spans="2:2">
      <c r="B1740" s="2"/>
    </row>
    <row r="1741" s="1" customFormat="1" customHeight="1" spans="2:2">
      <c r="B1741" s="2"/>
    </row>
    <row r="1742" s="1" customFormat="1" customHeight="1" spans="2:2">
      <c r="B1742" s="2"/>
    </row>
    <row r="1743" s="1" customFormat="1" customHeight="1" spans="2:2">
      <c r="B1743" s="2"/>
    </row>
    <row r="1744" s="1" customFormat="1" customHeight="1" spans="2:2">
      <c r="B1744" s="2"/>
    </row>
    <row r="1745" s="1" customFormat="1" customHeight="1" spans="2:2">
      <c r="B1745" s="2"/>
    </row>
    <row r="1746" s="1" customFormat="1" customHeight="1" spans="2:2">
      <c r="B1746" s="2"/>
    </row>
    <row r="1747" s="1" customFormat="1" customHeight="1" spans="2:2">
      <c r="B1747" s="2"/>
    </row>
    <row r="1748" s="1" customFormat="1" customHeight="1" spans="2:2">
      <c r="B1748" s="2"/>
    </row>
    <row r="1749" s="1" customFormat="1" customHeight="1" spans="2:2">
      <c r="B1749" s="2"/>
    </row>
    <row r="1750" s="1" customFormat="1" customHeight="1" spans="2:2">
      <c r="B1750" s="2"/>
    </row>
    <row r="1751" s="1" customFormat="1" customHeight="1" spans="2:2">
      <c r="B1751" s="2"/>
    </row>
    <row r="1752" s="1" customFormat="1" customHeight="1" spans="2:2">
      <c r="B1752" s="2"/>
    </row>
    <row r="1753" s="1" customFormat="1" customHeight="1" spans="2:2">
      <c r="B1753" s="2"/>
    </row>
    <row r="1754" s="1" customFormat="1" customHeight="1" spans="2:2">
      <c r="B1754" s="2"/>
    </row>
    <row r="1755" s="1" customFormat="1" customHeight="1" spans="2:2">
      <c r="B1755" s="2"/>
    </row>
    <row r="1756" s="1" customFormat="1" customHeight="1" spans="2:2">
      <c r="B1756" s="2"/>
    </row>
    <row r="1757" s="1" customFormat="1" customHeight="1" spans="2:2">
      <c r="B1757" s="2"/>
    </row>
    <row r="1758" s="1" customFormat="1" customHeight="1" spans="2:2">
      <c r="B1758" s="2"/>
    </row>
    <row r="1759" s="1" customFormat="1" customHeight="1" spans="2:2">
      <c r="B1759" s="2"/>
    </row>
    <row r="1760" s="1" customFormat="1" customHeight="1" spans="2:2">
      <c r="B1760" s="2"/>
    </row>
    <row r="1761" s="1" customFormat="1" customHeight="1" spans="2:2">
      <c r="B1761" s="2"/>
    </row>
    <row r="1762" s="1" customFormat="1" customHeight="1" spans="2:2">
      <c r="B1762" s="2"/>
    </row>
    <row r="1763" s="1" customFormat="1" customHeight="1" spans="2:2">
      <c r="B1763" s="2"/>
    </row>
    <row r="1764" s="1" customFormat="1" customHeight="1" spans="2:2">
      <c r="B1764" s="2"/>
    </row>
    <row r="1765" s="1" customFormat="1" customHeight="1" spans="2:2">
      <c r="B1765" s="2"/>
    </row>
    <row r="1766" s="1" customFormat="1" customHeight="1" spans="2:2">
      <c r="B1766" s="2"/>
    </row>
    <row r="1767" s="1" customFormat="1" customHeight="1" spans="2:2">
      <c r="B1767" s="2"/>
    </row>
    <row r="1768" s="1" customFormat="1" customHeight="1" spans="2:2">
      <c r="B1768" s="2"/>
    </row>
    <row r="1769" s="1" customFormat="1" customHeight="1" spans="2:2">
      <c r="B1769" s="2"/>
    </row>
    <row r="1770" s="1" customFormat="1" customHeight="1" spans="2:2">
      <c r="B1770" s="2"/>
    </row>
    <row r="1771" s="1" customFormat="1" customHeight="1" spans="2:2">
      <c r="B1771" s="2"/>
    </row>
    <row r="1772" s="1" customFormat="1" customHeight="1" spans="2:2">
      <c r="B1772" s="2"/>
    </row>
    <row r="1773" s="1" customFormat="1" customHeight="1" spans="2:2">
      <c r="B1773" s="2"/>
    </row>
    <row r="1774" s="1" customFormat="1" customHeight="1" spans="2:2">
      <c r="B1774" s="2"/>
    </row>
    <row r="1775" s="1" customFormat="1" customHeight="1" spans="2:2">
      <c r="B1775" s="2"/>
    </row>
    <row r="1776" s="1" customFormat="1" customHeight="1" spans="2:2">
      <c r="B1776" s="2"/>
    </row>
    <row r="1777" s="1" customFormat="1" customHeight="1" spans="2:2">
      <c r="B1777" s="2"/>
    </row>
    <row r="1778" s="1" customFormat="1" customHeight="1" spans="2:2">
      <c r="B1778" s="2"/>
    </row>
    <row r="1779" s="1" customFormat="1" customHeight="1" spans="2:2">
      <c r="B1779" s="2"/>
    </row>
    <row r="1780" s="1" customFormat="1" customHeight="1" spans="2:2">
      <c r="B1780" s="2"/>
    </row>
    <row r="1781" s="1" customFormat="1" customHeight="1" spans="2:2">
      <c r="B1781" s="2"/>
    </row>
    <row r="1782" s="1" customFormat="1" customHeight="1" spans="2:2">
      <c r="B1782" s="2"/>
    </row>
    <row r="1783" s="1" customFormat="1" customHeight="1" spans="2:2">
      <c r="B1783" s="2"/>
    </row>
    <row r="1784" s="1" customFormat="1" customHeight="1" spans="2:2">
      <c r="B1784" s="2"/>
    </row>
    <row r="1785" s="1" customFormat="1" customHeight="1" spans="2:2">
      <c r="B1785" s="2"/>
    </row>
    <row r="1786" s="1" customFormat="1" customHeight="1" spans="2:2">
      <c r="B1786" s="2"/>
    </row>
    <row r="1787" s="1" customFormat="1" customHeight="1" spans="2:2">
      <c r="B1787" s="2"/>
    </row>
    <row r="1788" s="1" customFormat="1" customHeight="1" spans="2:2">
      <c r="B1788" s="2"/>
    </row>
    <row r="1789" s="1" customFormat="1" customHeight="1" spans="2:2">
      <c r="B1789" s="2"/>
    </row>
    <row r="1790" s="1" customFormat="1" customHeight="1" spans="2:2">
      <c r="B1790" s="2"/>
    </row>
    <row r="1791" s="1" customFormat="1" customHeight="1" spans="2:2">
      <c r="B1791" s="2"/>
    </row>
    <row r="1792" s="1" customFormat="1" customHeight="1" spans="2:2">
      <c r="B1792" s="2"/>
    </row>
    <row r="1793" s="1" customFormat="1" customHeight="1" spans="2:2">
      <c r="B1793" s="2"/>
    </row>
    <row r="1794" s="1" customFormat="1" customHeight="1" spans="2:2">
      <c r="B1794" s="2"/>
    </row>
    <row r="1795" s="1" customFormat="1" customHeight="1" spans="2:2">
      <c r="B1795" s="2"/>
    </row>
    <row r="1796" s="1" customFormat="1" customHeight="1" spans="2:2">
      <c r="B1796" s="2"/>
    </row>
    <row r="1797" s="1" customFormat="1" customHeight="1" spans="2:2">
      <c r="B1797" s="2"/>
    </row>
    <row r="1798" s="1" customFormat="1" customHeight="1" spans="2:2">
      <c r="B1798" s="2"/>
    </row>
    <row r="1799" s="1" customFormat="1" customHeight="1" spans="2:2">
      <c r="B1799" s="2"/>
    </row>
    <row r="1800" s="1" customFormat="1" customHeight="1" spans="2:2">
      <c r="B1800" s="2"/>
    </row>
    <row r="1801" s="1" customFormat="1" customHeight="1" spans="2:2">
      <c r="B1801" s="2"/>
    </row>
    <row r="1802" s="1" customFormat="1" customHeight="1" spans="2:2">
      <c r="B1802" s="2"/>
    </row>
    <row r="1803" s="1" customFormat="1" customHeight="1" spans="2:2">
      <c r="B1803" s="2"/>
    </row>
    <row r="1804" s="1" customFormat="1" customHeight="1" spans="2:2">
      <c r="B1804" s="2"/>
    </row>
    <row r="1805" s="1" customFormat="1" customHeight="1" spans="2:2">
      <c r="B1805" s="2"/>
    </row>
    <row r="1806" s="1" customFormat="1" customHeight="1" spans="2:2">
      <c r="B1806" s="2"/>
    </row>
    <row r="1807" s="1" customFormat="1" customHeight="1" spans="2:2">
      <c r="B1807" s="2"/>
    </row>
    <row r="1808" s="1" customFormat="1" customHeight="1" spans="2:2">
      <c r="B1808" s="2"/>
    </row>
    <row r="1809" s="1" customFormat="1" customHeight="1" spans="2:2">
      <c r="B1809" s="2"/>
    </row>
    <row r="1810" s="1" customFormat="1" customHeight="1" spans="2:2">
      <c r="B1810" s="2"/>
    </row>
    <row r="1811" s="1" customFormat="1" customHeight="1" spans="2:2">
      <c r="B1811" s="2"/>
    </row>
    <row r="1812" s="1" customFormat="1" customHeight="1" spans="2:2">
      <c r="B1812" s="2"/>
    </row>
    <row r="1813" s="1" customFormat="1" customHeight="1" spans="2:2">
      <c r="B1813" s="2"/>
    </row>
    <row r="1814" s="1" customFormat="1" customHeight="1" spans="2:2">
      <c r="B1814" s="2"/>
    </row>
    <row r="1815" s="1" customFormat="1" customHeight="1" spans="2:2">
      <c r="B1815" s="2"/>
    </row>
    <row r="1816" s="1" customFormat="1" customHeight="1" spans="2:2">
      <c r="B1816" s="2"/>
    </row>
    <row r="1817" s="1" customFormat="1" customHeight="1" spans="2:2">
      <c r="B1817" s="2"/>
    </row>
    <row r="1818" s="1" customFormat="1" customHeight="1" spans="2:2">
      <c r="B1818" s="2"/>
    </row>
    <row r="1819" s="1" customFormat="1" customHeight="1" spans="2:2">
      <c r="B1819" s="2"/>
    </row>
    <row r="1820" s="1" customFormat="1" customHeight="1" spans="2:2">
      <c r="B1820" s="2"/>
    </row>
    <row r="1821" s="1" customFormat="1" customHeight="1" spans="2:2">
      <c r="B1821" s="2"/>
    </row>
    <row r="1822" s="1" customFormat="1" customHeight="1" spans="2:2">
      <c r="B1822" s="2"/>
    </row>
    <row r="1823" s="1" customFormat="1" customHeight="1" spans="2:2">
      <c r="B1823" s="2"/>
    </row>
    <row r="1824" s="1" customFormat="1" customHeight="1" spans="2:2">
      <c r="B1824" s="2"/>
    </row>
    <row r="1825" s="1" customFormat="1" customHeight="1" spans="2:2">
      <c r="B1825" s="2"/>
    </row>
    <row r="1826" s="1" customFormat="1" customHeight="1" spans="2:2">
      <c r="B1826" s="2"/>
    </row>
    <row r="1827" s="1" customFormat="1" customHeight="1" spans="2:2">
      <c r="B1827" s="2"/>
    </row>
    <row r="1828" s="1" customFormat="1" customHeight="1" spans="2:2">
      <c r="B1828" s="2"/>
    </row>
    <row r="1829" s="1" customFormat="1" customHeight="1" spans="2:2">
      <c r="B1829" s="2"/>
    </row>
    <row r="1830" s="1" customFormat="1" customHeight="1" spans="2:2">
      <c r="B1830" s="2"/>
    </row>
    <row r="1831" s="1" customFormat="1" customHeight="1" spans="2:2">
      <c r="B1831" s="2"/>
    </row>
    <row r="1832" s="1" customFormat="1" customHeight="1" spans="2:2">
      <c r="B1832" s="2"/>
    </row>
    <row r="1833" s="1" customFormat="1" customHeight="1" spans="2:2">
      <c r="B1833" s="2"/>
    </row>
    <row r="1834" s="1" customFormat="1" customHeight="1" spans="2:2">
      <c r="B1834" s="2"/>
    </row>
    <row r="1835" s="1" customFormat="1" customHeight="1" spans="2:2">
      <c r="B1835" s="2"/>
    </row>
    <row r="1836" s="1" customFormat="1" customHeight="1" spans="2:2">
      <c r="B1836" s="2"/>
    </row>
    <row r="1837" s="1" customFormat="1" customHeight="1" spans="2:2">
      <c r="B1837" s="2"/>
    </row>
    <row r="1838" s="1" customFormat="1" customHeight="1" spans="2:2">
      <c r="B1838" s="2"/>
    </row>
    <row r="1839" s="1" customFormat="1" customHeight="1" spans="2:2">
      <c r="B1839" s="2"/>
    </row>
    <row r="1840" s="1" customFormat="1" customHeight="1" spans="2:2">
      <c r="B1840" s="2"/>
    </row>
    <row r="1841" s="1" customFormat="1" customHeight="1" spans="2:2">
      <c r="B1841" s="2"/>
    </row>
    <row r="1842" s="1" customFormat="1" customHeight="1" spans="2:2">
      <c r="B1842" s="2"/>
    </row>
    <row r="1843" s="1" customFormat="1" customHeight="1" spans="2:2">
      <c r="B1843" s="2"/>
    </row>
    <row r="1844" s="1" customFormat="1" customHeight="1" spans="2:2">
      <c r="B1844" s="2"/>
    </row>
    <row r="1845" s="1" customFormat="1" customHeight="1" spans="2:2">
      <c r="B1845" s="2"/>
    </row>
    <row r="1846" s="1" customFormat="1" customHeight="1" spans="2:2">
      <c r="B1846" s="2"/>
    </row>
    <row r="1847" s="1" customFormat="1" customHeight="1" spans="2:2">
      <c r="B1847" s="2"/>
    </row>
    <row r="1848" s="1" customFormat="1" customHeight="1" spans="2:2">
      <c r="B1848" s="2"/>
    </row>
    <row r="1849" s="1" customFormat="1" customHeight="1" spans="2:2">
      <c r="B1849" s="2"/>
    </row>
  </sheetData>
  <autoFilter ref="A2:K490">
    <extLst/>
  </autoFilter>
  <mergeCells count="1">
    <mergeCell ref="A1:K1"/>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教育岗位</vt:lpstr>
      <vt:lpstr>卫健岗位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哎 呦</cp:lastModifiedBy>
  <dcterms:created xsi:type="dcterms:W3CDTF">2022-08-20T01:38:00Z</dcterms:created>
  <dcterms:modified xsi:type="dcterms:W3CDTF">2022-08-20T03:50:05Z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8E6ED185B28049D4A6037E1497A0A11C</vt:lpwstr>
  </property>
</Properties>
</file>