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4112事业单位（党校）20220724" sheetId="1" r:id="rId1"/>
  </sheets>
  <definedNames/>
  <calcPr fullCalcOnLoad="1"/>
</workbook>
</file>

<file path=xl/sharedStrings.xml><?xml version="1.0" encoding="utf-8"?>
<sst xmlns="http://schemas.openxmlformats.org/spreadsheetml/2006/main" count="208" uniqueCount="22">
  <si>
    <t>伊金霍洛旗2022年度事业单位公开招聘工作人员面试总成绩及
进入体检、考察范围人员名单</t>
  </si>
  <si>
    <t>报考号</t>
  </si>
  <si>
    <t>序号</t>
  </si>
  <si>
    <t>岗位代码</t>
  </si>
  <si>
    <t>岗位名称</t>
  </si>
  <si>
    <t>招聘单位</t>
  </si>
  <si>
    <t>姓名</t>
  </si>
  <si>
    <t>性别</t>
  </si>
  <si>
    <t>准考证号</t>
  </si>
  <si>
    <t>试讲
得分</t>
  </si>
  <si>
    <t>结构化面试得分</t>
  </si>
  <si>
    <t>总成绩</t>
  </si>
  <si>
    <t>是否进入体检、考察范围</t>
  </si>
  <si>
    <t>讲师1</t>
  </si>
  <si>
    <t>伊金霍洛旗委党校</t>
  </si>
  <si>
    <t>否</t>
  </si>
  <si>
    <t>是</t>
  </si>
  <si>
    <t>——</t>
  </si>
  <si>
    <t>讲师2</t>
  </si>
  <si>
    <t>讲师3</t>
  </si>
  <si>
    <t>讲师4</t>
  </si>
  <si>
    <t>讲师5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</si>
</sst>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37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15" zoomScaleNormal="115" workbookViewId="0" topLeftCell="B1">
      <selection activeCell="P10" sqref="P10"/>
    </sheetView>
  </sheetViews>
  <sheetFormatPr defaultColWidth="9.00390625" defaultRowHeight="18.75" customHeight="1"/>
  <cols>
    <col min="1" max="1" width="27.140625" style="0" hidden="1" customWidth="1"/>
    <col min="2" max="2" width="3.57421875" style="0" customWidth="1"/>
    <col min="3" max="3" width="6.00390625" style="0" customWidth="1"/>
    <col min="4" max="4" width="5.7109375" style="0" customWidth="1"/>
    <col min="5" max="5" width="17.7109375" style="0" customWidth="1"/>
    <col min="6" max="6" width="9.00390625" style="3" customWidth="1"/>
    <col min="7" max="7" width="5.7109375" style="0" customWidth="1"/>
    <col min="8" max="8" width="12.7109375" style="0" customWidth="1"/>
    <col min="9" max="9" width="7.421875" style="4" customWidth="1"/>
    <col min="10" max="10" width="6.421875" style="4" customWidth="1"/>
    <col min="11" max="11" width="8.140625" style="4" customWidth="1"/>
  </cols>
  <sheetData>
    <row r="1" spans="2:12" ht="39.7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58.5" customHeight="1">
      <c r="A2" s="1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2" t="s">
        <v>9</v>
      </c>
      <c r="J2" s="12" t="s">
        <v>10</v>
      </c>
      <c r="K2" s="12" t="s">
        <v>11</v>
      </c>
      <c r="L2" s="6" t="s">
        <v>12</v>
      </c>
    </row>
    <row r="3" spans="1:12" s="2" customFormat="1" ht="18.75" customHeight="1">
      <c r="A3" s="2" t="str">
        <f>"411220220629090709112168"</f>
        <v>411220220629090709112168</v>
      </c>
      <c r="B3" s="9">
        <v>1</v>
      </c>
      <c r="C3" s="10" t="str">
        <f aca="true" t="shared" si="0" ref="C3:C18">"01"</f>
        <v>01</v>
      </c>
      <c r="D3" s="10" t="s">
        <v>13</v>
      </c>
      <c r="E3" s="10" t="s">
        <v>14</v>
      </c>
      <c r="F3" s="11" t="str">
        <f>"张雪情"</f>
        <v>张雪情</v>
      </c>
      <c r="G3" s="10" t="str">
        <f>"女"</f>
        <v>女</v>
      </c>
      <c r="H3" s="10" t="str">
        <f>"15061010301"</f>
        <v>15061010301</v>
      </c>
      <c r="I3" s="13">
        <v>73.44</v>
      </c>
      <c r="J3" s="13">
        <v>74.08</v>
      </c>
      <c r="K3" s="13">
        <f aca="true" t="shared" si="1" ref="K3:K37">I3*60%+J3*40%</f>
        <v>73.696</v>
      </c>
      <c r="L3" s="9" t="s">
        <v>15</v>
      </c>
    </row>
    <row r="4" spans="1:12" s="2" customFormat="1" ht="18.75" customHeight="1">
      <c r="A4" s="2" t="str">
        <f>"411220220701173753127288"</f>
        <v>411220220701173753127288</v>
      </c>
      <c r="B4" s="9">
        <v>2</v>
      </c>
      <c r="C4" s="10" t="str">
        <f t="shared" si="0"/>
        <v>01</v>
      </c>
      <c r="D4" s="10" t="s">
        <v>13</v>
      </c>
      <c r="E4" s="10" t="s">
        <v>14</v>
      </c>
      <c r="F4" s="11" t="str">
        <f>"袁慧"</f>
        <v>袁慧</v>
      </c>
      <c r="G4" s="10" t="str">
        <f>"女"</f>
        <v>女</v>
      </c>
      <c r="H4" s="10" t="str">
        <f>"15061010305"</f>
        <v>15061010305</v>
      </c>
      <c r="I4" s="13">
        <v>75.8</v>
      </c>
      <c r="J4" s="13">
        <v>70.4</v>
      </c>
      <c r="K4" s="13">
        <f t="shared" si="1"/>
        <v>73.64</v>
      </c>
      <c r="L4" s="9" t="s">
        <v>15</v>
      </c>
    </row>
    <row r="5" spans="1:12" s="2" customFormat="1" ht="18.75" customHeight="1">
      <c r="A5" s="2" t="str">
        <f>"411220220702125649128999"</f>
        <v>411220220702125649128999</v>
      </c>
      <c r="B5" s="9">
        <v>3</v>
      </c>
      <c r="C5" s="10" t="str">
        <f t="shared" si="0"/>
        <v>01</v>
      </c>
      <c r="D5" s="10" t="s">
        <v>13</v>
      </c>
      <c r="E5" s="10" t="s">
        <v>14</v>
      </c>
      <c r="F5" s="11" t="str">
        <f>"刘雅荣"</f>
        <v>刘雅荣</v>
      </c>
      <c r="G5" s="10" t="str">
        <f>"女"</f>
        <v>女</v>
      </c>
      <c r="H5" s="10" t="str">
        <f>"15061010306"</f>
        <v>15061010306</v>
      </c>
      <c r="I5" s="13">
        <v>74.02</v>
      </c>
      <c r="J5" s="13">
        <v>69.42</v>
      </c>
      <c r="K5" s="13">
        <f t="shared" si="1"/>
        <v>72.18</v>
      </c>
      <c r="L5" s="9" t="s">
        <v>15</v>
      </c>
    </row>
    <row r="6" spans="1:12" s="2" customFormat="1" ht="18.75" customHeight="1">
      <c r="A6" s="2" t="str">
        <f>"411220220629230350117292"</f>
        <v>411220220629230350117292</v>
      </c>
      <c r="B6" s="9">
        <v>4</v>
      </c>
      <c r="C6" s="10" t="str">
        <f t="shared" si="0"/>
        <v>01</v>
      </c>
      <c r="D6" s="10" t="s">
        <v>13</v>
      </c>
      <c r="E6" s="10" t="s">
        <v>14</v>
      </c>
      <c r="F6" s="11" t="str">
        <f>"张雅婷"</f>
        <v>张雅婷</v>
      </c>
      <c r="G6" s="10" t="str">
        <f>"女"</f>
        <v>女</v>
      </c>
      <c r="H6" s="10" t="str">
        <f>"15061010307"</f>
        <v>15061010307</v>
      </c>
      <c r="I6" s="13">
        <v>71.96</v>
      </c>
      <c r="J6" s="13">
        <v>71.84</v>
      </c>
      <c r="K6" s="13">
        <f t="shared" si="1"/>
        <v>71.912</v>
      </c>
      <c r="L6" s="9" t="s">
        <v>15</v>
      </c>
    </row>
    <row r="7" spans="1:12" s="2" customFormat="1" ht="18.75" customHeight="1">
      <c r="A7" s="2" t="str">
        <f>"411220220704123310137242"</f>
        <v>411220220704123310137242</v>
      </c>
      <c r="B7" s="9">
        <v>5</v>
      </c>
      <c r="C7" s="10" t="str">
        <f t="shared" si="0"/>
        <v>01</v>
      </c>
      <c r="D7" s="10" t="s">
        <v>13</v>
      </c>
      <c r="E7" s="10" t="s">
        <v>14</v>
      </c>
      <c r="F7" s="11" t="str">
        <f>"于丁一"</f>
        <v>于丁一</v>
      </c>
      <c r="G7" s="10" t="str">
        <f>"男"</f>
        <v>男</v>
      </c>
      <c r="H7" s="10" t="str">
        <f>"15061010312"</f>
        <v>15061010312</v>
      </c>
      <c r="I7" s="13">
        <v>77.24</v>
      </c>
      <c r="J7" s="13">
        <v>75.94</v>
      </c>
      <c r="K7" s="13">
        <f t="shared" si="1"/>
        <v>76.72</v>
      </c>
      <c r="L7" s="9" t="s">
        <v>16</v>
      </c>
    </row>
    <row r="8" spans="1:12" s="2" customFormat="1" ht="18.75" customHeight="1">
      <c r="A8" s="2" t="str">
        <f>"411220220629182052116371"</f>
        <v>411220220629182052116371</v>
      </c>
      <c r="B8" s="9">
        <v>6</v>
      </c>
      <c r="C8" s="10" t="str">
        <f t="shared" si="0"/>
        <v>01</v>
      </c>
      <c r="D8" s="10" t="s">
        <v>13</v>
      </c>
      <c r="E8" s="10" t="s">
        <v>14</v>
      </c>
      <c r="F8" s="11" t="str">
        <f>"郝瑞芳"</f>
        <v>郝瑞芳</v>
      </c>
      <c r="G8" s="10" t="str">
        <f aca="true" t="shared" si="2" ref="G8:G18">"女"</f>
        <v>女</v>
      </c>
      <c r="H8" s="10" t="str">
        <f>"15061010313"</f>
        <v>15061010313</v>
      </c>
      <c r="I8" s="13">
        <v>73.62</v>
      </c>
      <c r="J8" s="13">
        <v>72.62</v>
      </c>
      <c r="K8" s="13">
        <f t="shared" si="1"/>
        <v>73.22</v>
      </c>
      <c r="L8" s="9" t="s">
        <v>15</v>
      </c>
    </row>
    <row r="9" spans="1:12" s="2" customFormat="1" ht="18.75" customHeight="1">
      <c r="A9" s="2" t="str">
        <f>"411220220630112850118594"</f>
        <v>411220220630112850118594</v>
      </c>
      <c r="B9" s="9">
        <v>7</v>
      </c>
      <c r="C9" s="10" t="str">
        <f t="shared" si="0"/>
        <v>01</v>
      </c>
      <c r="D9" s="10" t="s">
        <v>13</v>
      </c>
      <c r="E9" s="10" t="s">
        <v>14</v>
      </c>
      <c r="F9" s="11" t="str">
        <f>"白晔"</f>
        <v>白晔</v>
      </c>
      <c r="G9" s="10" t="str">
        <f t="shared" si="2"/>
        <v>女</v>
      </c>
      <c r="H9" s="10" t="str">
        <f>"15061010314"</f>
        <v>15061010314</v>
      </c>
      <c r="I9" s="13">
        <v>75.52</v>
      </c>
      <c r="J9" s="13">
        <v>49.32</v>
      </c>
      <c r="K9" s="13">
        <f t="shared" si="1"/>
        <v>65.03999999999999</v>
      </c>
      <c r="L9" s="9" t="s">
        <v>15</v>
      </c>
    </row>
    <row r="10" spans="1:12" s="2" customFormat="1" ht="18.75" customHeight="1">
      <c r="A10" s="2" t="str">
        <f>"411220220629140800114614"</f>
        <v>411220220629140800114614</v>
      </c>
      <c r="B10" s="9">
        <v>8</v>
      </c>
      <c r="C10" s="10" t="str">
        <f t="shared" si="0"/>
        <v>01</v>
      </c>
      <c r="D10" s="10" t="s">
        <v>13</v>
      </c>
      <c r="E10" s="10" t="s">
        <v>14</v>
      </c>
      <c r="F10" s="11" t="str">
        <f>"高晶"</f>
        <v>高晶</v>
      </c>
      <c r="G10" s="10" t="str">
        <f t="shared" si="2"/>
        <v>女</v>
      </c>
      <c r="H10" s="10" t="str">
        <f>"15061010316"</f>
        <v>15061010316</v>
      </c>
      <c r="I10" s="13" t="s">
        <v>17</v>
      </c>
      <c r="J10" s="13" t="s">
        <v>17</v>
      </c>
      <c r="K10" s="13" t="s">
        <v>17</v>
      </c>
      <c r="L10" s="9" t="s">
        <v>15</v>
      </c>
    </row>
    <row r="11" spans="1:12" s="2" customFormat="1" ht="18.75" customHeight="1">
      <c r="A11" s="2" t="str">
        <f>"411220220629091600112276"</f>
        <v>411220220629091600112276</v>
      </c>
      <c r="B11" s="9">
        <v>9</v>
      </c>
      <c r="C11" s="10" t="str">
        <f t="shared" si="0"/>
        <v>01</v>
      </c>
      <c r="D11" s="10" t="s">
        <v>13</v>
      </c>
      <c r="E11" s="10" t="s">
        <v>14</v>
      </c>
      <c r="F11" s="11" t="str">
        <f>"沙仁"</f>
        <v>沙仁</v>
      </c>
      <c r="G11" s="10" t="str">
        <f t="shared" si="2"/>
        <v>女</v>
      </c>
      <c r="H11" s="10" t="str">
        <f>"15061010317"</f>
        <v>15061010317</v>
      </c>
      <c r="I11" s="13">
        <v>72.16</v>
      </c>
      <c r="J11" s="13">
        <v>70.88</v>
      </c>
      <c r="K11" s="13">
        <f t="shared" si="1"/>
        <v>71.648</v>
      </c>
      <c r="L11" s="9" t="s">
        <v>15</v>
      </c>
    </row>
    <row r="12" spans="1:12" s="2" customFormat="1" ht="18.75" customHeight="1">
      <c r="A12" s="2" t="str">
        <f>"411220220629095831112722"</f>
        <v>411220220629095831112722</v>
      </c>
      <c r="B12" s="9">
        <v>10</v>
      </c>
      <c r="C12" s="10" t="str">
        <f t="shared" si="0"/>
        <v>01</v>
      </c>
      <c r="D12" s="10" t="s">
        <v>13</v>
      </c>
      <c r="E12" s="10" t="s">
        <v>14</v>
      </c>
      <c r="F12" s="11" t="str">
        <f>"曹书"</f>
        <v>曹书</v>
      </c>
      <c r="G12" s="10" t="str">
        <f t="shared" si="2"/>
        <v>女</v>
      </c>
      <c r="H12" s="10" t="str">
        <f>"15061010319"</f>
        <v>15061010319</v>
      </c>
      <c r="I12" s="13">
        <v>72.16</v>
      </c>
      <c r="J12" s="13">
        <v>73.02</v>
      </c>
      <c r="K12" s="13">
        <f t="shared" si="1"/>
        <v>72.50399999999999</v>
      </c>
      <c r="L12" s="9" t="s">
        <v>15</v>
      </c>
    </row>
    <row r="13" spans="1:12" s="2" customFormat="1" ht="18.75" customHeight="1">
      <c r="A13" s="2" t="str">
        <f>"411220220629094846112615"</f>
        <v>411220220629094846112615</v>
      </c>
      <c r="B13" s="9">
        <v>11</v>
      </c>
      <c r="C13" s="10" t="str">
        <f t="shared" si="0"/>
        <v>01</v>
      </c>
      <c r="D13" s="10" t="s">
        <v>13</v>
      </c>
      <c r="E13" s="10" t="s">
        <v>14</v>
      </c>
      <c r="F13" s="11" t="str">
        <f>"李丽"</f>
        <v>李丽</v>
      </c>
      <c r="G13" s="10" t="str">
        <f t="shared" si="2"/>
        <v>女</v>
      </c>
      <c r="H13" s="10" t="str">
        <f>"15061010320"</f>
        <v>15061010320</v>
      </c>
      <c r="I13" s="13">
        <v>74.7</v>
      </c>
      <c r="J13" s="13">
        <v>74.4</v>
      </c>
      <c r="K13" s="13">
        <f t="shared" si="1"/>
        <v>74.58000000000001</v>
      </c>
      <c r="L13" s="9" t="s">
        <v>15</v>
      </c>
    </row>
    <row r="14" spans="1:12" s="2" customFormat="1" ht="18.75" customHeight="1">
      <c r="A14" s="2" t="str">
        <f>"411220220629105202113273"</f>
        <v>411220220629105202113273</v>
      </c>
      <c r="B14" s="9">
        <v>12</v>
      </c>
      <c r="C14" s="10" t="str">
        <f t="shared" si="0"/>
        <v>01</v>
      </c>
      <c r="D14" s="10" t="s">
        <v>13</v>
      </c>
      <c r="E14" s="10" t="s">
        <v>14</v>
      </c>
      <c r="F14" s="11" t="str">
        <f>"武婧杰"</f>
        <v>武婧杰</v>
      </c>
      <c r="G14" s="10" t="str">
        <f t="shared" si="2"/>
        <v>女</v>
      </c>
      <c r="H14" s="10" t="str">
        <f>"15061010321"</f>
        <v>15061010321</v>
      </c>
      <c r="I14" s="13">
        <v>71.88</v>
      </c>
      <c r="J14" s="13">
        <v>70.58</v>
      </c>
      <c r="K14" s="13">
        <f t="shared" si="1"/>
        <v>71.35999999999999</v>
      </c>
      <c r="L14" s="9" t="s">
        <v>15</v>
      </c>
    </row>
    <row r="15" spans="1:12" s="2" customFormat="1" ht="18.75" customHeight="1">
      <c r="A15" s="2" t="str">
        <f>"411220220629121450113880"</f>
        <v>411220220629121450113880</v>
      </c>
      <c r="B15" s="9">
        <v>13</v>
      </c>
      <c r="C15" s="10" t="str">
        <f t="shared" si="0"/>
        <v>01</v>
      </c>
      <c r="D15" s="10" t="s">
        <v>13</v>
      </c>
      <c r="E15" s="10" t="s">
        <v>14</v>
      </c>
      <c r="F15" s="11" t="str">
        <f>"李楠"</f>
        <v>李楠</v>
      </c>
      <c r="G15" s="10" t="str">
        <f t="shared" si="2"/>
        <v>女</v>
      </c>
      <c r="H15" s="10" t="str">
        <f>"15061010322"</f>
        <v>15061010322</v>
      </c>
      <c r="I15" s="13">
        <v>77.58</v>
      </c>
      <c r="J15" s="13">
        <v>74.52</v>
      </c>
      <c r="K15" s="13">
        <f t="shared" si="1"/>
        <v>76.356</v>
      </c>
      <c r="L15" s="9" t="s">
        <v>15</v>
      </c>
    </row>
    <row r="16" spans="1:12" s="2" customFormat="1" ht="18.75" customHeight="1">
      <c r="A16" s="2" t="str">
        <f>"411220220629165300115932"</f>
        <v>411220220629165300115932</v>
      </c>
      <c r="B16" s="9">
        <v>14</v>
      </c>
      <c r="C16" s="10" t="str">
        <f t="shared" si="0"/>
        <v>01</v>
      </c>
      <c r="D16" s="10" t="s">
        <v>13</v>
      </c>
      <c r="E16" s="10" t="s">
        <v>14</v>
      </c>
      <c r="F16" s="11" t="str">
        <f>"思黛琴"</f>
        <v>思黛琴</v>
      </c>
      <c r="G16" s="10" t="str">
        <f t="shared" si="2"/>
        <v>女</v>
      </c>
      <c r="H16" s="10" t="str">
        <f>"15061010324"</f>
        <v>15061010324</v>
      </c>
      <c r="I16" s="13">
        <v>78.4</v>
      </c>
      <c r="J16" s="13">
        <v>75.42</v>
      </c>
      <c r="K16" s="13">
        <f t="shared" si="1"/>
        <v>77.208</v>
      </c>
      <c r="L16" s="9" t="s">
        <v>16</v>
      </c>
    </row>
    <row r="17" spans="1:12" s="2" customFormat="1" ht="18.75" customHeight="1">
      <c r="A17" s="2" t="str">
        <f>"411220220629161605115660"</f>
        <v>411220220629161605115660</v>
      </c>
      <c r="B17" s="9">
        <v>15</v>
      </c>
      <c r="C17" s="10" t="str">
        <f t="shared" si="0"/>
        <v>01</v>
      </c>
      <c r="D17" s="10" t="s">
        <v>13</v>
      </c>
      <c r="E17" s="10" t="s">
        <v>14</v>
      </c>
      <c r="F17" s="11" t="str">
        <f>"刘雪敏"</f>
        <v>刘雪敏</v>
      </c>
      <c r="G17" s="10" t="str">
        <f t="shared" si="2"/>
        <v>女</v>
      </c>
      <c r="H17" s="10" t="str">
        <f>"15061010327"</f>
        <v>15061010327</v>
      </c>
      <c r="I17" s="13">
        <v>79.72</v>
      </c>
      <c r="J17" s="13">
        <v>74.42</v>
      </c>
      <c r="K17" s="13">
        <f t="shared" si="1"/>
        <v>77.6</v>
      </c>
      <c r="L17" s="9" t="s">
        <v>16</v>
      </c>
    </row>
    <row r="18" spans="1:12" s="2" customFormat="1" ht="18.75" customHeight="1">
      <c r="A18" s="2" t="str">
        <f>"411220220630111411118529"</f>
        <v>411220220630111411118529</v>
      </c>
      <c r="B18" s="9">
        <v>16</v>
      </c>
      <c r="C18" s="10" t="str">
        <f t="shared" si="0"/>
        <v>01</v>
      </c>
      <c r="D18" s="10" t="s">
        <v>13</v>
      </c>
      <c r="E18" s="10" t="s">
        <v>14</v>
      </c>
      <c r="F18" s="11" t="str">
        <f>"刘桃"</f>
        <v>刘桃</v>
      </c>
      <c r="G18" s="10" t="str">
        <f t="shared" si="2"/>
        <v>女</v>
      </c>
      <c r="H18" s="10" t="str">
        <f>"15061010328"</f>
        <v>15061010328</v>
      </c>
      <c r="I18" s="13">
        <v>74.98</v>
      </c>
      <c r="J18" s="13">
        <v>66.72</v>
      </c>
      <c r="K18" s="13">
        <f t="shared" si="1"/>
        <v>71.676</v>
      </c>
      <c r="L18" s="9" t="s">
        <v>15</v>
      </c>
    </row>
    <row r="19" spans="1:12" s="2" customFormat="1" ht="18.75" customHeight="1">
      <c r="A19" s="2" t="str">
        <f>"411220220629090421112128"</f>
        <v>411220220629090421112128</v>
      </c>
      <c r="B19" s="9">
        <v>17</v>
      </c>
      <c r="C19" s="10" t="str">
        <f>"02"</f>
        <v>02</v>
      </c>
      <c r="D19" s="10" t="s">
        <v>18</v>
      </c>
      <c r="E19" s="10" t="s">
        <v>14</v>
      </c>
      <c r="F19" s="11" t="str">
        <f>"王鹏"</f>
        <v>王鹏</v>
      </c>
      <c r="G19" s="10" t="str">
        <f>"男"</f>
        <v>男</v>
      </c>
      <c r="H19" s="10" t="str">
        <f>"15061020401"</f>
        <v>15061020401</v>
      </c>
      <c r="I19" s="13" t="s">
        <v>17</v>
      </c>
      <c r="J19" s="13" t="s">
        <v>17</v>
      </c>
      <c r="K19" s="13" t="s">
        <v>17</v>
      </c>
      <c r="L19" s="9" t="s">
        <v>15</v>
      </c>
    </row>
    <row r="20" spans="1:12" s="2" customFormat="1" ht="18.75" customHeight="1">
      <c r="A20" s="2" t="str">
        <f>"411220220629122726113990"</f>
        <v>411220220629122726113990</v>
      </c>
      <c r="B20" s="9">
        <v>18</v>
      </c>
      <c r="C20" s="10" t="str">
        <f>"02"</f>
        <v>02</v>
      </c>
      <c r="D20" s="10" t="s">
        <v>18</v>
      </c>
      <c r="E20" s="10" t="s">
        <v>14</v>
      </c>
      <c r="F20" s="11" t="str">
        <f>"李泓阳"</f>
        <v>李泓阳</v>
      </c>
      <c r="G20" s="10" t="str">
        <f>"女"</f>
        <v>女</v>
      </c>
      <c r="H20" s="10" t="str">
        <f>"15061020404"</f>
        <v>15061020404</v>
      </c>
      <c r="I20" s="13">
        <v>81.96</v>
      </c>
      <c r="J20" s="13">
        <v>78.92</v>
      </c>
      <c r="K20" s="13">
        <f t="shared" si="1"/>
        <v>80.744</v>
      </c>
      <c r="L20" s="9" t="s">
        <v>16</v>
      </c>
    </row>
    <row r="21" spans="1:12" s="2" customFormat="1" ht="18.75" customHeight="1">
      <c r="A21" s="2" t="str">
        <f>"411220220701163812126829"</f>
        <v>411220220701163812126829</v>
      </c>
      <c r="B21" s="9">
        <v>19</v>
      </c>
      <c r="C21" s="10" t="str">
        <f>"02"</f>
        <v>02</v>
      </c>
      <c r="D21" s="10" t="s">
        <v>18</v>
      </c>
      <c r="E21" s="10" t="s">
        <v>14</v>
      </c>
      <c r="F21" s="11" t="str">
        <f>"龚娇"</f>
        <v>龚娇</v>
      </c>
      <c r="G21" s="10" t="str">
        <f>"女"</f>
        <v>女</v>
      </c>
      <c r="H21" s="10" t="str">
        <f>"15061020407"</f>
        <v>15061020407</v>
      </c>
      <c r="I21" s="13">
        <v>80.76</v>
      </c>
      <c r="J21" s="13">
        <v>74.4</v>
      </c>
      <c r="K21" s="13">
        <f t="shared" si="1"/>
        <v>78.21600000000001</v>
      </c>
      <c r="L21" s="9" t="s">
        <v>15</v>
      </c>
    </row>
    <row r="22" spans="1:12" s="2" customFormat="1" ht="18.75" customHeight="1">
      <c r="A22" s="2" t="str">
        <f>"411220220704112448136183"</f>
        <v>411220220704112448136183</v>
      </c>
      <c r="B22" s="9">
        <v>20</v>
      </c>
      <c r="C22" s="10" t="str">
        <f>"02"</f>
        <v>02</v>
      </c>
      <c r="D22" s="10" t="s">
        <v>18</v>
      </c>
      <c r="E22" s="10" t="s">
        <v>14</v>
      </c>
      <c r="F22" s="11" t="str">
        <f>"包雪岩"</f>
        <v>包雪岩</v>
      </c>
      <c r="G22" s="10" t="str">
        <f>"男"</f>
        <v>男</v>
      </c>
      <c r="H22" s="10" t="str">
        <f>"15061020408"</f>
        <v>15061020408</v>
      </c>
      <c r="I22" s="13">
        <v>70.82</v>
      </c>
      <c r="J22" s="13">
        <v>70.88</v>
      </c>
      <c r="K22" s="13">
        <f t="shared" si="1"/>
        <v>70.844</v>
      </c>
      <c r="L22" s="9" t="s">
        <v>15</v>
      </c>
    </row>
    <row r="23" spans="1:12" s="2" customFormat="1" ht="18.75" customHeight="1">
      <c r="A23" s="2" t="str">
        <f>"411220220701111031124173"</f>
        <v>411220220701111031124173</v>
      </c>
      <c r="B23" s="9">
        <v>21</v>
      </c>
      <c r="C23" s="10" t="str">
        <f>"02"</f>
        <v>02</v>
      </c>
      <c r="D23" s="10" t="s">
        <v>18</v>
      </c>
      <c r="E23" s="10" t="s">
        <v>14</v>
      </c>
      <c r="F23" s="11" t="str">
        <f>"张曼"</f>
        <v>张曼</v>
      </c>
      <c r="G23" s="10" t="str">
        <f>"女"</f>
        <v>女</v>
      </c>
      <c r="H23" s="10" t="str">
        <f>"15061020411"</f>
        <v>15061020411</v>
      </c>
      <c r="I23" s="13" t="s">
        <v>17</v>
      </c>
      <c r="J23" s="13" t="s">
        <v>17</v>
      </c>
      <c r="K23" s="13" t="s">
        <v>17</v>
      </c>
      <c r="L23" s="9" t="s">
        <v>15</v>
      </c>
    </row>
    <row r="24" spans="1:12" s="2" customFormat="1" ht="18.75" customHeight="1">
      <c r="A24" s="2" t="str">
        <f>"411220220629091156112218"</f>
        <v>411220220629091156112218</v>
      </c>
      <c r="B24" s="9">
        <v>22</v>
      </c>
      <c r="C24" s="10" t="str">
        <f aca="true" t="shared" si="3" ref="C24:C32">"03"</f>
        <v>03</v>
      </c>
      <c r="D24" s="10" t="s">
        <v>19</v>
      </c>
      <c r="E24" s="10" t="s">
        <v>14</v>
      </c>
      <c r="F24" s="11" t="str">
        <f>"黄昱"</f>
        <v>黄昱</v>
      </c>
      <c r="G24" s="10" t="str">
        <f>"女"</f>
        <v>女</v>
      </c>
      <c r="H24" s="10" t="str">
        <f>"15061030101"</f>
        <v>15061030101</v>
      </c>
      <c r="I24" s="13">
        <v>72.88</v>
      </c>
      <c r="J24" s="13">
        <v>73.06</v>
      </c>
      <c r="K24" s="13">
        <f t="shared" si="1"/>
        <v>72.952</v>
      </c>
      <c r="L24" s="9" t="s">
        <v>15</v>
      </c>
    </row>
    <row r="25" spans="1:12" s="2" customFormat="1" ht="18.75" customHeight="1">
      <c r="A25" s="2" t="str">
        <f>"411220220705142544143301"</f>
        <v>411220220705142544143301</v>
      </c>
      <c r="B25" s="9">
        <v>23</v>
      </c>
      <c r="C25" s="10" t="str">
        <f t="shared" si="3"/>
        <v>03</v>
      </c>
      <c r="D25" s="10" t="s">
        <v>19</v>
      </c>
      <c r="E25" s="10" t="s">
        <v>14</v>
      </c>
      <c r="F25" s="11" t="str">
        <f>"张佳卓"</f>
        <v>张佳卓</v>
      </c>
      <c r="G25" s="10" t="str">
        <f>"男"</f>
        <v>男</v>
      </c>
      <c r="H25" s="10" t="str">
        <f>"15061030102"</f>
        <v>15061030102</v>
      </c>
      <c r="I25" s="13" t="s">
        <v>17</v>
      </c>
      <c r="J25" s="13" t="s">
        <v>17</v>
      </c>
      <c r="K25" s="13" t="s">
        <v>17</v>
      </c>
      <c r="L25" s="9" t="s">
        <v>15</v>
      </c>
    </row>
    <row r="26" spans="1:12" s="2" customFormat="1" ht="18.75" customHeight="1">
      <c r="A26" s="2" t="str">
        <f>"411220220702204313130023"</f>
        <v>411220220702204313130023</v>
      </c>
      <c r="B26" s="9">
        <v>24</v>
      </c>
      <c r="C26" s="10" t="str">
        <f t="shared" si="3"/>
        <v>03</v>
      </c>
      <c r="D26" s="10" t="s">
        <v>19</v>
      </c>
      <c r="E26" s="10" t="s">
        <v>14</v>
      </c>
      <c r="F26" s="11" t="str">
        <f>"赵奕"</f>
        <v>赵奕</v>
      </c>
      <c r="G26" s="10" t="str">
        <f>"女"</f>
        <v>女</v>
      </c>
      <c r="H26" s="10" t="str">
        <f>"15061030106"</f>
        <v>15061030106</v>
      </c>
      <c r="I26" s="13">
        <v>73.78</v>
      </c>
      <c r="J26" s="13">
        <v>77.18</v>
      </c>
      <c r="K26" s="13">
        <f t="shared" si="1"/>
        <v>75.14</v>
      </c>
      <c r="L26" s="9" t="s">
        <v>15</v>
      </c>
    </row>
    <row r="27" spans="1:12" s="2" customFormat="1" ht="18.75" customHeight="1">
      <c r="A27" s="2" t="str">
        <f>"411220220630160200119654"</f>
        <v>411220220630160200119654</v>
      </c>
      <c r="B27" s="9">
        <v>25</v>
      </c>
      <c r="C27" s="10" t="str">
        <f t="shared" si="3"/>
        <v>03</v>
      </c>
      <c r="D27" s="10" t="s">
        <v>19</v>
      </c>
      <c r="E27" s="10" t="s">
        <v>14</v>
      </c>
      <c r="F27" s="11" t="str">
        <f>"陈亚慧"</f>
        <v>陈亚慧</v>
      </c>
      <c r="G27" s="10" t="str">
        <f>"女"</f>
        <v>女</v>
      </c>
      <c r="H27" s="10" t="str">
        <f>"15061030108"</f>
        <v>15061030108</v>
      </c>
      <c r="I27" s="13">
        <v>73.44</v>
      </c>
      <c r="J27" s="13">
        <v>71.92</v>
      </c>
      <c r="K27" s="13">
        <f t="shared" si="1"/>
        <v>72.832</v>
      </c>
      <c r="L27" s="9" t="s">
        <v>15</v>
      </c>
    </row>
    <row r="28" spans="1:12" s="2" customFormat="1" ht="18.75" customHeight="1">
      <c r="A28" s="2" t="str">
        <f>"411220220630162517119734"</f>
        <v>411220220630162517119734</v>
      </c>
      <c r="B28" s="9">
        <v>26</v>
      </c>
      <c r="C28" s="10" t="str">
        <f t="shared" si="3"/>
        <v>03</v>
      </c>
      <c r="D28" s="10" t="s">
        <v>19</v>
      </c>
      <c r="E28" s="10" t="s">
        <v>14</v>
      </c>
      <c r="F28" s="11" t="str">
        <f>"奇丽英"</f>
        <v>奇丽英</v>
      </c>
      <c r="G28" s="10" t="str">
        <f>"女"</f>
        <v>女</v>
      </c>
      <c r="H28" s="10" t="str">
        <f>"15061030109"</f>
        <v>15061030109</v>
      </c>
      <c r="I28" s="13">
        <v>79.26</v>
      </c>
      <c r="J28" s="13">
        <v>75.66</v>
      </c>
      <c r="K28" s="13">
        <f t="shared" si="1"/>
        <v>77.82000000000001</v>
      </c>
      <c r="L28" s="9" t="s">
        <v>16</v>
      </c>
    </row>
    <row r="29" spans="1:12" s="2" customFormat="1" ht="18.75" customHeight="1">
      <c r="A29" s="2" t="str">
        <f>"411220220630144748119295"</f>
        <v>411220220630144748119295</v>
      </c>
      <c r="B29" s="9">
        <v>27</v>
      </c>
      <c r="C29" s="10" t="str">
        <f t="shared" si="3"/>
        <v>03</v>
      </c>
      <c r="D29" s="10" t="s">
        <v>19</v>
      </c>
      <c r="E29" s="10" t="s">
        <v>14</v>
      </c>
      <c r="F29" s="11" t="str">
        <f>"张爱芳"</f>
        <v>张爱芳</v>
      </c>
      <c r="G29" s="10" t="str">
        <f>"女"</f>
        <v>女</v>
      </c>
      <c r="H29" s="10" t="str">
        <f>"15061030110"</f>
        <v>15061030110</v>
      </c>
      <c r="I29" s="13">
        <v>73.44</v>
      </c>
      <c r="J29" s="13">
        <v>71.4</v>
      </c>
      <c r="K29" s="13">
        <f t="shared" si="1"/>
        <v>72.624</v>
      </c>
      <c r="L29" s="9" t="s">
        <v>15</v>
      </c>
    </row>
    <row r="30" spans="1:12" s="2" customFormat="1" ht="18.75" customHeight="1">
      <c r="A30" s="2" t="str">
        <f>"411220220629220751117103"</f>
        <v>411220220629220751117103</v>
      </c>
      <c r="B30" s="9">
        <v>28</v>
      </c>
      <c r="C30" s="10" t="str">
        <f t="shared" si="3"/>
        <v>03</v>
      </c>
      <c r="D30" s="10" t="s">
        <v>19</v>
      </c>
      <c r="E30" s="10" t="s">
        <v>14</v>
      </c>
      <c r="F30" s="11" t="str">
        <f>"何强"</f>
        <v>何强</v>
      </c>
      <c r="G30" s="10" t="str">
        <f>"男"</f>
        <v>男</v>
      </c>
      <c r="H30" s="10" t="str">
        <f>"15061030112"</f>
        <v>15061030112</v>
      </c>
      <c r="I30" s="13" t="s">
        <v>17</v>
      </c>
      <c r="J30" s="13" t="s">
        <v>17</v>
      </c>
      <c r="K30" s="13" t="s">
        <v>17</v>
      </c>
      <c r="L30" s="9" t="s">
        <v>15</v>
      </c>
    </row>
    <row r="31" spans="1:12" s="2" customFormat="1" ht="18.75" customHeight="1">
      <c r="A31" s="2" t="str">
        <f>"411220220629091400112249"</f>
        <v>411220220629091400112249</v>
      </c>
      <c r="B31" s="9">
        <v>29</v>
      </c>
      <c r="C31" s="10" t="str">
        <f t="shared" si="3"/>
        <v>03</v>
      </c>
      <c r="D31" s="10" t="s">
        <v>19</v>
      </c>
      <c r="E31" s="10" t="s">
        <v>14</v>
      </c>
      <c r="F31" s="11" t="str">
        <f>"苏蕊"</f>
        <v>苏蕊</v>
      </c>
      <c r="G31" s="10" t="str">
        <f aca="true" t="shared" si="4" ref="G31:G39">"女"</f>
        <v>女</v>
      </c>
      <c r="H31" s="10" t="str">
        <f>"15061030115"</f>
        <v>15061030115</v>
      </c>
      <c r="I31" s="13">
        <v>74.68</v>
      </c>
      <c r="J31" s="13">
        <v>74.96</v>
      </c>
      <c r="K31" s="13">
        <f t="shared" si="1"/>
        <v>74.792</v>
      </c>
      <c r="L31" s="9" t="s">
        <v>15</v>
      </c>
    </row>
    <row r="32" spans="1:12" s="2" customFormat="1" ht="18.75" customHeight="1">
      <c r="A32" s="2" t="str">
        <f>"411220220629103426113128"</f>
        <v>411220220629103426113128</v>
      </c>
      <c r="B32" s="9">
        <v>30</v>
      </c>
      <c r="C32" s="10" t="str">
        <f t="shared" si="3"/>
        <v>03</v>
      </c>
      <c r="D32" s="10" t="s">
        <v>19</v>
      </c>
      <c r="E32" s="10" t="s">
        <v>14</v>
      </c>
      <c r="F32" s="11" t="str">
        <f>"张雅丽"</f>
        <v>张雅丽</v>
      </c>
      <c r="G32" s="10" t="str">
        <f t="shared" si="4"/>
        <v>女</v>
      </c>
      <c r="H32" s="10" t="str">
        <f>"15061030117"</f>
        <v>15061030117</v>
      </c>
      <c r="I32" s="13">
        <v>77.1</v>
      </c>
      <c r="J32" s="13">
        <v>75.32</v>
      </c>
      <c r="K32" s="13">
        <f t="shared" si="1"/>
        <v>76.388</v>
      </c>
      <c r="L32" s="9" t="s">
        <v>15</v>
      </c>
    </row>
    <row r="33" spans="1:12" s="2" customFormat="1" ht="18.75" customHeight="1">
      <c r="A33" s="2" t="str">
        <f>"411220220630104254118375"</f>
        <v>411220220630104254118375</v>
      </c>
      <c r="B33" s="9">
        <v>31</v>
      </c>
      <c r="C33" s="10" t="str">
        <f>"04"</f>
        <v>04</v>
      </c>
      <c r="D33" s="10" t="s">
        <v>20</v>
      </c>
      <c r="E33" s="10" t="s">
        <v>14</v>
      </c>
      <c r="F33" s="11" t="str">
        <f>"包珠娜"</f>
        <v>包珠娜</v>
      </c>
      <c r="G33" s="10" t="str">
        <f t="shared" si="4"/>
        <v>女</v>
      </c>
      <c r="H33" s="10" t="str">
        <f>"15061040128"</f>
        <v>15061040128</v>
      </c>
      <c r="I33" s="13">
        <v>72.14</v>
      </c>
      <c r="J33" s="13">
        <v>74.22</v>
      </c>
      <c r="K33" s="13">
        <f t="shared" si="1"/>
        <v>72.97200000000001</v>
      </c>
      <c r="L33" s="9" t="s">
        <v>15</v>
      </c>
    </row>
    <row r="34" spans="1:12" s="2" customFormat="1" ht="18.75" customHeight="1">
      <c r="A34" s="2" t="str">
        <f>"411220220630094748118007"</f>
        <v>411220220630094748118007</v>
      </c>
      <c r="B34" s="9">
        <v>32</v>
      </c>
      <c r="C34" s="10" t="str">
        <f>"04"</f>
        <v>04</v>
      </c>
      <c r="D34" s="10" t="s">
        <v>20</v>
      </c>
      <c r="E34" s="10" t="s">
        <v>14</v>
      </c>
      <c r="F34" s="11" t="str">
        <f>"李玉洁"</f>
        <v>李玉洁</v>
      </c>
      <c r="G34" s="10" t="str">
        <f t="shared" si="4"/>
        <v>女</v>
      </c>
      <c r="H34" s="10" t="str">
        <f>"15061040129"</f>
        <v>15061040129</v>
      </c>
      <c r="I34" s="13">
        <v>76.48</v>
      </c>
      <c r="J34" s="13">
        <v>73.7</v>
      </c>
      <c r="K34" s="13">
        <f t="shared" si="1"/>
        <v>75.368</v>
      </c>
      <c r="L34" s="9" t="s">
        <v>15</v>
      </c>
    </row>
    <row r="35" spans="1:12" s="2" customFormat="1" ht="18.75" customHeight="1">
      <c r="A35" s="2" t="str">
        <f>"411220220629212421116945"</f>
        <v>411220220629212421116945</v>
      </c>
      <c r="B35" s="9">
        <v>33</v>
      </c>
      <c r="C35" s="10" t="str">
        <f>"04"</f>
        <v>04</v>
      </c>
      <c r="D35" s="10" t="s">
        <v>20</v>
      </c>
      <c r="E35" s="10" t="s">
        <v>14</v>
      </c>
      <c r="F35" s="11" t="str">
        <f>"贺嘉熠"</f>
        <v>贺嘉熠</v>
      </c>
      <c r="G35" s="10" t="str">
        <f t="shared" si="4"/>
        <v>女</v>
      </c>
      <c r="H35" s="10" t="str">
        <f>"15061040130"</f>
        <v>15061040130</v>
      </c>
      <c r="I35" s="13">
        <v>76.98</v>
      </c>
      <c r="J35" s="13">
        <v>76.78</v>
      </c>
      <c r="K35" s="13">
        <f t="shared" si="1"/>
        <v>76.9</v>
      </c>
      <c r="L35" s="9" t="s">
        <v>15</v>
      </c>
    </row>
    <row r="36" spans="1:12" s="2" customFormat="1" ht="18.75" customHeight="1">
      <c r="A36" s="2" t="str">
        <f>"411220220629155400115498"</f>
        <v>411220220629155400115498</v>
      </c>
      <c r="B36" s="9">
        <v>34</v>
      </c>
      <c r="C36" s="10" t="str">
        <f>"04"</f>
        <v>04</v>
      </c>
      <c r="D36" s="10" t="s">
        <v>20</v>
      </c>
      <c r="E36" s="10" t="s">
        <v>14</v>
      </c>
      <c r="F36" s="11" t="str">
        <f>"王换弟"</f>
        <v>王换弟</v>
      </c>
      <c r="G36" s="10" t="str">
        <f t="shared" si="4"/>
        <v>女</v>
      </c>
      <c r="H36" s="10" t="str">
        <f>"15061040132"</f>
        <v>15061040132</v>
      </c>
      <c r="I36" s="13">
        <v>81.38</v>
      </c>
      <c r="J36" s="13">
        <v>75.44</v>
      </c>
      <c r="K36" s="13">
        <f t="shared" si="1"/>
        <v>79.00399999999999</v>
      </c>
      <c r="L36" s="9" t="s">
        <v>16</v>
      </c>
    </row>
    <row r="37" spans="1:12" s="2" customFormat="1" ht="18.75" customHeight="1">
      <c r="A37" s="2" t="str">
        <f>"411220220629100626112836"</f>
        <v>411220220629100626112836</v>
      </c>
      <c r="B37" s="9">
        <v>35</v>
      </c>
      <c r="C37" s="10" t="str">
        <f aca="true" t="shared" si="5" ref="C37:C46">"05"</f>
        <v>05</v>
      </c>
      <c r="D37" s="10" t="s">
        <v>21</v>
      </c>
      <c r="E37" s="10" t="s">
        <v>14</v>
      </c>
      <c r="F37" s="11" t="str">
        <f>"李昊晨"</f>
        <v>李昊晨</v>
      </c>
      <c r="G37" s="10" t="str">
        <f t="shared" si="4"/>
        <v>女</v>
      </c>
      <c r="H37" s="10" t="str">
        <f>"15061050201"</f>
        <v>15061050201</v>
      </c>
      <c r="I37" s="13">
        <v>78.18</v>
      </c>
      <c r="J37" s="13">
        <v>76.3</v>
      </c>
      <c r="K37" s="13">
        <f t="shared" si="1"/>
        <v>77.428</v>
      </c>
      <c r="L37" s="9" t="s">
        <v>15</v>
      </c>
    </row>
    <row r="38" spans="1:12" s="2" customFormat="1" ht="18.75" customHeight="1">
      <c r="A38" s="2" t="str">
        <f>"411220220630190343120892"</f>
        <v>411220220630190343120892</v>
      </c>
      <c r="B38" s="9">
        <v>36</v>
      </c>
      <c r="C38" s="10" t="str">
        <f t="shared" si="5"/>
        <v>05</v>
      </c>
      <c r="D38" s="10" t="s">
        <v>21</v>
      </c>
      <c r="E38" s="10" t="s">
        <v>14</v>
      </c>
      <c r="F38" s="11" t="str">
        <f>"张佳乐"</f>
        <v>张佳乐</v>
      </c>
      <c r="G38" s="10" t="str">
        <f t="shared" si="4"/>
        <v>女</v>
      </c>
      <c r="H38" s="10" t="str">
        <f>"15061050202"</f>
        <v>15061050202</v>
      </c>
      <c r="I38" s="13">
        <v>77.06</v>
      </c>
      <c r="J38" s="13">
        <v>72.02</v>
      </c>
      <c r="K38" s="13">
        <f aca="true" t="shared" si="6" ref="K38:K58">I38*60%+J38*40%</f>
        <v>75.044</v>
      </c>
      <c r="L38" s="9" t="s">
        <v>15</v>
      </c>
    </row>
    <row r="39" spans="1:12" s="2" customFormat="1" ht="18.75" customHeight="1">
      <c r="A39" s="2" t="str">
        <f>"411220220629154551115426"</f>
        <v>411220220629154551115426</v>
      </c>
      <c r="B39" s="9">
        <v>37</v>
      </c>
      <c r="C39" s="10" t="str">
        <f t="shared" si="5"/>
        <v>05</v>
      </c>
      <c r="D39" s="10" t="s">
        <v>21</v>
      </c>
      <c r="E39" s="10" t="s">
        <v>14</v>
      </c>
      <c r="F39" s="11" t="str">
        <f>"张茜"</f>
        <v>张茜</v>
      </c>
      <c r="G39" s="10" t="str">
        <f t="shared" si="4"/>
        <v>女</v>
      </c>
      <c r="H39" s="10" t="str">
        <f>"15061050203"</f>
        <v>15061050203</v>
      </c>
      <c r="I39" s="13">
        <v>82.76</v>
      </c>
      <c r="J39" s="13">
        <v>74.5</v>
      </c>
      <c r="K39" s="13">
        <f t="shared" si="6"/>
        <v>79.456</v>
      </c>
      <c r="L39" s="9" t="s">
        <v>15</v>
      </c>
    </row>
    <row r="40" spans="1:12" s="2" customFormat="1" ht="18.75" customHeight="1">
      <c r="A40" s="2" t="str">
        <f>"411220220702114928128861"</f>
        <v>411220220702114928128861</v>
      </c>
      <c r="B40" s="9">
        <v>38</v>
      </c>
      <c r="C40" s="10" t="str">
        <f t="shared" si="5"/>
        <v>05</v>
      </c>
      <c r="D40" s="10" t="s">
        <v>21</v>
      </c>
      <c r="E40" s="10" t="s">
        <v>14</v>
      </c>
      <c r="F40" s="11" t="str">
        <f>"郭福"</f>
        <v>郭福</v>
      </c>
      <c r="G40" s="10" t="str">
        <f>"男"</f>
        <v>男</v>
      </c>
      <c r="H40" s="10" t="str">
        <f>"15061050207"</f>
        <v>15061050207</v>
      </c>
      <c r="I40" s="13" t="s">
        <v>17</v>
      </c>
      <c r="J40" s="13" t="s">
        <v>17</v>
      </c>
      <c r="K40" s="13" t="s">
        <v>17</v>
      </c>
      <c r="L40" s="9" t="s">
        <v>15</v>
      </c>
    </row>
    <row r="41" spans="1:12" s="2" customFormat="1" ht="18.75" customHeight="1">
      <c r="A41" s="2" t="str">
        <f>"411220220704131856137488"</f>
        <v>411220220704131856137488</v>
      </c>
      <c r="B41" s="9">
        <v>39</v>
      </c>
      <c r="C41" s="10" t="str">
        <f t="shared" si="5"/>
        <v>05</v>
      </c>
      <c r="D41" s="10" t="s">
        <v>21</v>
      </c>
      <c r="E41" s="10" t="s">
        <v>14</v>
      </c>
      <c r="F41" s="11" t="str">
        <f>"张雨欣"</f>
        <v>张雨欣</v>
      </c>
      <c r="G41" s="10" t="str">
        <f aca="true" t="shared" si="7" ref="G41:G48">"女"</f>
        <v>女</v>
      </c>
      <c r="H41" s="10" t="str">
        <f>"15061050209"</f>
        <v>15061050209</v>
      </c>
      <c r="I41" s="13">
        <v>73.66</v>
      </c>
      <c r="J41" s="13">
        <v>79.74</v>
      </c>
      <c r="K41" s="13">
        <f t="shared" si="6"/>
        <v>76.092</v>
      </c>
      <c r="L41" s="9" t="s">
        <v>15</v>
      </c>
    </row>
    <row r="42" spans="1:12" s="2" customFormat="1" ht="18.75" customHeight="1">
      <c r="A42" s="2" t="str">
        <f>"411220220704153316138258"</f>
        <v>411220220704153316138258</v>
      </c>
      <c r="B42" s="9">
        <v>40</v>
      </c>
      <c r="C42" s="10" t="str">
        <f t="shared" si="5"/>
        <v>05</v>
      </c>
      <c r="D42" s="10" t="s">
        <v>21</v>
      </c>
      <c r="E42" s="10" t="s">
        <v>14</v>
      </c>
      <c r="F42" s="11" t="str">
        <f>"奇沙娜"</f>
        <v>奇沙娜</v>
      </c>
      <c r="G42" s="10" t="str">
        <f t="shared" si="7"/>
        <v>女</v>
      </c>
      <c r="H42" s="10" t="str">
        <f>"15061050210"</f>
        <v>15061050210</v>
      </c>
      <c r="I42" s="13">
        <v>78.32</v>
      </c>
      <c r="J42" s="13">
        <v>74.08</v>
      </c>
      <c r="K42" s="13">
        <f t="shared" si="6"/>
        <v>76.624</v>
      </c>
      <c r="L42" s="9" t="s">
        <v>15</v>
      </c>
    </row>
    <row r="43" spans="1:12" s="2" customFormat="1" ht="18.75" customHeight="1">
      <c r="A43" s="2" t="str">
        <f>"411220220629162459115710"</f>
        <v>411220220629162459115710</v>
      </c>
      <c r="B43" s="9">
        <v>41</v>
      </c>
      <c r="C43" s="10" t="str">
        <f t="shared" si="5"/>
        <v>05</v>
      </c>
      <c r="D43" s="10" t="s">
        <v>21</v>
      </c>
      <c r="E43" s="10" t="s">
        <v>14</v>
      </c>
      <c r="F43" s="11" t="str">
        <f>"李嘉欣"</f>
        <v>李嘉欣</v>
      </c>
      <c r="G43" s="10" t="str">
        <f t="shared" si="7"/>
        <v>女</v>
      </c>
      <c r="H43" s="10" t="str">
        <f>"15061050212"</f>
        <v>15061050212</v>
      </c>
      <c r="I43" s="13">
        <v>79.2</v>
      </c>
      <c r="J43" s="13">
        <v>70.58</v>
      </c>
      <c r="K43" s="13">
        <f t="shared" si="6"/>
        <v>75.75200000000001</v>
      </c>
      <c r="L43" s="9" t="s">
        <v>15</v>
      </c>
    </row>
    <row r="44" spans="1:12" s="2" customFormat="1" ht="18.75" customHeight="1">
      <c r="A44" s="2" t="str">
        <f>"411220220705104942142295"</f>
        <v>411220220705104942142295</v>
      </c>
      <c r="B44" s="9">
        <v>42</v>
      </c>
      <c r="C44" s="10" t="str">
        <f t="shared" si="5"/>
        <v>05</v>
      </c>
      <c r="D44" s="10" t="s">
        <v>21</v>
      </c>
      <c r="E44" s="10" t="s">
        <v>14</v>
      </c>
      <c r="F44" s="11" t="str">
        <f>"王佳丽"</f>
        <v>王佳丽</v>
      </c>
      <c r="G44" s="10" t="str">
        <f t="shared" si="7"/>
        <v>女</v>
      </c>
      <c r="H44" s="10" t="str">
        <f>"15061050213"</f>
        <v>15061050213</v>
      </c>
      <c r="I44" s="13">
        <v>74.46</v>
      </c>
      <c r="J44" s="13">
        <v>73.06</v>
      </c>
      <c r="K44" s="13">
        <f t="shared" si="6"/>
        <v>73.9</v>
      </c>
      <c r="L44" s="9" t="s">
        <v>15</v>
      </c>
    </row>
    <row r="45" spans="1:12" s="2" customFormat="1" ht="18.75" customHeight="1">
      <c r="A45" s="2" t="str">
        <f>"411220220630211130121330"</f>
        <v>411220220630211130121330</v>
      </c>
      <c r="B45" s="9">
        <v>43</v>
      </c>
      <c r="C45" s="10" t="str">
        <f t="shared" si="5"/>
        <v>05</v>
      </c>
      <c r="D45" s="10" t="s">
        <v>21</v>
      </c>
      <c r="E45" s="10" t="s">
        <v>14</v>
      </c>
      <c r="F45" s="11" t="str">
        <f>"白舒惠"</f>
        <v>白舒惠</v>
      </c>
      <c r="G45" s="10" t="str">
        <f t="shared" si="7"/>
        <v>女</v>
      </c>
      <c r="H45" s="10" t="str">
        <f>"15061050214"</f>
        <v>15061050214</v>
      </c>
      <c r="I45" s="13">
        <v>82.26</v>
      </c>
      <c r="J45" s="13">
        <v>76.58</v>
      </c>
      <c r="K45" s="13">
        <f t="shared" si="6"/>
        <v>79.988</v>
      </c>
      <c r="L45" s="9" t="s">
        <v>16</v>
      </c>
    </row>
    <row r="46" spans="1:12" s="2" customFormat="1" ht="18.75" customHeight="1">
      <c r="A46" s="2" t="str">
        <f>"411220220705123344142874"</f>
        <v>411220220705123344142874</v>
      </c>
      <c r="B46" s="9">
        <v>44</v>
      </c>
      <c r="C46" s="10" t="str">
        <f t="shared" si="5"/>
        <v>05</v>
      </c>
      <c r="D46" s="10" t="s">
        <v>21</v>
      </c>
      <c r="E46" s="10" t="s">
        <v>14</v>
      </c>
      <c r="F46" s="11" t="str">
        <f>"都日娜"</f>
        <v>都日娜</v>
      </c>
      <c r="G46" s="10" t="str">
        <f t="shared" si="7"/>
        <v>女</v>
      </c>
      <c r="H46" s="10" t="str">
        <f>"15061050215"</f>
        <v>15061050215</v>
      </c>
      <c r="I46" s="13" t="s">
        <v>17</v>
      </c>
      <c r="J46" s="13" t="s">
        <v>17</v>
      </c>
      <c r="K46" s="13" t="s">
        <v>17</v>
      </c>
      <c r="L46" s="9" t="s">
        <v>15</v>
      </c>
    </row>
    <row r="47" spans="1:12" s="2" customFormat="1" ht="18.75" customHeight="1">
      <c r="A47" s="2" t="str">
        <f>"411220220629092639112391"</f>
        <v>411220220629092639112391</v>
      </c>
      <c r="B47" s="9">
        <v>45</v>
      </c>
      <c r="C47" s="10" t="str">
        <f aca="true" t="shared" si="8" ref="C47:C58">"05"</f>
        <v>05</v>
      </c>
      <c r="D47" s="10" t="s">
        <v>21</v>
      </c>
      <c r="E47" s="10" t="s">
        <v>14</v>
      </c>
      <c r="F47" s="11" t="str">
        <f>"张力"</f>
        <v>张力</v>
      </c>
      <c r="G47" s="10" t="str">
        <f t="shared" si="7"/>
        <v>女</v>
      </c>
      <c r="H47" s="10" t="str">
        <f>"15061050219"</f>
        <v>15061050219</v>
      </c>
      <c r="I47" s="13" t="s">
        <v>17</v>
      </c>
      <c r="J47" s="13" t="s">
        <v>17</v>
      </c>
      <c r="K47" s="13" t="s">
        <v>17</v>
      </c>
      <c r="L47" s="9" t="s">
        <v>15</v>
      </c>
    </row>
    <row r="48" spans="1:12" s="2" customFormat="1" ht="18.75" customHeight="1">
      <c r="A48" s="2" t="str">
        <f>"411220220629100720112845"</f>
        <v>411220220629100720112845</v>
      </c>
      <c r="B48" s="9">
        <v>46</v>
      </c>
      <c r="C48" s="10" t="str">
        <f t="shared" si="8"/>
        <v>05</v>
      </c>
      <c r="D48" s="10" t="s">
        <v>21</v>
      </c>
      <c r="E48" s="10" t="s">
        <v>14</v>
      </c>
      <c r="F48" s="11" t="str">
        <f>"康艺轩"</f>
        <v>康艺轩</v>
      </c>
      <c r="G48" s="10" t="str">
        <f t="shared" si="7"/>
        <v>女</v>
      </c>
      <c r="H48" s="10" t="str">
        <f>"15061050220"</f>
        <v>15061050220</v>
      </c>
      <c r="I48" s="13">
        <v>76.28</v>
      </c>
      <c r="J48" s="13">
        <v>78.26</v>
      </c>
      <c r="K48" s="13">
        <f t="shared" si="6"/>
        <v>77.072</v>
      </c>
      <c r="L48" s="9" t="s">
        <v>15</v>
      </c>
    </row>
    <row r="49" spans="1:12" s="2" customFormat="1" ht="18.75" customHeight="1">
      <c r="A49" s="2" t="str">
        <f>"411220220629113638113607"</f>
        <v>411220220629113638113607</v>
      </c>
      <c r="B49" s="9">
        <v>47</v>
      </c>
      <c r="C49" s="10" t="str">
        <f t="shared" si="8"/>
        <v>05</v>
      </c>
      <c r="D49" s="10" t="s">
        <v>21</v>
      </c>
      <c r="E49" s="10" t="s">
        <v>14</v>
      </c>
      <c r="F49" s="11" t="str">
        <f>"冯苗"</f>
        <v>冯苗</v>
      </c>
      <c r="G49" s="10" t="str">
        <f>"男"</f>
        <v>男</v>
      </c>
      <c r="H49" s="10" t="str">
        <f>"15061050221"</f>
        <v>15061050221</v>
      </c>
      <c r="I49" s="13">
        <v>79.7</v>
      </c>
      <c r="J49" s="13">
        <v>75.36</v>
      </c>
      <c r="K49" s="13">
        <f t="shared" si="6"/>
        <v>77.964</v>
      </c>
      <c r="L49" s="9" t="s">
        <v>15</v>
      </c>
    </row>
    <row r="50" spans="1:12" s="2" customFormat="1" ht="18.75" customHeight="1">
      <c r="A50" s="2" t="str">
        <f>"411220220629102431113026"</f>
        <v>411220220629102431113026</v>
      </c>
      <c r="B50" s="9">
        <v>48</v>
      </c>
      <c r="C50" s="10" t="str">
        <f t="shared" si="8"/>
        <v>05</v>
      </c>
      <c r="D50" s="10" t="s">
        <v>21</v>
      </c>
      <c r="E50" s="10" t="s">
        <v>14</v>
      </c>
      <c r="F50" s="11" t="str">
        <f>"乌云高娃"</f>
        <v>乌云高娃</v>
      </c>
      <c r="G50" s="10" t="str">
        <f>"女"</f>
        <v>女</v>
      </c>
      <c r="H50" s="10" t="str">
        <f>"15061050222"</f>
        <v>15061050222</v>
      </c>
      <c r="I50" s="13">
        <v>70.52</v>
      </c>
      <c r="J50" s="13">
        <v>71.6</v>
      </c>
      <c r="K50" s="13">
        <f t="shared" si="6"/>
        <v>70.952</v>
      </c>
      <c r="L50" s="9" t="s">
        <v>15</v>
      </c>
    </row>
    <row r="51" spans="1:12" s="2" customFormat="1" ht="18.75" customHeight="1">
      <c r="A51" s="2" t="str">
        <f>"411220220629094001112529"</f>
        <v>411220220629094001112529</v>
      </c>
      <c r="B51" s="9">
        <v>49</v>
      </c>
      <c r="C51" s="10" t="str">
        <f t="shared" si="8"/>
        <v>05</v>
      </c>
      <c r="D51" s="10" t="s">
        <v>21</v>
      </c>
      <c r="E51" s="10" t="s">
        <v>14</v>
      </c>
      <c r="F51" s="11" t="str">
        <f>"王梦霞"</f>
        <v>王梦霞</v>
      </c>
      <c r="G51" s="10" t="str">
        <f>"女"</f>
        <v>女</v>
      </c>
      <c r="H51" s="10" t="str">
        <f>"15061050223"</f>
        <v>15061050223</v>
      </c>
      <c r="I51" s="13">
        <v>71.12</v>
      </c>
      <c r="J51" s="13">
        <v>74.58</v>
      </c>
      <c r="K51" s="13">
        <f t="shared" si="6"/>
        <v>72.504</v>
      </c>
      <c r="L51" s="9" t="s">
        <v>15</v>
      </c>
    </row>
    <row r="52" spans="1:12" s="2" customFormat="1" ht="28.5" customHeight="1">
      <c r="A52" s="2" t="str">
        <f>"411220220629115512113755"</f>
        <v>411220220629115512113755</v>
      </c>
      <c r="B52" s="9">
        <v>50</v>
      </c>
      <c r="C52" s="10" t="str">
        <f t="shared" si="8"/>
        <v>05</v>
      </c>
      <c r="D52" s="10" t="s">
        <v>21</v>
      </c>
      <c r="E52" s="10" t="s">
        <v>14</v>
      </c>
      <c r="F52" s="11" t="str">
        <f>"书勤古巴特尔"</f>
        <v>书勤古巴特尔</v>
      </c>
      <c r="G52" s="10" t="str">
        <f>"男"</f>
        <v>男</v>
      </c>
      <c r="H52" s="10" t="str">
        <f>"15061050224"</f>
        <v>15061050224</v>
      </c>
      <c r="I52" s="13">
        <v>73.28</v>
      </c>
      <c r="J52" s="13">
        <v>68.86</v>
      </c>
      <c r="K52" s="13">
        <f t="shared" si="6"/>
        <v>71.512</v>
      </c>
      <c r="L52" s="9" t="s">
        <v>15</v>
      </c>
    </row>
    <row r="53" spans="1:12" s="2" customFormat="1" ht="18.75" customHeight="1">
      <c r="A53" s="2" t="str">
        <f>"411220220629125231114169"</f>
        <v>411220220629125231114169</v>
      </c>
      <c r="B53" s="9">
        <v>51</v>
      </c>
      <c r="C53" s="10" t="str">
        <f t="shared" si="8"/>
        <v>05</v>
      </c>
      <c r="D53" s="10" t="s">
        <v>21</v>
      </c>
      <c r="E53" s="10" t="s">
        <v>14</v>
      </c>
      <c r="F53" s="11" t="str">
        <f>"王哲"</f>
        <v>王哲</v>
      </c>
      <c r="G53" s="10" t="str">
        <f aca="true" t="shared" si="9" ref="G53:G58">"女"</f>
        <v>女</v>
      </c>
      <c r="H53" s="10" t="str">
        <f>"15061050225"</f>
        <v>15061050225</v>
      </c>
      <c r="I53" s="13">
        <v>77.98</v>
      </c>
      <c r="J53" s="13">
        <v>72.76</v>
      </c>
      <c r="K53" s="13">
        <f t="shared" si="6"/>
        <v>75.89200000000001</v>
      </c>
      <c r="L53" s="9" t="s">
        <v>15</v>
      </c>
    </row>
    <row r="54" spans="1:12" s="2" customFormat="1" ht="18.75" customHeight="1">
      <c r="A54" s="2" t="str">
        <f>"411220220629131704114332"</f>
        <v>411220220629131704114332</v>
      </c>
      <c r="B54" s="9">
        <v>52</v>
      </c>
      <c r="C54" s="10" t="str">
        <f t="shared" si="8"/>
        <v>05</v>
      </c>
      <c r="D54" s="10" t="s">
        <v>21</v>
      </c>
      <c r="E54" s="10" t="s">
        <v>14</v>
      </c>
      <c r="F54" s="11" t="str">
        <f>"陈怡璇"</f>
        <v>陈怡璇</v>
      </c>
      <c r="G54" s="10" t="str">
        <f t="shared" si="9"/>
        <v>女</v>
      </c>
      <c r="H54" s="10" t="str">
        <f>"15061050226"</f>
        <v>15061050226</v>
      </c>
      <c r="I54" s="13" t="s">
        <v>17</v>
      </c>
      <c r="J54" s="13" t="s">
        <v>17</v>
      </c>
      <c r="K54" s="13" t="s">
        <v>17</v>
      </c>
      <c r="L54" s="9" t="s">
        <v>15</v>
      </c>
    </row>
    <row r="55" spans="1:12" s="2" customFormat="1" ht="18.75" customHeight="1">
      <c r="A55" s="2" t="str">
        <f>"411220220629151436115126"</f>
        <v>411220220629151436115126</v>
      </c>
      <c r="B55" s="9">
        <v>53</v>
      </c>
      <c r="C55" s="10" t="str">
        <f t="shared" si="8"/>
        <v>05</v>
      </c>
      <c r="D55" s="10" t="s">
        <v>21</v>
      </c>
      <c r="E55" s="10" t="s">
        <v>14</v>
      </c>
      <c r="F55" s="11" t="str">
        <f>"韩雪"</f>
        <v>韩雪</v>
      </c>
      <c r="G55" s="10" t="str">
        <f t="shared" si="9"/>
        <v>女</v>
      </c>
      <c r="H55" s="10" t="str">
        <f>"15061050228"</f>
        <v>15061050228</v>
      </c>
      <c r="I55" s="13">
        <v>69.92</v>
      </c>
      <c r="J55" s="13">
        <v>68.6</v>
      </c>
      <c r="K55" s="13">
        <f t="shared" si="6"/>
        <v>69.392</v>
      </c>
      <c r="L55" s="9" t="s">
        <v>15</v>
      </c>
    </row>
    <row r="56" spans="1:12" s="2" customFormat="1" ht="18.75" customHeight="1">
      <c r="A56" s="2" t="str">
        <f>"411220220629152631115243"</f>
        <v>411220220629152631115243</v>
      </c>
      <c r="B56" s="9">
        <v>54</v>
      </c>
      <c r="C56" s="10" t="str">
        <f t="shared" si="8"/>
        <v>05</v>
      </c>
      <c r="D56" s="10" t="s">
        <v>21</v>
      </c>
      <c r="E56" s="10" t="s">
        <v>14</v>
      </c>
      <c r="F56" s="11" t="str">
        <f>"乔牧"</f>
        <v>乔牧</v>
      </c>
      <c r="G56" s="10" t="str">
        <f t="shared" si="9"/>
        <v>女</v>
      </c>
      <c r="H56" s="10" t="str">
        <f>"15061050229"</f>
        <v>15061050229</v>
      </c>
      <c r="I56" s="13">
        <v>83.34</v>
      </c>
      <c r="J56" s="13">
        <v>72.98</v>
      </c>
      <c r="K56" s="13">
        <f t="shared" si="6"/>
        <v>79.196</v>
      </c>
      <c r="L56" s="9" t="s">
        <v>15</v>
      </c>
    </row>
    <row r="57" spans="1:12" s="2" customFormat="1" ht="18.75" customHeight="1">
      <c r="A57" s="2" t="str">
        <f>"411220220629144907114884"</f>
        <v>411220220629144907114884</v>
      </c>
      <c r="B57" s="9">
        <v>55</v>
      </c>
      <c r="C57" s="10" t="str">
        <f t="shared" si="8"/>
        <v>05</v>
      </c>
      <c r="D57" s="10" t="s">
        <v>21</v>
      </c>
      <c r="E57" s="10" t="s">
        <v>14</v>
      </c>
      <c r="F57" s="11" t="str">
        <f>"康鹃"</f>
        <v>康鹃</v>
      </c>
      <c r="G57" s="10" t="str">
        <f t="shared" si="9"/>
        <v>女</v>
      </c>
      <c r="H57" s="10" t="str">
        <f>"15061050230"</f>
        <v>15061050230</v>
      </c>
      <c r="I57" s="13">
        <v>81.02</v>
      </c>
      <c r="J57" s="13">
        <v>72.92</v>
      </c>
      <c r="K57" s="13">
        <f t="shared" si="6"/>
        <v>77.78</v>
      </c>
      <c r="L57" s="9" t="s">
        <v>15</v>
      </c>
    </row>
    <row r="58" spans="1:12" s="2" customFormat="1" ht="18.75" customHeight="1">
      <c r="A58" s="2" t="str">
        <f>"411220220629123143114019"</f>
        <v>411220220629123143114019</v>
      </c>
      <c r="B58" s="9">
        <v>56</v>
      </c>
      <c r="C58" s="10" t="str">
        <f t="shared" si="8"/>
        <v>05</v>
      </c>
      <c r="D58" s="10" t="s">
        <v>21</v>
      </c>
      <c r="E58" s="10" t="s">
        <v>14</v>
      </c>
      <c r="F58" s="11" t="str">
        <f>"阿蓉"</f>
        <v>阿蓉</v>
      </c>
      <c r="G58" s="10" t="str">
        <f t="shared" si="9"/>
        <v>女</v>
      </c>
      <c r="H58" s="10" t="str">
        <f>"15061050231"</f>
        <v>15061050231</v>
      </c>
      <c r="I58" s="13">
        <v>72.38</v>
      </c>
      <c r="J58" s="13">
        <v>73.06</v>
      </c>
      <c r="K58" s="13">
        <f t="shared" si="6"/>
        <v>72.652</v>
      </c>
      <c r="L58" s="9" t="s">
        <v>15</v>
      </c>
    </row>
  </sheetData>
  <sheetProtection/>
  <mergeCells count="1">
    <mergeCell ref="B1:L1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milly</cp:lastModifiedBy>
  <dcterms:created xsi:type="dcterms:W3CDTF">2022-07-24T09:49:24Z</dcterms:created>
  <dcterms:modified xsi:type="dcterms:W3CDTF">2022-08-01T03:02:28Z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DB5EB9F80B3F4F07A5903405947FD6F2</vt:lpwstr>
  </property>
  <property fmtid="{D5CDD505-2E9C-101B-9397-08002B2CF9AE}" pid="4" name="KSOProductBuildV">
    <vt:lpwstr>2052-11.1.0.11435</vt:lpwstr>
  </property>
</Properties>
</file>