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1"/>
  </bookViews>
  <sheets>
    <sheet name="汉授幼儿园（女）" sheetId="1" r:id="rId1"/>
    <sheet name="汉授幼儿园（男）" sheetId="2" r:id="rId2"/>
  </sheets>
  <definedNames>
    <definedName name="_xlnm.Print_Titles" localSheetId="1">'汉授幼儿园（男）'!$1:$2</definedName>
    <definedName name="_xlnm.Print_Titles" localSheetId="0">'汉授幼儿园（女）'!$1:$2</definedName>
  </definedNames>
  <calcPr fullCalcOnLoad="1"/>
</workbook>
</file>

<file path=xl/sharedStrings.xml><?xml version="1.0" encoding="utf-8"?>
<sst xmlns="http://schemas.openxmlformats.org/spreadsheetml/2006/main" count="350" uniqueCount="181">
  <si>
    <t>康巴什区2022年幼儿教师招聘考试笔试总成绩（汉授女）</t>
  </si>
  <si>
    <t>序号</t>
  </si>
  <si>
    <t>姓名</t>
  </si>
  <si>
    <t>性别</t>
  </si>
  <si>
    <t>民族</t>
  </si>
  <si>
    <t>准考证号</t>
  </si>
  <si>
    <t xml:space="preserve">笔试成绩 </t>
  </si>
  <si>
    <t>政策加分</t>
  </si>
  <si>
    <t>笔试总成绩</t>
  </si>
  <si>
    <t>康巴什区2022年幼儿教师招聘考试笔试总成绩（汉授男）</t>
  </si>
  <si>
    <t>笔试成绩</t>
  </si>
  <si>
    <t>张禹杰</t>
  </si>
  <si>
    <t>男</t>
  </si>
  <si>
    <t>汉族</t>
  </si>
  <si>
    <t>20220012311</t>
  </si>
  <si>
    <t>戚晏伦</t>
  </si>
  <si>
    <t>20220012312</t>
  </si>
  <si>
    <t>胡明昊</t>
  </si>
  <si>
    <t>20220012313</t>
  </si>
  <si>
    <t>吕帅</t>
  </si>
  <si>
    <t>20220012314</t>
  </si>
  <si>
    <t>李向雄</t>
  </si>
  <si>
    <t>20220012315</t>
  </si>
  <si>
    <t>李向东</t>
  </si>
  <si>
    <t>20220012316</t>
  </si>
  <si>
    <t>广悦</t>
  </si>
  <si>
    <t>20220012317</t>
  </si>
  <si>
    <t>田金泽</t>
  </si>
  <si>
    <t>20220012318</t>
  </si>
  <si>
    <t>张晓雷</t>
  </si>
  <si>
    <t>满族</t>
  </si>
  <si>
    <t>20220012319</t>
  </si>
  <si>
    <t>钢都西</t>
  </si>
  <si>
    <t>蒙古族</t>
  </si>
  <si>
    <t>20220012320</t>
  </si>
  <si>
    <t>张磊</t>
  </si>
  <si>
    <t>20220012321</t>
  </si>
  <si>
    <t>张耀</t>
  </si>
  <si>
    <t>20220012322</t>
  </si>
  <si>
    <t>郭嘉恒</t>
  </si>
  <si>
    <t>20220012323</t>
  </si>
  <si>
    <t>宋秭融</t>
  </si>
  <si>
    <t>20220012324</t>
  </si>
  <si>
    <t>骆雪冰</t>
  </si>
  <si>
    <t>20220012325</t>
  </si>
  <si>
    <t>蔡同凯</t>
  </si>
  <si>
    <t>20220012326</t>
  </si>
  <si>
    <t>孙昊靖</t>
  </si>
  <si>
    <t>20220012327</t>
  </si>
  <si>
    <t>乔月</t>
  </si>
  <si>
    <t>20220012328</t>
  </si>
  <si>
    <t>武亮</t>
  </si>
  <si>
    <t>20220012329</t>
  </si>
  <si>
    <t>张桐玮</t>
  </si>
  <si>
    <t>20220012330</t>
  </si>
  <si>
    <t>赵博</t>
  </si>
  <si>
    <t>20220012331</t>
  </si>
  <si>
    <t>王浩</t>
  </si>
  <si>
    <t>20220012332</t>
  </si>
  <si>
    <t>辛向杰</t>
  </si>
  <si>
    <t>20220012333</t>
  </si>
  <si>
    <t>杨智</t>
  </si>
  <si>
    <t>20220012401</t>
  </si>
  <si>
    <t>边飞宇</t>
  </si>
  <si>
    <t>20220012402</t>
  </si>
  <si>
    <t>谢江</t>
  </si>
  <si>
    <t>20220012403</t>
  </si>
  <si>
    <t>杨鑫</t>
  </si>
  <si>
    <t>20220012404</t>
  </si>
  <si>
    <t>姚凯铭</t>
  </si>
  <si>
    <t>20220012405</t>
  </si>
  <si>
    <t>刘东胜</t>
  </si>
  <si>
    <t>20220012406</t>
  </si>
  <si>
    <t>王正伟</t>
  </si>
  <si>
    <t>20220012407</t>
  </si>
  <si>
    <t>奇国庆</t>
  </si>
  <si>
    <t>20220012408</t>
  </si>
  <si>
    <t>吕政泽</t>
  </si>
  <si>
    <t>20220012409</t>
  </si>
  <si>
    <t>高星</t>
  </si>
  <si>
    <t>20220012410</t>
  </si>
  <si>
    <t>刘朋坤</t>
  </si>
  <si>
    <t>20220012411</t>
  </si>
  <si>
    <t>贾昇</t>
  </si>
  <si>
    <t>20220012412</t>
  </si>
  <si>
    <t>王鑫</t>
  </si>
  <si>
    <t>20220012413</t>
  </si>
  <si>
    <t>杨锦雄</t>
  </si>
  <si>
    <t>20220012414</t>
  </si>
  <si>
    <t>冀磊基</t>
  </si>
  <si>
    <t>20220012415</t>
  </si>
  <si>
    <t>吉庆</t>
  </si>
  <si>
    <t>20220012416</t>
  </si>
  <si>
    <t>杜宇</t>
  </si>
  <si>
    <t>20220012417</t>
  </si>
  <si>
    <t>高峰</t>
  </si>
  <si>
    <t>20220012418</t>
  </si>
  <si>
    <t>王利军</t>
  </si>
  <si>
    <t>20220012419</t>
  </si>
  <si>
    <t>王丁</t>
  </si>
  <si>
    <t>20220012420</t>
  </si>
  <si>
    <t>郭浩</t>
  </si>
  <si>
    <t>20220012421</t>
  </si>
  <si>
    <t>张强</t>
  </si>
  <si>
    <t>20220012422</t>
  </si>
  <si>
    <t>包兴哲</t>
  </si>
  <si>
    <t>20220012423</t>
  </si>
  <si>
    <t>邱鹤</t>
  </si>
  <si>
    <t>20220012424</t>
  </si>
  <si>
    <t>韩月</t>
  </si>
  <si>
    <t>20220012425</t>
  </si>
  <si>
    <t>陈科</t>
  </si>
  <si>
    <t>20220012426</t>
  </si>
  <si>
    <t>胡佳欣</t>
  </si>
  <si>
    <t>20220012427</t>
  </si>
  <si>
    <t>慕东霖</t>
  </si>
  <si>
    <t>20220012428</t>
  </si>
  <si>
    <t>刘东明</t>
  </si>
  <si>
    <t>20220012429</t>
  </si>
  <si>
    <t>刘向东</t>
  </si>
  <si>
    <t>20220012430</t>
  </si>
  <si>
    <t>张鑫宇</t>
  </si>
  <si>
    <t>20220012501</t>
  </si>
  <si>
    <t>李陆</t>
  </si>
  <si>
    <t>20220012502</t>
  </si>
  <si>
    <t>高鑫苑</t>
  </si>
  <si>
    <t>20220012503</t>
  </si>
  <si>
    <t>孟泽昱</t>
  </si>
  <si>
    <t>20220012504</t>
  </si>
  <si>
    <t>王志鑫</t>
  </si>
  <si>
    <t>20220012505</t>
  </si>
  <si>
    <t>曹孜墨</t>
  </si>
  <si>
    <t>20220012506</t>
  </si>
  <si>
    <t>姚越</t>
  </si>
  <si>
    <t>20220012507</t>
  </si>
  <si>
    <t>李泽远</t>
  </si>
  <si>
    <t>20220012508</t>
  </si>
  <si>
    <t>高祥</t>
  </si>
  <si>
    <t>20220012509</t>
  </si>
  <si>
    <t>李帅</t>
  </si>
  <si>
    <t>20220012510</t>
  </si>
  <si>
    <t>杜春</t>
  </si>
  <si>
    <t>20220012511</t>
  </si>
  <si>
    <t>张伟光</t>
  </si>
  <si>
    <t>20220012512</t>
  </si>
  <si>
    <t>贾志远</t>
  </si>
  <si>
    <t>20220012513</t>
  </si>
  <si>
    <t>左一</t>
  </si>
  <si>
    <t>20220012514</t>
  </si>
  <si>
    <t>刘浩</t>
  </si>
  <si>
    <t>20220012515</t>
  </si>
  <si>
    <t>孙悦</t>
  </si>
  <si>
    <t>20220012516</t>
  </si>
  <si>
    <t>董鑫</t>
  </si>
  <si>
    <t>20220012517</t>
  </si>
  <si>
    <t>刘哲远</t>
  </si>
  <si>
    <t>20220012518</t>
  </si>
  <si>
    <t>王建</t>
  </si>
  <si>
    <t>20220012519</t>
  </si>
  <si>
    <t>苏源</t>
  </si>
  <si>
    <t>20220012520</t>
  </si>
  <si>
    <t>屈伦楷</t>
  </si>
  <si>
    <t>20220012521</t>
  </si>
  <si>
    <t>张建国</t>
  </si>
  <si>
    <t>20220012522</t>
  </si>
  <si>
    <t>田宇</t>
  </si>
  <si>
    <t>20220012523</t>
  </si>
  <si>
    <t>田丰</t>
  </si>
  <si>
    <t>20220012524</t>
  </si>
  <si>
    <t>杨喜田</t>
  </si>
  <si>
    <t>20220012525</t>
  </si>
  <si>
    <t>乌力吉巴雅尔</t>
  </si>
  <si>
    <t>20220012526</t>
  </si>
  <si>
    <t>沙楚日</t>
  </si>
  <si>
    <t>20220012527</t>
  </si>
  <si>
    <t>张伟</t>
  </si>
  <si>
    <t>20220012528</t>
  </si>
  <si>
    <t>余欣浩</t>
  </si>
  <si>
    <t>20220012529</t>
  </si>
  <si>
    <t>李春</t>
  </si>
  <si>
    <t>20220012530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</si>
</sst>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2"/>
  <sheetViews>
    <sheetView zoomScaleSheetLayoutView="100" workbookViewId="0" topLeftCell="A1">
      <selection activeCell="K8" sqref="K8"/>
    </sheetView>
  </sheetViews>
  <sheetFormatPr defaultColWidth="8.25390625" defaultRowHeight="24.75" customHeight="1"/>
  <cols>
    <col min="1" max="1" width="6.125" style="5" customWidth="1"/>
    <col min="2" max="2" width="9.375" style="5" customWidth="1"/>
    <col min="3" max="3" width="6.25390625" style="5" customWidth="1"/>
    <col min="4" max="4" width="8.25390625" style="5" customWidth="1"/>
    <col min="5" max="5" width="11.25390625" style="5" customWidth="1"/>
    <col min="6" max="6" width="10.25390625" style="5" customWidth="1"/>
    <col min="7" max="7" width="10.625" style="5" customWidth="1"/>
    <col min="8" max="8" width="10.25390625" style="5" customWidth="1"/>
    <col min="9" max="16384" width="8.25390625" style="14" customWidth="1"/>
  </cols>
  <sheetData>
    <row r="1" spans="1:8" ht="24.7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12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13" customFormat="1" ht="24.75" customHeight="1">
      <c r="A3" s="9">
        <v>1</v>
      </c>
      <c r="B3" s="9" t="str">
        <f>"翟娟瑶"</f>
        <v>翟娟瑶</v>
      </c>
      <c r="C3" s="9" t="str">
        <f aca="true" t="shared" si="0" ref="C3:C66">"女"</f>
        <v>女</v>
      </c>
      <c r="D3" s="9" t="str">
        <f aca="true" t="shared" si="1" ref="D3:D30">"汉族"</f>
        <v>汉族</v>
      </c>
      <c r="E3" s="9" t="str">
        <f>"20220010101"</f>
        <v>20220010101</v>
      </c>
      <c r="F3" s="9">
        <v>50</v>
      </c>
      <c r="G3" s="9"/>
      <c r="H3" s="9">
        <f aca="true" t="shared" si="2" ref="H3:H66">F3+G3</f>
        <v>50</v>
      </c>
    </row>
    <row r="4" spans="1:8" s="13" customFormat="1" ht="24.75" customHeight="1">
      <c r="A4" s="9">
        <v>2</v>
      </c>
      <c r="B4" s="9" t="str">
        <f>"宋思懿"</f>
        <v>宋思懿</v>
      </c>
      <c r="C4" s="9" t="str">
        <f t="shared" si="0"/>
        <v>女</v>
      </c>
      <c r="D4" s="9" t="str">
        <f t="shared" si="1"/>
        <v>汉族</v>
      </c>
      <c r="E4" s="9" t="str">
        <f>"20220010102"</f>
        <v>20220010102</v>
      </c>
      <c r="F4" s="9">
        <v>73</v>
      </c>
      <c r="G4" s="9"/>
      <c r="H4" s="9">
        <f t="shared" si="2"/>
        <v>73</v>
      </c>
    </row>
    <row r="5" spans="1:8" s="13" customFormat="1" ht="24.75" customHeight="1">
      <c r="A5" s="9">
        <v>3</v>
      </c>
      <c r="B5" s="9" t="str">
        <f>"赵薇"</f>
        <v>赵薇</v>
      </c>
      <c r="C5" s="9" t="str">
        <f t="shared" si="0"/>
        <v>女</v>
      </c>
      <c r="D5" s="9" t="str">
        <f t="shared" si="1"/>
        <v>汉族</v>
      </c>
      <c r="E5" s="9" t="str">
        <f>"20220010103"</f>
        <v>20220010103</v>
      </c>
      <c r="F5" s="9">
        <v>52</v>
      </c>
      <c r="G5" s="9"/>
      <c r="H5" s="9">
        <f t="shared" si="2"/>
        <v>52</v>
      </c>
    </row>
    <row r="6" spans="1:8" s="13" customFormat="1" ht="24.75" customHeight="1">
      <c r="A6" s="9">
        <v>4</v>
      </c>
      <c r="B6" s="9" t="str">
        <f>"王丹"</f>
        <v>王丹</v>
      </c>
      <c r="C6" s="9" t="str">
        <f t="shared" si="0"/>
        <v>女</v>
      </c>
      <c r="D6" s="9" t="str">
        <f t="shared" si="1"/>
        <v>汉族</v>
      </c>
      <c r="E6" s="9" t="str">
        <f>"20220010104"</f>
        <v>20220010104</v>
      </c>
      <c r="F6" s="9">
        <v>50</v>
      </c>
      <c r="G6" s="9"/>
      <c r="H6" s="9">
        <f t="shared" si="2"/>
        <v>50</v>
      </c>
    </row>
    <row r="7" spans="1:8" s="13" customFormat="1" ht="24.75" customHeight="1">
      <c r="A7" s="9">
        <v>5</v>
      </c>
      <c r="B7" s="9" t="str">
        <f>"白雪"</f>
        <v>白雪</v>
      </c>
      <c r="C7" s="9" t="str">
        <f t="shared" si="0"/>
        <v>女</v>
      </c>
      <c r="D7" s="9" t="str">
        <f t="shared" si="1"/>
        <v>汉族</v>
      </c>
      <c r="E7" s="9" t="str">
        <f>"20220010105"</f>
        <v>20220010105</v>
      </c>
      <c r="F7" s="9">
        <v>37</v>
      </c>
      <c r="G7" s="9"/>
      <c r="H7" s="9">
        <f t="shared" si="2"/>
        <v>37</v>
      </c>
    </row>
    <row r="8" spans="1:8" s="13" customFormat="1" ht="24.75" customHeight="1">
      <c r="A8" s="9">
        <v>6</v>
      </c>
      <c r="B8" s="9" t="str">
        <f>"刘佳"</f>
        <v>刘佳</v>
      </c>
      <c r="C8" s="9" t="str">
        <f t="shared" si="0"/>
        <v>女</v>
      </c>
      <c r="D8" s="9" t="str">
        <f t="shared" si="1"/>
        <v>汉族</v>
      </c>
      <c r="E8" s="9" t="str">
        <f>"20220010106"</f>
        <v>20220010106</v>
      </c>
      <c r="F8" s="9">
        <v>51</v>
      </c>
      <c r="G8" s="9"/>
      <c r="H8" s="9">
        <f t="shared" si="2"/>
        <v>51</v>
      </c>
    </row>
    <row r="9" spans="1:8" s="13" customFormat="1" ht="24.75" customHeight="1">
      <c r="A9" s="9">
        <v>7</v>
      </c>
      <c r="B9" s="9" t="str">
        <f>"周成圆"</f>
        <v>周成圆</v>
      </c>
      <c r="C9" s="9" t="str">
        <f t="shared" si="0"/>
        <v>女</v>
      </c>
      <c r="D9" s="9" t="str">
        <f t="shared" si="1"/>
        <v>汉族</v>
      </c>
      <c r="E9" s="9" t="str">
        <f>"20220010107"</f>
        <v>20220010107</v>
      </c>
      <c r="F9" s="9">
        <v>55</v>
      </c>
      <c r="G9" s="9"/>
      <c r="H9" s="9">
        <f t="shared" si="2"/>
        <v>55</v>
      </c>
    </row>
    <row r="10" spans="1:8" s="13" customFormat="1" ht="24.75" customHeight="1">
      <c r="A10" s="9">
        <v>8</v>
      </c>
      <c r="B10" s="9" t="str">
        <f>"党瑞"</f>
        <v>党瑞</v>
      </c>
      <c r="C10" s="9" t="str">
        <f t="shared" si="0"/>
        <v>女</v>
      </c>
      <c r="D10" s="9" t="str">
        <f t="shared" si="1"/>
        <v>汉族</v>
      </c>
      <c r="E10" s="9" t="str">
        <f>"20220010108"</f>
        <v>20220010108</v>
      </c>
      <c r="F10" s="9">
        <v>0</v>
      </c>
      <c r="G10" s="9"/>
      <c r="H10" s="9">
        <f t="shared" si="2"/>
        <v>0</v>
      </c>
    </row>
    <row r="11" spans="1:8" s="13" customFormat="1" ht="24.75" customHeight="1">
      <c r="A11" s="9">
        <v>9</v>
      </c>
      <c r="B11" s="9" t="str">
        <f>"蔺彦璇"</f>
        <v>蔺彦璇</v>
      </c>
      <c r="C11" s="9" t="str">
        <f t="shared" si="0"/>
        <v>女</v>
      </c>
      <c r="D11" s="9" t="str">
        <f t="shared" si="1"/>
        <v>汉族</v>
      </c>
      <c r="E11" s="9" t="str">
        <f>"20220010109"</f>
        <v>20220010109</v>
      </c>
      <c r="F11" s="9">
        <v>46</v>
      </c>
      <c r="G11" s="9"/>
      <c r="H11" s="9">
        <f t="shared" si="2"/>
        <v>46</v>
      </c>
    </row>
    <row r="12" spans="1:8" s="13" customFormat="1" ht="24.75" customHeight="1">
      <c r="A12" s="9">
        <v>10</v>
      </c>
      <c r="B12" s="9" t="str">
        <f>"史瑞"</f>
        <v>史瑞</v>
      </c>
      <c r="C12" s="9" t="str">
        <f t="shared" si="0"/>
        <v>女</v>
      </c>
      <c r="D12" s="9" t="str">
        <f t="shared" si="1"/>
        <v>汉族</v>
      </c>
      <c r="E12" s="9" t="str">
        <f>"20220010110"</f>
        <v>20220010110</v>
      </c>
      <c r="F12" s="9">
        <v>57</v>
      </c>
      <c r="G12" s="9"/>
      <c r="H12" s="9">
        <f t="shared" si="2"/>
        <v>57</v>
      </c>
    </row>
    <row r="13" spans="1:8" s="13" customFormat="1" ht="24.75" customHeight="1">
      <c r="A13" s="9">
        <v>11</v>
      </c>
      <c r="B13" s="9" t="str">
        <f>"张晓敏"</f>
        <v>张晓敏</v>
      </c>
      <c r="C13" s="9" t="str">
        <f t="shared" si="0"/>
        <v>女</v>
      </c>
      <c r="D13" s="9" t="str">
        <f t="shared" si="1"/>
        <v>汉族</v>
      </c>
      <c r="E13" s="9" t="str">
        <f>"20220010111"</f>
        <v>20220010111</v>
      </c>
      <c r="F13" s="9">
        <v>61</v>
      </c>
      <c r="G13" s="9"/>
      <c r="H13" s="9">
        <f t="shared" si="2"/>
        <v>61</v>
      </c>
    </row>
    <row r="14" spans="1:8" s="13" customFormat="1" ht="24.75" customHeight="1">
      <c r="A14" s="9">
        <v>12</v>
      </c>
      <c r="B14" s="9" t="str">
        <f>"乔欣媛"</f>
        <v>乔欣媛</v>
      </c>
      <c r="C14" s="9" t="str">
        <f t="shared" si="0"/>
        <v>女</v>
      </c>
      <c r="D14" s="9" t="str">
        <f t="shared" si="1"/>
        <v>汉族</v>
      </c>
      <c r="E14" s="9" t="str">
        <f>"20220010112"</f>
        <v>20220010112</v>
      </c>
      <c r="F14" s="9">
        <v>67</v>
      </c>
      <c r="G14" s="9"/>
      <c r="H14" s="9">
        <f t="shared" si="2"/>
        <v>67</v>
      </c>
    </row>
    <row r="15" spans="1:8" s="13" customFormat="1" ht="24.75" customHeight="1">
      <c r="A15" s="9">
        <v>13</v>
      </c>
      <c r="B15" s="9" t="str">
        <f>"王慧"</f>
        <v>王慧</v>
      </c>
      <c r="C15" s="9" t="str">
        <f t="shared" si="0"/>
        <v>女</v>
      </c>
      <c r="D15" s="9" t="str">
        <f t="shared" si="1"/>
        <v>汉族</v>
      </c>
      <c r="E15" s="9" t="str">
        <f>"20220010113"</f>
        <v>20220010113</v>
      </c>
      <c r="F15" s="9">
        <v>68</v>
      </c>
      <c r="G15" s="9"/>
      <c r="H15" s="9">
        <f t="shared" si="2"/>
        <v>68</v>
      </c>
    </row>
    <row r="16" spans="1:8" s="13" customFormat="1" ht="24.75" customHeight="1">
      <c r="A16" s="9">
        <v>14</v>
      </c>
      <c r="B16" s="9" t="str">
        <f>"任硕宇"</f>
        <v>任硕宇</v>
      </c>
      <c r="C16" s="9" t="str">
        <f t="shared" si="0"/>
        <v>女</v>
      </c>
      <c r="D16" s="9" t="str">
        <f t="shared" si="1"/>
        <v>汉族</v>
      </c>
      <c r="E16" s="9" t="str">
        <f>"20220010114"</f>
        <v>20220010114</v>
      </c>
      <c r="F16" s="9">
        <v>71</v>
      </c>
      <c r="G16" s="9"/>
      <c r="H16" s="9">
        <f t="shared" si="2"/>
        <v>71</v>
      </c>
    </row>
    <row r="17" spans="1:8" s="13" customFormat="1" ht="24.75" customHeight="1">
      <c r="A17" s="9">
        <v>15</v>
      </c>
      <c r="B17" s="9" t="str">
        <f>"窦心曼"</f>
        <v>窦心曼</v>
      </c>
      <c r="C17" s="9" t="str">
        <f t="shared" si="0"/>
        <v>女</v>
      </c>
      <c r="D17" s="9" t="str">
        <f t="shared" si="1"/>
        <v>汉族</v>
      </c>
      <c r="E17" s="9" t="str">
        <f>"20220010115"</f>
        <v>20220010115</v>
      </c>
      <c r="F17" s="9">
        <v>62</v>
      </c>
      <c r="G17" s="9"/>
      <c r="H17" s="9">
        <f t="shared" si="2"/>
        <v>62</v>
      </c>
    </row>
    <row r="18" spans="1:8" s="13" customFormat="1" ht="24.75" customHeight="1">
      <c r="A18" s="9">
        <v>16</v>
      </c>
      <c r="B18" s="9" t="str">
        <f>"张铎曦"</f>
        <v>张铎曦</v>
      </c>
      <c r="C18" s="9" t="str">
        <f t="shared" si="0"/>
        <v>女</v>
      </c>
      <c r="D18" s="9" t="str">
        <f t="shared" si="1"/>
        <v>汉族</v>
      </c>
      <c r="E18" s="9" t="str">
        <f>"20220010116"</f>
        <v>20220010116</v>
      </c>
      <c r="F18" s="9">
        <v>47</v>
      </c>
      <c r="G18" s="9"/>
      <c r="H18" s="9">
        <f t="shared" si="2"/>
        <v>47</v>
      </c>
    </row>
    <row r="19" spans="1:8" s="13" customFormat="1" ht="24.75" customHeight="1">
      <c r="A19" s="9">
        <v>17</v>
      </c>
      <c r="B19" s="9" t="str">
        <f>"李娜"</f>
        <v>李娜</v>
      </c>
      <c r="C19" s="9" t="str">
        <f t="shared" si="0"/>
        <v>女</v>
      </c>
      <c r="D19" s="9" t="str">
        <f t="shared" si="1"/>
        <v>汉族</v>
      </c>
      <c r="E19" s="9" t="str">
        <f>"20220010117"</f>
        <v>20220010117</v>
      </c>
      <c r="F19" s="9">
        <v>73</v>
      </c>
      <c r="G19" s="9"/>
      <c r="H19" s="9">
        <f t="shared" si="2"/>
        <v>73</v>
      </c>
    </row>
    <row r="20" spans="1:8" s="13" customFormat="1" ht="24.75" customHeight="1">
      <c r="A20" s="9">
        <v>18</v>
      </c>
      <c r="B20" s="9" t="str">
        <f>"张钰茹"</f>
        <v>张钰茹</v>
      </c>
      <c r="C20" s="9" t="str">
        <f t="shared" si="0"/>
        <v>女</v>
      </c>
      <c r="D20" s="9" t="str">
        <f t="shared" si="1"/>
        <v>汉族</v>
      </c>
      <c r="E20" s="9" t="str">
        <f>"20220010118"</f>
        <v>20220010118</v>
      </c>
      <c r="F20" s="9">
        <v>66</v>
      </c>
      <c r="G20" s="9"/>
      <c r="H20" s="9">
        <f t="shared" si="2"/>
        <v>66</v>
      </c>
    </row>
    <row r="21" spans="1:8" s="13" customFormat="1" ht="24.75" customHeight="1">
      <c r="A21" s="9">
        <v>19</v>
      </c>
      <c r="B21" s="9" t="str">
        <f>"尹鑫"</f>
        <v>尹鑫</v>
      </c>
      <c r="C21" s="9" t="str">
        <f t="shared" si="0"/>
        <v>女</v>
      </c>
      <c r="D21" s="9" t="str">
        <f t="shared" si="1"/>
        <v>汉族</v>
      </c>
      <c r="E21" s="9" t="str">
        <f>"20220010119"</f>
        <v>20220010119</v>
      </c>
      <c r="F21" s="9">
        <v>63</v>
      </c>
      <c r="G21" s="9"/>
      <c r="H21" s="9">
        <f t="shared" si="2"/>
        <v>63</v>
      </c>
    </row>
    <row r="22" spans="1:8" s="13" customFormat="1" ht="24.75" customHeight="1">
      <c r="A22" s="9">
        <v>20</v>
      </c>
      <c r="B22" s="9" t="str">
        <f>"张天佳"</f>
        <v>张天佳</v>
      </c>
      <c r="C22" s="9" t="str">
        <f t="shared" si="0"/>
        <v>女</v>
      </c>
      <c r="D22" s="9" t="str">
        <f t="shared" si="1"/>
        <v>汉族</v>
      </c>
      <c r="E22" s="9" t="str">
        <f>"20220010120"</f>
        <v>20220010120</v>
      </c>
      <c r="F22" s="9">
        <v>42</v>
      </c>
      <c r="G22" s="9"/>
      <c r="H22" s="9">
        <f t="shared" si="2"/>
        <v>42</v>
      </c>
    </row>
    <row r="23" spans="1:8" s="13" customFormat="1" ht="24.75" customHeight="1">
      <c r="A23" s="9">
        <v>21</v>
      </c>
      <c r="B23" s="9" t="str">
        <f>"刘泽宇"</f>
        <v>刘泽宇</v>
      </c>
      <c r="C23" s="9" t="str">
        <f t="shared" si="0"/>
        <v>女</v>
      </c>
      <c r="D23" s="9" t="str">
        <f t="shared" si="1"/>
        <v>汉族</v>
      </c>
      <c r="E23" s="9" t="str">
        <f>"20220010121"</f>
        <v>20220010121</v>
      </c>
      <c r="F23" s="9">
        <v>58</v>
      </c>
      <c r="G23" s="9"/>
      <c r="H23" s="9">
        <f t="shared" si="2"/>
        <v>58</v>
      </c>
    </row>
    <row r="24" spans="1:8" s="13" customFormat="1" ht="24.75" customHeight="1">
      <c r="A24" s="9">
        <v>22</v>
      </c>
      <c r="B24" s="9" t="str">
        <f>"焦迦男"</f>
        <v>焦迦男</v>
      </c>
      <c r="C24" s="9" t="str">
        <f t="shared" si="0"/>
        <v>女</v>
      </c>
      <c r="D24" s="9" t="str">
        <f t="shared" si="1"/>
        <v>汉族</v>
      </c>
      <c r="E24" s="9" t="str">
        <f>"20220010122"</f>
        <v>20220010122</v>
      </c>
      <c r="F24" s="9">
        <v>50</v>
      </c>
      <c r="G24" s="9"/>
      <c r="H24" s="9">
        <f t="shared" si="2"/>
        <v>50</v>
      </c>
    </row>
    <row r="25" spans="1:8" s="13" customFormat="1" ht="24.75" customHeight="1">
      <c r="A25" s="9">
        <v>23</v>
      </c>
      <c r="B25" s="9" t="str">
        <f>"马耀婷"</f>
        <v>马耀婷</v>
      </c>
      <c r="C25" s="9" t="str">
        <f t="shared" si="0"/>
        <v>女</v>
      </c>
      <c r="D25" s="9" t="str">
        <f t="shared" si="1"/>
        <v>汉族</v>
      </c>
      <c r="E25" s="9" t="str">
        <f>"20220010123"</f>
        <v>20220010123</v>
      </c>
      <c r="F25" s="9">
        <v>45</v>
      </c>
      <c r="G25" s="9"/>
      <c r="H25" s="9">
        <f t="shared" si="2"/>
        <v>45</v>
      </c>
    </row>
    <row r="26" spans="1:8" s="13" customFormat="1" ht="24.75" customHeight="1">
      <c r="A26" s="9">
        <v>24</v>
      </c>
      <c r="B26" s="9" t="str">
        <f>"张旭敏"</f>
        <v>张旭敏</v>
      </c>
      <c r="C26" s="9" t="str">
        <f t="shared" si="0"/>
        <v>女</v>
      </c>
      <c r="D26" s="9" t="str">
        <f t="shared" si="1"/>
        <v>汉族</v>
      </c>
      <c r="E26" s="9" t="str">
        <f>"20220010124"</f>
        <v>20220010124</v>
      </c>
      <c r="F26" s="9">
        <v>72</v>
      </c>
      <c r="G26" s="9"/>
      <c r="H26" s="9">
        <f t="shared" si="2"/>
        <v>72</v>
      </c>
    </row>
    <row r="27" spans="1:8" s="13" customFormat="1" ht="24.75" customHeight="1">
      <c r="A27" s="9">
        <v>25</v>
      </c>
      <c r="B27" s="9" t="str">
        <f>"王雅田"</f>
        <v>王雅田</v>
      </c>
      <c r="C27" s="9" t="str">
        <f t="shared" si="0"/>
        <v>女</v>
      </c>
      <c r="D27" s="9" t="str">
        <f t="shared" si="1"/>
        <v>汉族</v>
      </c>
      <c r="E27" s="9" t="str">
        <f>"20220010125"</f>
        <v>20220010125</v>
      </c>
      <c r="F27" s="9">
        <v>48</v>
      </c>
      <c r="G27" s="9"/>
      <c r="H27" s="9">
        <f t="shared" si="2"/>
        <v>48</v>
      </c>
    </row>
    <row r="28" spans="1:8" s="13" customFormat="1" ht="24.75" customHeight="1">
      <c r="A28" s="9">
        <v>26</v>
      </c>
      <c r="B28" s="9" t="str">
        <f>"郭培芬"</f>
        <v>郭培芬</v>
      </c>
      <c r="C28" s="9" t="str">
        <f t="shared" si="0"/>
        <v>女</v>
      </c>
      <c r="D28" s="9" t="str">
        <f t="shared" si="1"/>
        <v>汉族</v>
      </c>
      <c r="E28" s="9" t="str">
        <f>"20220010126"</f>
        <v>20220010126</v>
      </c>
      <c r="F28" s="9">
        <v>56</v>
      </c>
      <c r="G28" s="9"/>
      <c r="H28" s="9">
        <f t="shared" si="2"/>
        <v>56</v>
      </c>
    </row>
    <row r="29" spans="1:8" s="13" customFormat="1" ht="24.75" customHeight="1">
      <c r="A29" s="9">
        <v>27</v>
      </c>
      <c r="B29" s="9" t="str">
        <f>"高淑婷"</f>
        <v>高淑婷</v>
      </c>
      <c r="C29" s="9" t="str">
        <f t="shared" si="0"/>
        <v>女</v>
      </c>
      <c r="D29" s="9" t="str">
        <f t="shared" si="1"/>
        <v>汉族</v>
      </c>
      <c r="E29" s="9" t="str">
        <f>"20220010127"</f>
        <v>20220010127</v>
      </c>
      <c r="F29" s="9">
        <v>64</v>
      </c>
      <c r="G29" s="9"/>
      <c r="H29" s="9">
        <f t="shared" si="2"/>
        <v>64</v>
      </c>
    </row>
    <row r="30" spans="1:8" s="13" customFormat="1" ht="24.75" customHeight="1">
      <c r="A30" s="9">
        <v>28</v>
      </c>
      <c r="B30" s="9" t="str">
        <f>"郭箬楠"</f>
        <v>郭箬楠</v>
      </c>
      <c r="C30" s="9" t="str">
        <f t="shared" si="0"/>
        <v>女</v>
      </c>
      <c r="D30" s="9" t="str">
        <f t="shared" si="1"/>
        <v>汉族</v>
      </c>
      <c r="E30" s="9" t="str">
        <f>"20220010128"</f>
        <v>20220010128</v>
      </c>
      <c r="F30" s="9">
        <v>0</v>
      </c>
      <c r="G30" s="9"/>
      <c r="H30" s="9">
        <f t="shared" si="2"/>
        <v>0</v>
      </c>
    </row>
    <row r="31" spans="1:8" s="13" customFormat="1" ht="24.75" customHeight="1">
      <c r="A31" s="9">
        <v>29</v>
      </c>
      <c r="B31" s="9" t="str">
        <f>"沈欣楠"</f>
        <v>沈欣楠</v>
      </c>
      <c r="C31" s="9" t="str">
        <f t="shared" si="0"/>
        <v>女</v>
      </c>
      <c r="D31" s="9" t="str">
        <f>"蒙古族"</f>
        <v>蒙古族</v>
      </c>
      <c r="E31" s="9" t="str">
        <f>"20220010129"</f>
        <v>20220010129</v>
      </c>
      <c r="F31" s="9">
        <v>54</v>
      </c>
      <c r="G31" s="9">
        <v>2.5</v>
      </c>
      <c r="H31" s="9">
        <f t="shared" si="2"/>
        <v>56.5</v>
      </c>
    </row>
    <row r="32" spans="1:8" s="13" customFormat="1" ht="24.75" customHeight="1">
      <c r="A32" s="9">
        <v>30</v>
      </c>
      <c r="B32" s="9" t="str">
        <f>"杨子薇"</f>
        <v>杨子薇</v>
      </c>
      <c r="C32" s="9" t="str">
        <f t="shared" si="0"/>
        <v>女</v>
      </c>
      <c r="D32" s="9" t="str">
        <f aca="true" t="shared" si="3" ref="D32:D44">"汉族"</f>
        <v>汉族</v>
      </c>
      <c r="E32" s="9" t="str">
        <f>"20220010130"</f>
        <v>20220010130</v>
      </c>
      <c r="F32" s="9">
        <v>68</v>
      </c>
      <c r="G32" s="9"/>
      <c r="H32" s="9">
        <f t="shared" si="2"/>
        <v>68</v>
      </c>
    </row>
    <row r="33" spans="1:8" s="13" customFormat="1" ht="24.75" customHeight="1">
      <c r="A33" s="9">
        <v>31</v>
      </c>
      <c r="B33" s="9" t="str">
        <f>"李敏"</f>
        <v>李敏</v>
      </c>
      <c r="C33" s="9" t="str">
        <f t="shared" si="0"/>
        <v>女</v>
      </c>
      <c r="D33" s="9" t="str">
        <f t="shared" si="3"/>
        <v>汉族</v>
      </c>
      <c r="E33" s="9" t="str">
        <f>"20220010201"</f>
        <v>20220010201</v>
      </c>
      <c r="F33" s="9">
        <v>64</v>
      </c>
      <c r="G33" s="9"/>
      <c r="H33" s="9">
        <f t="shared" si="2"/>
        <v>64</v>
      </c>
    </row>
    <row r="34" spans="1:8" s="13" customFormat="1" ht="24.75" customHeight="1">
      <c r="A34" s="9">
        <v>32</v>
      </c>
      <c r="B34" s="9" t="str">
        <f>"王佳月"</f>
        <v>王佳月</v>
      </c>
      <c r="C34" s="9" t="str">
        <f t="shared" si="0"/>
        <v>女</v>
      </c>
      <c r="D34" s="9" t="str">
        <f t="shared" si="3"/>
        <v>汉族</v>
      </c>
      <c r="E34" s="9" t="str">
        <f>"20220010202"</f>
        <v>20220010202</v>
      </c>
      <c r="F34" s="9">
        <v>58</v>
      </c>
      <c r="G34" s="9"/>
      <c r="H34" s="9">
        <f t="shared" si="2"/>
        <v>58</v>
      </c>
    </row>
    <row r="35" spans="1:8" s="13" customFormat="1" ht="24.75" customHeight="1">
      <c r="A35" s="9">
        <v>33</v>
      </c>
      <c r="B35" s="9" t="str">
        <f>"燕晓宇"</f>
        <v>燕晓宇</v>
      </c>
      <c r="C35" s="9" t="str">
        <f t="shared" si="0"/>
        <v>女</v>
      </c>
      <c r="D35" s="9" t="str">
        <f t="shared" si="3"/>
        <v>汉族</v>
      </c>
      <c r="E35" s="9" t="str">
        <f>"20220010203"</f>
        <v>20220010203</v>
      </c>
      <c r="F35" s="9">
        <v>38</v>
      </c>
      <c r="G35" s="9"/>
      <c r="H35" s="9">
        <f t="shared" si="2"/>
        <v>38</v>
      </c>
    </row>
    <row r="36" spans="1:8" s="13" customFormat="1" ht="24.75" customHeight="1">
      <c r="A36" s="9">
        <v>34</v>
      </c>
      <c r="B36" s="9" t="str">
        <f>"范鑫"</f>
        <v>范鑫</v>
      </c>
      <c r="C36" s="9" t="str">
        <f t="shared" si="0"/>
        <v>女</v>
      </c>
      <c r="D36" s="9" t="str">
        <f t="shared" si="3"/>
        <v>汉族</v>
      </c>
      <c r="E36" s="9" t="str">
        <f>"20220010204"</f>
        <v>20220010204</v>
      </c>
      <c r="F36" s="9">
        <v>36</v>
      </c>
      <c r="G36" s="9"/>
      <c r="H36" s="9">
        <f t="shared" si="2"/>
        <v>36</v>
      </c>
    </row>
    <row r="37" spans="1:8" s="13" customFormat="1" ht="24.75" customHeight="1">
      <c r="A37" s="9">
        <v>35</v>
      </c>
      <c r="B37" s="9" t="str">
        <f>"米月荣"</f>
        <v>米月荣</v>
      </c>
      <c r="C37" s="9" t="str">
        <f t="shared" si="0"/>
        <v>女</v>
      </c>
      <c r="D37" s="9" t="str">
        <f t="shared" si="3"/>
        <v>汉族</v>
      </c>
      <c r="E37" s="9" t="str">
        <f>"20220010205"</f>
        <v>20220010205</v>
      </c>
      <c r="F37" s="9">
        <v>53</v>
      </c>
      <c r="G37" s="9"/>
      <c r="H37" s="9">
        <f t="shared" si="2"/>
        <v>53</v>
      </c>
    </row>
    <row r="38" spans="1:8" s="13" customFormat="1" ht="24.75" customHeight="1">
      <c r="A38" s="9">
        <v>36</v>
      </c>
      <c r="B38" s="9" t="str">
        <f>"徐丹"</f>
        <v>徐丹</v>
      </c>
      <c r="C38" s="9" t="str">
        <f t="shared" si="0"/>
        <v>女</v>
      </c>
      <c r="D38" s="9" t="str">
        <f t="shared" si="3"/>
        <v>汉族</v>
      </c>
      <c r="E38" s="9" t="str">
        <f>"20220010206"</f>
        <v>20220010206</v>
      </c>
      <c r="F38" s="9">
        <v>35</v>
      </c>
      <c r="G38" s="9"/>
      <c r="H38" s="9">
        <f t="shared" si="2"/>
        <v>35</v>
      </c>
    </row>
    <row r="39" spans="1:8" s="13" customFormat="1" ht="24.75" customHeight="1">
      <c r="A39" s="9">
        <v>37</v>
      </c>
      <c r="B39" s="9" t="str">
        <f>"乔丽桃"</f>
        <v>乔丽桃</v>
      </c>
      <c r="C39" s="9" t="str">
        <f t="shared" si="0"/>
        <v>女</v>
      </c>
      <c r="D39" s="9" t="str">
        <f t="shared" si="3"/>
        <v>汉族</v>
      </c>
      <c r="E39" s="9" t="str">
        <f>"20220010207"</f>
        <v>20220010207</v>
      </c>
      <c r="F39" s="9">
        <v>43</v>
      </c>
      <c r="G39" s="9"/>
      <c r="H39" s="9">
        <f t="shared" si="2"/>
        <v>43</v>
      </c>
    </row>
    <row r="40" spans="1:8" s="13" customFormat="1" ht="24.75" customHeight="1">
      <c r="A40" s="9">
        <v>38</v>
      </c>
      <c r="B40" s="9" t="str">
        <f>"李欣仪"</f>
        <v>李欣仪</v>
      </c>
      <c r="C40" s="9" t="str">
        <f t="shared" si="0"/>
        <v>女</v>
      </c>
      <c r="D40" s="9" t="str">
        <f t="shared" si="3"/>
        <v>汉族</v>
      </c>
      <c r="E40" s="9" t="str">
        <f>"20220010208"</f>
        <v>20220010208</v>
      </c>
      <c r="F40" s="9">
        <v>0</v>
      </c>
      <c r="G40" s="9"/>
      <c r="H40" s="9">
        <f t="shared" si="2"/>
        <v>0</v>
      </c>
    </row>
    <row r="41" spans="1:8" s="13" customFormat="1" ht="24.75" customHeight="1">
      <c r="A41" s="9">
        <v>39</v>
      </c>
      <c r="B41" s="9" t="str">
        <f>"陶淑芳"</f>
        <v>陶淑芳</v>
      </c>
      <c r="C41" s="9" t="str">
        <f t="shared" si="0"/>
        <v>女</v>
      </c>
      <c r="D41" s="9" t="str">
        <f t="shared" si="3"/>
        <v>汉族</v>
      </c>
      <c r="E41" s="9" t="str">
        <f>"20220010209"</f>
        <v>20220010209</v>
      </c>
      <c r="F41" s="9">
        <v>52</v>
      </c>
      <c r="G41" s="9"/>
      <c r="H41" s="9">
        <f t="shared" si="2"/>
        <v>52</v>
      </c>
    </row>
    <row r="42" spans="1:8" s="13" customFormat="1" ht="24.75" customHeight="1">
      <c r="A42" s="9">
        <v>40</v>
      </c>
      <c r="B42" s="9" t="str">
        <f>"武娇"</f>
        <v>武娇</v>
      </c>
      <c r="C42" s="9" t="str">
        <f t="shared" si="0"/>
        <v>女</v>
      </c>
      <c r="D42" s="9" t="str">
        <f t="shared" si="3"/>
        <v>汉族</v>
      </c>
      <c r="E42" s="9" t="str">
        <f>"20220010210"</f>
        <v>20220010210</v>
      </c>
      <c r="F42" s="9">
        <v>33</v>
      </c>
      <c r="G42" s="9"/>
      <c r="H42" s="9">
        <f t="shared" si="2"/>
        <v>33</v>
      </c>
    </row>
    <row r="43" spans="1:8" s="13" customFormat="1" ht="24.75" customHeight="1">
      <c r="A43" s="9">
        <v>41</v>
      </c>
      <c r="B43" s="9" t="str">
        <f>"郑婕"</f>
        <v>郑婕</v>
      </c>
      <c r="C43" s="9" t="str">
        <f t="shared" si="0"/>
        <v>女</v>
      </c>
      <c r="D43" s="9" t="str">
        <f t="shared" si="3"/>
        <v>汉族</v>
      </c>
      <c r="E43" s="9" t="str">
        <f>"20220010211"</f>
        <v>20220010211</v>
      </c>
      <c r="F43" s="9">
        <v>59</v>
      </c>
      <c r="G43" s="9"/>
      <c r="H43" s="9">
        <f t="shared" si="2"/>
        <v>59</v>
      </c>
    </row>
    <row r="44" spans="1:8" s="13" customFormat="1" ht="24.75" customHeight="1">
      <c r="A44" s="9">
        <v>42</v>
      </c>
      <c r="B44" s="9" t="str">
        <f>"王淑青"</f>
        <v>王淑青</v>
      </c>
      <c r="C44" s="9" t="str">
        <f t="shared" si="0"/>
        <v>女</v>
      </c>
      <c r="D44" s="9" t="str">
        <f t="shared" si="3"/>
        <v>汉族</v>
      </c>
      <c r="E44" s="9" t="str">
        <f>"20220010212"</f>
        <v>20220010212</v>
      </c>
      <c r="F44" s="9">
        <v>55</v>
      </c>
      <c r="G44" s="9"/>
      <c r="H44" s="9">
        <f t="shared" si="2"/>
        <v>55</v>
      </c>
    </row>
    <row r="45" spans="1:8" s="13" customFormat="1" ht="24.75" customHeight="1">
      <c r="A45" s="9">
        <v>43</v>
      </c>
      <c r="B45" s="9" t="str">
        <f>"李静"</f>
        <v>李静</v>
      </c>
      <c r="C45" s="9" t="str">
        <f t="shared" si="0"/>
        <v>女</v>
      </c>
      <c r="D45" s="9" t="str">
        <f>"回族"</f>
        <v>回族</v>
      </c>
      <c r="E45" s="9" t="str">
        <f>"20220010213"</f>
        <v>20220010213</v>
      </c>
      <c r="F45" s="9">
        <v>52</v>
      </c>
      <c r="G45" s="9"/>
      <c r="H45" s="9">
        <f t="shared" si="2"/>
        <v>52</v>
      </c>
    </row>
    <row r="46" spans="1:8" s="13" customFormat="1" ht="24.75" customHeight="1">
      <c r="A46" s="9">
        <v>44</v>
      </c>
      <c r="B46" s="9" t="str">
        <f>"孙碧琛"</f>
        <v>孙碧琛</v>
      </c>
      <c r="C46" s="9" t="str">
        <f t="shared" si="0"/>
        <v>女</v>
      </c>
      <c r="D46" s="9" t="str">
        <f aca="true" t="shared" si="4" ref="D46:D70">"汉族"</f>
        <v>汉族</v>
      </c>
      <c r="E46" s="9" t="str">
        <f>"20220010214"</f>
        <v>20220010214</v>
      </c>
      <c r="F46" s="9">
        <v>77</v>
      </c>
      <c r="G46" s="9"/>
      <c r="H46" s="9">
        <f t="shared" si="2"/>
        <v>77</v>
      </c>
    </row>
    <row r="47" spans="1:8" s="13" customFormat="1" ht="24.75" customHeight="1">
      <c r="A47" s="9">
        <v>45</v>
      </c>
      <c r="B47" s="9" t="str">
        <f>"张慧敏"</f>
        <v>张慧敏</v>
      </c>
      <c r="C47" s="9" t="str">
        <f t="shared" si="0"/>
        <v>女</v>
      </c>
      <c r="D47" s="9" t="str">
        <f t="shared" si="4"/>
        <v>汉族</v>
      </c>
      <c r="E47" s="9" t="str">
        <f>"20220010215"</f>
        <v>20220010215</v>
      </c>
      <c r="F47" s="9">
        <v>72</v>
      </c>
      <c r="G47" s="9"/>
      <c r="H47" s="9">
        <f t="shared" si="2"/>
        <v>72</v>
      </c>
    </row>
    <row r="48" spans="1:8" s="13" customFormat="1" ht="24.75" customHeight="1">
      <c r="A48" s="9">
        <v>46</v>
      </c>
      <c r="B48" s="9" t="str">
        <f>"马悦"</f>
        <v>马悦</v>
      </c>
      <c r="C48" s="9" t="str">
        <f t="shared" si="0"/>
        <v>女</v>
      </c>
      <c r="D48" s="9" t="str">
        <f t="shared" si="4"/>
        <v>汉族</v>
      </c>
      <c r="E48" s="9" t="str">
        <f>"20220010216"</f>
        <v>20220010216</v>
      </c>
      <c r="F48" s="9">
        <v>0</v>
      </c>
      <c r="G48" s="9"/>
      <c r="H48" s="9">
        <f t="shared" si="2"/>
        <v>0</v>
      </c>
    </row>
    <row r="49" spans="1:8" s="13" customFormat="1" ht="24.75" customHeight="1">
      <c r="A49" s="9">
        <v>47</v>
      </c>
      <c r="B49" s="9" t="str">
        <f>"郜莎莎"</f>
        <v>郜莎莎</v>
      </c>
      <c r="C49" s="9" t="str">
        <f t="shared" si="0"/>
        <v>女</v>
      </c>
      <c r="D49" s="9" t="str">
        <f t="shared" si="4"/>
        <v>汉族</v>
      </c>
      <c r="E49" s="9" t="str">
        <f>"20220010217"</f>
        <v>20220010217</v>
      </c>
      <c r="F49" s="9">
        <v>0</v>
      </c>
      <c r="G49" s="9"/>
      <c r="H49" s="9">
        <f t="shared" si="2"/>
        <v>0</v>
      </c>
    </row>
    <row r="50" spans="1:8" s="13" customFormat="1" ht="24.75" customHeight="1">
      <c r="A50" s="9">
        <v>48</v>
      </c>
      <c r="B50" s="9" t="str">
        <f>"杨扬"</f>
        <v>杨扬</v>
      </c>
      <c r="C50" s="9" t="str">
        <f t="shared" si="0"/>
        <v>女</v>
      </c>
      <c r="D50" s="9" t="str">
        <f t="shared" si="4"/>
        <v>汉族</v>
      </c>
      <c r="E50" s="9" t="str">
        <f>"20220010218"</f>
        <v>20220010218</v>
      </c>
      <c r="F50" s="9">
        <v>62</v>
      </c>
      <c r="G50" s="9"/>
      <c r="H50" s="9">
        <f t="shared" si="2"/>
        <v>62</v>
      </c>
    </row>
    <row r="51" spans="1:8" s="13" customFormat="1" ht="24.75" customHeight="1">
      <c r="A51" s="9">
        <v>49</v>
      </c>
      <c r="B51" s="9" t="str">
        <f>"纪永梅"</f>
        <v>纪永梅</v>
      </c>
      <c r="C51" s="9" t="str">
        <f t="shared" si="0"/>
        <v>女</v>
      </c>
      <c r="D51" s="9" t="str">
        <f t="shared" si="4"/>
        <v>汉族</v>
      </c>
      <c r="E51" s="9" t="str">
        <f>"20220010219"</f>
        <v>20220010219</v>
      </c>
      <c r="F51" s="9">
        <v>69</v>
      </c>
      <c r="G51" s="9"/>
      <c r="H51" s="9">
        <f t="shared" si="2"/>
        <v>69</v>
      </c>
    </row>
    <row r="52" spans="1:8" s="13" customFormat="1" ht="24.75" customHeight="1">
      <c r="A52" s="9">
        <v>50</v>
      </c>
      <c r="B52" s="9" t="str">
        <f>"张亚萱"</f>
        <v>张亚萱</v>
      </c>
      <c r="C52" s="9" t="str">
        <f t="shared" si="0"/>
        <v>女</v>
      </c>
      <c r="D52" s="9" t="str">
        <f t="shared" si="4"/>
        <v>汉族</v>
      </c>
      <c r="E52" s="9" t="str">
        <f>"20220010220"</f>
        <v>20220010220</v>
      </c>
      <c r="F52" s="9">
        <v>49</v>
      </c>
      <c r="G52" s="9"/>
      <c r="H52" s="9">
        <f t="shared" si="2"/>
        <v>49</v>
      </c>
    </row>
    <row r="53" spans="1:8" s="13" customFormat="1" ht="24.75" customHeight="1">
      <c r="A53" s="9">
        <v>51</v>
      </c>
      <c r="B53" s="9" t="str">
        <f>"樊小丽"</f>
        <v>樊小丽</v>
      </c>
      <c r="C53" s="9" t="str">
        <f t="shared" si="0"/>
        <v>女</v>
      </c>
      <c r="D53" s="9" t="str">
        <f t="shared" si="4"/>
        <v>汉族</v>
      </c>
      <c r="E53" s="9" t="str">
        <f>"20220010221"</f>
        <v>20220010221</v>
      </c>
      <c r="F53" s="9">
        <v>56</v>
      </c>
      <c r="G53" s="9"/>
      <c r="H53" s="9">
        <f t="shared" si="2"/>
        <v>56</v>
      </c>
    </row>
    <row r="54" spans="1:8" s="13" customFormat="1" ht="24.75" customHeight="1">
      <c r="A54" s="9">
        <v>52</v>
      </c>
      <c r="B54" s="9" t="str">
        <f>"李雅姝"</f>
        <v>李雅姝</v>
      </c>
      <c r="C54" s="9" t="str">
        <f t="shared" si="0"/>
        <v>女</v>
      </c>
      <c r="D54" s="9" t="str">
        <f t="shared" si="4"/>
        <v>汉族</v>
      </c>
      <c r="E54" s="9" t="str">
        <f>"20220010222"</f>
        <v>20220010222</v>
      </c>
      <c r="F54" s="9">
        <v>41</v>
      </c>
      <c r="G54" s="9"/>
      <c r="H54" s="9">
        <f t="shared" si="2"/>
        <v>41</v>
      </c>
    </row>
    <row r="55" spans="1:8" s="13" customFormat="1" ht="24.75" customHeight="1">
      <c r="A55" s="9">
        <v>53</v>
      </c>
      <c r="B55" s="9" t="str">
        <f>"王梦羽"</f>
        <v>王梦羽</v>
      </c>
      <c r="C55" s="9" t="str">
        <f t="shared" si="0"/>
        <v>女</v>
      </c>
      <c r="D55" s="9" t="str">
        <f t="shared" si="4"/>
        <v>汉族</v>
      </c>
      <c r="E55" s="9" t="str">
        <f>"20220010223"</f>
        <v>20220010223</v>
      </c>
      <c r="F55" s="9">
        <v>53</v>
      </c>
      <c r="G55" s="9"/>
      <c r="H55" s="9">
        <f t="shared" si="2"/>
        <v>53</v>
      </c>
    </row>
    <row r="56" spans="1:8" s="13" customFormat="1" ht="24.75" customHeight="1">
      <c r="A56" s="9">
        <v>54</v>
      </c>
      <c r="B56" s="9" t="str">
        <f>"李余梦"</f>
        <v>李余梦</v>
      </c>
      <c r="C56" s="9" t="str">
        <f t="shared" si="0"/>
        <v>女</v>
      </c>
      <c r="D56" s="9" t="str">
        <f t="shared" si="4"/>
        <v>汉族</v>
      </c>
      <c r="E56" s="9" t="str">
        <f>"20220010224"</f>
        <v>20220010224</v>
      </c>
      <c r="F56" s="9">
        <v>56</v>
      </c>
      <c r="G56" s="9"/>
      <c r="H56" s="9">
        <f t="shared" si="2"/>
        <v>56</v>
      </c>
    </row>
    <row r="57" spans="1:8" s="13" customFormat="1" ht="24.75" customHeight="1">
      <c r="A57" s="9">
        <v>55</v>
      </c>
      <c r="B57" s="9" t="str">
        <f>"高笠酶"</f>
        <v>高笠酶</v>
      </c>
      <c r="C57" s="9" t="str">
        <f t="shared" si="0"/>
        <v>女</v>
      </c>
      <c r="D57" s="9" t="str">
        <f t="shared" si="4"/>
        <v>汉族</v>
      </c>
      <c r="E57" s="9" t="str">
        <f>"20220010225"</f>
        <v>20220010225</v>
      </c>
      <c r="F57" s="9">
        <v>49</v>
      </c>
      <c r="G57" s="9"/>
      <c r="H57" s="9">
        <f t="shared" si="2"/>
        <v>49</v>
      </c>
    </row>
    <row r="58" spans="1:8" s="13" customFormat="1" ht="24.75" customHeight="1">
      <c r="A58" s="9">
        <v>56</v>
      </c>
      <c r="B58" s="9" t="str">
        <f>"温慧"</f>
        <v>温慧</v>
      </c>
      <c r="C58" s="9" t="str">
        <f t="shared" si="0"/>
        <v>女</v>
      </c>
      <c r="D58" s="9" t="str">
        <f t="shared" si="4"/>
        <v>汉族</v>
      </c>
      <c r="E58" s="9" t="str">
        <f>"20220010226"</f>
        <v>20220010226</v>
      </c>
      <c r="F58" s="9">
        <v>47</v>
      </c>
      <c r="G58" s="9"/>
      <c r="H58" s="9">
        <f t="shared" si="2"/>
        <v>47</v>
      </c>
    </row>
    <row r="59" spans="1:8" s="13" customFormat="1" ht="24.75" customHeight="1">
      <c r="A59" s="9">
        <v>57</v>
      </c>
      <c r="B59" s="9" t="str">
        <f>"赵赏雅"</f>
        <v>赵赏雅</v>
      </c>
      <c r="C59" s="9" t="str">
        <f t="shared" si="0"/>
        <v>女</v>
      </c>
      <c r="D59" s="9" t="str">
        <f t="shared" si="4"/>
        <v>汉族</v>
      </c>
      <c r="E59" s="9" t="str">
        <f>"20220010227"</f>
        <v>20220010227</v>
      </c>
      <c r="F59" s="9">
        <v>0</v>
      </c>
      <c r="G59" s="9"/>
      <c r="H59" s="9">
        <f t="shared" si="2"/>
        <v>0</v>
      </c>
    </row>
    <row r="60" spans="1:8" s="13" customFormat="1" ht="24.75" customHeight="1">
      <c r="A60" s="9">
        <v>58</v>
      </c>
      <c r="B60" s="9" t="str">
        <f>"方惠"</f>
        <v>方惠</v>
      </c>
      <c r="C60" s="9" t="str">
        <f t="shared" si="0"/>
        <v>女</v>
      </c>
      <c r="D60" s="9" t="str">
        <f t="shared" si="4"/>
        <v>汉族</v>
      </c>
      <c r="E60" s="9" t="str">
        <f>"20220010228"</f>
        <v>20220010228</v>
      </c>
      <c r="F60" s="9">
        <v>58</v>
      </c>
      <c r="G60" s="9"/>
      <c r="H60" s="9">
        <f t="shared" si="2"/>
        <v>58</v>
      </c>
    </row>
    <row r="61" spans="1:8" s="13" customFormat="1" ht="24.75" customHeight="1">
      <c r="A61" s="9">
        <v>59</v>
      </c>
      <c r="B61" s="9" t="str">
        <f>"刘丽"</f>
        <v>刘丽</v>
      </c>
      <c r="C61" s="9" t="str">
        <f t="shared" si="0"/>
        <v>女</v>
      </c>
      <c r="D61" s="9" t="str">
        <f t="shared" si="4"/>
        <v>汉族</v>
      </c>
      <c r="E61" s="9" t="str">
        <f>"20220010229"</f>
        <v>20220010229</v>
      </c>
      <c r="F61" s="9">
        <v>0</v>
      </c>
      <c r="G61" s="9"/>
      <c r="H61" s="9">
        <f t="shared" si="2"/>
        <v>0</v>
      </c>
    </row>
    <row r="62" spans="1:8" s="13" customFormat="1" ht="24.75" customHeight="1">
      <c r="A62" s="9">
        <v>60</v>
      </c>
      <c r="B62" s="9" t="str">
        <f>"刘瑞雪"</f>
        <v>刘瑞雪</v>
      </c>
      <c r="C62" s="9" t="str">
        <f t="shared" si="0"/>
        <v>女</v>
      </c>
      <c r="D62" s="9" t="str">
        <f t="shared" si="4"/>
        <v>汉族</v>
      </c>
      <c r="E62" s="9" t="str">
        <f>"20220010230"</f>
        <v>20220010230</v>
      </c>
      <c r="F62" s="9">
        <v>42</v>
      </c>
      <c r="G62" s="9"/>
      <c r="H62" s="9">
        <f t="shared" si="2"/>
        <v>42</v>
      </c>
    </row>
    <row r="63" spans="1:8" s="13" customFormat="1" ht="24.75" customHeight="1">
      <c r="A63" s="9">
        <v>61</v>
      </c>
      <c r="B63" s="9" t="str">
        <f>"张雅琳"</f>
        <v>张雅琳</v>
      </c>
      <c r="C63" s="9" t="str">
        <f t="shared" si="0"/>
        <v>女</v>
      </c>
      <c r="D63" s="9" t="str">
        <f t="shared" si="4"/>
        <v>汉族</v>
      </c>
      <c r="E63" s="9" t="str">
        <f>"20220010301"</f>
        <v>20220010301</v>
      </c>
      <c r="F63" s="9">
        <v>61</v>
      </c>
      <c r="G63" s="9"/>
      <c r="H63" s="9">
        <f t="shared" si="2"/>
        <v>61</v>
      </c>
    </row>
    <row r="64" spans="1:8" s="13" customFormat="1" ht="24.75" customHeight="1">
      <c r="A64" s="9">
        <v>62</v>
      </c>
      <c r="B64" s="9" t="str">
        <f>"贾淑慧"</f>
        <v>贾淑慧</v>
      </c>
      <c r="C64" s="9" t="str">
        <f t="shared" si="0"/>
        <v>女</v>
      </c>
      <c r="D64" s="9" t="str">
        <f t="shared" si="4"/>
        <v>汉族</v>
      </c>
      <c r="E64" s="9" t="str">
        <f>"20220010302"</f>
        <v>20220010302</v>
      </c>
      <c r="F64" s="9">
        <v>0</v>
      </c>
      <c r="G64" s="9"/>
      <c r="H64" s="9">
        <f t="shared" si="2"/>
        <v>0</v>
      </c>
    </row>
    <row r="65" spans="1:8" s="13" customFormat="1" ht="24.75" customHeight="1">
      <c r="A65" s="9">
        <v>63</v>
      </c>
      <c r="B65" s="9" t="str">
        <f>"祁晔彤"</f>
        <v>祁晔彤</v>
      </c>
      <c r="C65" s="9" t="str">
        <f t="shared" si="0"/>
        <v>女</v>
      </c>
      <c r="D65" s="9" t="str">
        <f t="shared" si="4"/>
        <v>汉族</v>
      </c>
      <c r="E65" s="9" t="str">
        <f>"20220010303"</f>
        <v>20220010303</v>
      </c>
      <c r="F65" s="9">
        <v>53</v>
      </c>
      <c r="G65" s="9"/>
      <c r="H65" s="9">
        <f t="shared" si="2"/>
        <v>53</v>
      </c>
    </row>
    <row r="66" spans="1:8" s="13" customFormat="1" ht="24.75" customHeight="1">
      <c r="A66" s="9">
        <v>64</v>
      </c>
      <c r="B66" s="9" t="str">
        <f>"周洁"</f>
        <v>周洁</v>
      </c>
      <c r="C66" s="9" t="str">
        <f t="shared" si="0"/>
        <v>女</v>
      </c>
      <c r="D66" s="9" t="str">
        <f t="shared" si="4"/>
        <v>汉族</v>
      </c>
      <c r="E66" s="9" t="str">
        <f>"20220010304"</f>
        <v>20220010304</v>
      </c>
      <c r="F66" s="9">
        <v>44</v>
      </c>
      <c r="G66" s="9"/>
      <c r="H66" s="9">
        <f t="shared" si="2"/>
        <v>44</v>
      </c>
    </row>
    <row r="67" spans="1:8" s="13" customFormat="1" ht="24.75" customHeight="1">
      <c r="A67" s="9">
        <v>65</v>
      </c>
      <c r="B67" s="9" t="str">
        <f>"王芮"</f>
        <v>王芮</v>
      </c>
      <c r="C67" s="9" t="str">
        <f aca="true" t="shared" si="5" ref="C67:C130">"女"</f>
        <v>女</v>
      </c>
      <c r="D67" s="9" t="str">
        <f t="shared" si="4"/>
        <v>汉族</v>
      </c>
      <c r="E67" s="9" t="str">
        <f>"20220010305"</f>
        <v>20220010305</v>
      </c>
      <c r="F67" s="9">
        <v>61</v>
      </c>
      <c r="G67" s="9"/>
      <c r="H67" s="9">
        <f aca="true" t="shared" si="6" ref="H67:H130">F67+G67</f>
        <v>61</v>
      </c>
    </row>
    <row r="68" spans="1:8" s="13" customFormat="1" ht="24.75" customHeight="1">
      <c r="A68" s="9">
        <v>66</v>
      </c>
      <c r="B68" s="9" t="str">
        <f>"王秋亭"</f>
        <v>王秋亭</v>
      </c>
      <c r="C68" s="9" t="str">
        <f t="shared" si="5"/>
        <v>女</v>
      </c>
      <c r="D68" s="9" t="str">
        <f t="shared" si="4"/>
        <v>汉族</v>
      </c>
      <c r="E68" s="9" t="str">
        <f>"20220010306"</f>
        <v>20220010306</v>
      </c>
      <c r="F68" s="9">
        <v>0</v>
      </c>
      <c r="G68" s="9"/>
      <c r="H68" s="9">
        <f t="shared" si="6"/>
        <v>0</v>
      </c>
    </row>
    <row r="69" spans="1:8" s="13" customFormat="1" ht="24.75" customHeight="1">
      <c r="A69" s="9">
        <v>67</v>
      </c>
      <c r="B69" s="9" t="str">
        <f>"李丹"</f>
        <v>李丹</v>
      </c>
      <c r="C69" s="9" t="str">
        <f t="shared" si="5"/>
        <v>女</v>
      </c>
      <c r="D69" s="9" t="str">
        <f t="shared" si="4"/>
        <v>汉族</v>
      </c>
      <c r="E69" s="9" t="str">
        <f>"20220010307"</f>
        <v>20220010307</v>
      </c>
      <c r="F69" s="9">
        <v>72</v>
      </c>
      <c r="G69" s="9"/>
      <c r="H69" s="9">
        <f t="shared" si="6"/>
        <v>72</v>
      </c>
    </row>
    <row r="70" spans="1:8" s="13" customFormat="1" ht="24.75" customHeight="1">
      <c r="A70" s="9">
        <v>68</v>
      </c>
      <c r="B70" s="9" t="str">
        <f>"王燕"</f>
        <v>王燕</v>
      </c>
      <c r="C70" s="9" t="str">
        <f t="shared" si="5"/>
        <v>女</v>
      </c>
      <c r="D70" s="9" t="str">
        <f t="shared" si="4"/>
        <v>汉族</v>
      </c>
      <c r="E70" s="9" t="str">
        <f>"20220010308"</f>
        <v>20220010308</v>
      </c>
      <c r="F70" s="9">
        <v>72</v>
      </c>
      <c r="G70" s="9"/>
      <c r="H70" s="9">
        <f t="shared" si="6"/>
        <v>72</v>
      </c>
    </row>
    <row r="71" spans="1:8" s="13" customFormat="1" ht="24.75" customHeight="1">
      <c r="A71" s="9">
        <v>69</v>
      </c>
      <c r="B71" s="9" t="str">
        <f>"伊茹"</f>
        <v>伊茹</v>
      </c>
      <c r="C71" s="9" t="str">
        <f t="shared" si="5"/>
        <v>女</v>
      </c>
      <c r="D71" s="9" t="str">
        <f>"蒙古族"</f>
        <v>蒙古族</v>
      </c>
      <c r="E71" s="9" t="str">
        <f>"20220010309"</f>
        <v>20220010309</v>
      </c>
      <c r="F71" s="9">
        <v>53</v>
      </c>
      <c r="G71" s="9">
        <v>2.5</v>
      </c>
      <c r="H71" s="9">
        <f t="shared" si="6"/>
        <v>55.5</v>
      </c>
    </row>
    <row r="72" spans="1:8" s="13" customFormat="1" ht="24.75" customHeight="1">
      <c r="A72" s="9">
        <v>70</v>
      </c>
      <c r="B72" s="9" t="str">
        <f>"王雅祺"</f>
        <v>王雅祺</v>
      </c>
      <c r="C72" s="9" t="str">
        <f t="shared" si="5"/>
        <v>女</v>
      </c>
      <c r="D72" s="9" t="str">
        <f>"汉族"</f>
        <v>汉族</v>
      </c>
      <c r="E72" s="9" t="str">
        <f>"20220010310"</f>
        <v>20220010310</v>
      </c>
      <c r="F72" s="9">
        <v>67</v>
      </c>
      <c r="G72" s="9"/>
      <c r="H72" s="9">
        <f t="shared" si="6"/>
        <v>67</v>
      </c>
    </row>
    <row r="73" spans="1:8" s="13" customFormat="1" ht="24.75" customHeight="1">
      <c r="A73" s="9">
        <v>71</v>
      </c>
      <c r="B73" s="9" t="str">
        <f>"杜瑞芳"</f>
        <v>杜瑞芳</v>
      </c>
      <c r="C73" s="9" t="str">
        <f t="shared" si="5"/>
        <v>女</v>
      </c>
      <c r="D73" s="9" t="str">
        <f>"汉族"</f>
        <v>汉族</v>
      </c>
      <c r="E73" s="9" t="str">
        <f>"20220010311"</f>
        <v>20220010311</v>
      </c>
      <c r="F73" s="9">
        <v>69</v>
      </c>
      <c r="G73" s="9"/>
      <c r="H73" s="9">
        <f t="shared" si="6"/>
        <v>69</v>
      </c>
    </row>
    <row r="74" spans="1:8" s="13" customFormat="1" ht="24.75" customHeight="1">
      <c r="A74" s="9">
        <v>72</v>
      </c>
      <c r="B74" s="9" t="str">
        <f>"张蒙"</f>
        <v>张蒙</v>
      </c>
      <c r="C74" s="9" t="str">
        <f t="shared" si="5"/>
        <v>女</v>
      </c>
      <c r="D74" s="9" t="str">
        <f>"汉族"</f>
        <v>汉族</v>
      </c>
      <c r="E74" s="9" t="str">
        <f>"20220010312"</f>
        <v>20220010312</v>
      </c>
      <c r="F74" s="9">
        <v>72</v>
      </c>
      <c r="G74" s="9"/>
      <c r="H74" s="9">
        <f t="shared" si="6"/>
        <v>72</v>
      </c>
    </row>
    <row r="75" spans="1:8" s="13" customFormat="1" ht="24.75" customHeight="1">
      <c r="A75" s="9">
        <v>73</v>
      </c>
      <c r="B75" s="9" t="str">
        <f>"王昕玥"</f>
        <v>王昕玥</v>
      </c>
      <c r="C75" s="9" t="str">
        <f t="shared" si="5"/>
        <v>女</v>
      </c>
      <c r="D75" s="9" t="str">
        <f>"满族"</f>
        <v>满族</v>
      </c>
      <c r="E75" s="9" t="str">
        <f>"20220010313"</f>
        <v>20220010313</v>
      </c>
      <c r="F75" s="9">
        <v>51</v>
      </c>
      <c r="G75" s="9"/>
      <c r="H75" s="9">
        <f t="shared" si="6"/>
        <v>51</v>
      </c>
    </row>
    <row r="76" spans="1:8" s="13" customFormat="1" ht="24.75" customHeight="1">
      <c r="A76" s="9">
        <v>74</v>
      </c>
      <c r="B76" s="9" t="str">
        <f>"刘智慧"</f>
        <v>刘智慧</v>
      </c>
      <c r="C76" s="9" t="str">
        <f t="shared" si="5"/>
        <v>女</v>
      </c>
      <c r="D76" s="9" t="str">
        <f>"汉族"</f>
        <v>汉族</v>
      </c>
      <c r="E76" s="9" t="str">
        <f>"20220010314"</f>
        <v>20220010314</v>
      </c>
      <c r="F76" s="9">
        <v>52</v>
      </c>
      <c r="G76" s="9"/>
      <c r="H76" s="9">
        <f t="shared" si="6"/>
        <v>52</v>
      </c>
    </row>
    <row r="77" spans="1:8" s="13" customFormat="1" ht="24.75" customHeight="1">
      <c r="A77" s="9">
        <v>75</v>
      </c>
      <c r="B77" s="9" t="str">
        <f>"田舒雯"</f>
        <v>田舒雯</v>
      </c>
      <c r="C77" s="9" t="str">
        <f t="shared" si="5"/>
        <v>女</v>
      </c>
      <c r="D77" s="9" t="str">
        <f>"蒙古族"</f>
        <v>蒙古族</v>
      </c>
      <c r="E77" s="9" t="str">
        <f>"20220010315"</f>
        <v>20220010315</v>
      </c>
      <c r="F77" s="9">
        <v>46</v>
      </c>
      <c r="G77" s="9">
        <v>2.5</v>
      </c>
      <c r="H77" s="9">
        <f t="shared" si="6"/>
        <v>48.5</v>
      </c>
    </row>
    <row r="78" spans="1:8" s="13" customFormat="1" ht="24.75" customHeight="1">
      <c r="A78" s="9">
        <v>76</v>
      </c>
      <c r="B78" s="9" t="str">
        <f>"邵莹"</f>
        <v>邵莹</v>
      </c>
      <c r="C78" s="9" t="str">
        <f t="shared" si="5"/>
        <v>女</v>
      </c>
      <c r="D78" s="9" t="str">
        <f aca="true" t="shared" si="7" ref="D78:D111">"汉族"</f>
        <v>汉族</v>
      </c>
      <c r="E78" s="9" t="str">
        <f>"20220010316"</f>
        <v>20220010316</v>
      </c>
      <c r="F78" s="9">
        <v>0</v>
      </c>
      <c r="G78" s="9"/>
      <c r="H78" s="9">
        <f t="shared" si="6"/>
        <v>0</v>
      </c>
    </row>
    <row r="79" spans="1:8" s="13" customFormat="1" ht="24.75" customHeight="1">
      <c r="A79" s="9">
        <v>77</v>
      </c>
      <c r="B79" s="9" t="str">
        <f>"苏琛倪"</f>
        <v>苏琛倪</v>
      </c>
      <c r="C79" s="9" t="str">
        <f t="shared" si="5"/>
        <v>女</v>
      </c>
      <c r="D79" s="9" t="str">
        <f t="shared" si="7"/>
        <v>汉族</v>
      </c>
      <c r="E79" s="9" t="str">
        <f>"20220010317"</f>
        <v>20220010317</v>
      </c>
      <c r="F79" s="9">
        <v>40</v>
      </c>
      <c r="G79" s="9"/>
      <c r="H79" s="9">
        <f t="shared" si="6"/>
        <v>40</v>
      </c>
    </row>
    <row r="80" spans="1:8" s="13" customFormat="1" ht="24.75" customHeight="1">
      <c r="A80" s="9">
        <v>78</v>
      </c>
      <c r="B80" s="9" t="str">
        <f>"韩欣雨"</f>
        <v>韩欣雨</v>
      </c>
      <c r="C80" s="9" t="str">
        <f t="shared" si="5"/>
        <v>女</v>
      </c>
      <c r="D80" s="9" t="str">
        <f t="shared" si="7"/>
        <v>汉族</v>
      </c>
      <c r="E80" s="9" t="str">
        <f>"20220010318"</f>
        <v>20220010318</v>
      </c>
      <c r="F80" s="9">
        <v>67</v>
      </c>
      <c r="G80" s="9"/>
      <c r="H80" s="9">
        <f t="shared" si="6"/>
        <v>67</v>
      </c>
    </row>
    <row r="81" spans="1:8" s="13" customFormat="1" ht="24.75" customHeight="1">
      <c r="A81" s="9">
        <v>79</v>
      </c>
      <c r="B81" s="9" t="str">
        <f>"樊怡漩"</f>
        <v>樊怡漩</v>
      </c>
      <c r="C81" s="9" t="str">
        <f t="shared" si="5"/>
        <v>女</v>
      </c>
      <c r="D81" s="9" t="str">
        <f t="shared" si="7"/>
        <v>汉族</v>
      </c>
      <c r="E81" s="9" t="str">
        <f>"20220010319"</f>
        <v>20220010319</v>
      </c>
      <c r="F81" s="9">
        <v>66</v>
      </c>
      <c r="G81" s="9"/>
      <c r="H81" s="9">
        <f t="shared" si="6"/>
        <v>66</v>
      </c>
    </row>
    <row r="82" spans="1:8" s="13" customFormat="1" ht="24.75" customHeight="1">
      <c r="A82" s="9">
        <v>80</v>
      </c>
      <c r="B82" s="9" t="str">
        <f>"何佳"</f>
        <v>何佳</v>
      </c>
      <c r="C82" s="9" t="str">
        <f t="shared" si="5"/>
        <v>女</v>
      </c>
      <c r="D82" s="9" t="str">
        <f t="shared" si="7"/>
        <v>汉族</v>
      </c>
      <c r="E82" s="9" t="str">
        <f>"20220010320"</f>
        <v>20220010320</v>
      </c>
      <c r="F82" s="9">
        <v>0</v>
      </c>
      <c r="G82" s="9"/>
      <c r="H82" s="9">
        <f t="shared" si="6"/>
        <v>0</v>
      </c>
    </row>
    <row r="83" spans="1:8" s="13" customFormat="1" ht="24.75" customHeight="1">
      <c r="A83" s="9">
        <v>81</v>
      </c>
      <c r="B83" s="9" t="str">
        <f>"黄文璐"</f>
        <v>黄文璐</v>
      </c>
      <c r="C83" s="9" t="str">
        <f t="shared" si="5"/>
        <v>女</v>
      </c>
      <c r="D83" s="9" t="str">
        <f t="shared" si="7"/>
        <v>汉族</v>
      </c>
      <c r="E83" s="9" t="str">
        <f>"20220010321"</f>
        <v>20220010321</v>
      </c>
      <c r="F83" s="9">
        <v>69</v>
      </c>
      <c r="G83" s="9"/>
      <c r="H83" s="9">
        <f t="shared" si="6"/>
        <v>69</v>
      </c>
    </row>
    <row r="84" spans="1:8" s="13" customFormat="1" ht="24.75" customHeight="1">
      <c r="A84" s="9">
        <v>82</v>
      </c>
      <c r="B84" s="9" t="str">
        <f>"陈婷"</f>
        <v>陈婷</v>
      </c>
      <c r="C84" s="9" t="str">
        <f t="shared" si="5"/>
        <v>女</v>
      </c>
      <c r="D84" s="9" t="str">
        <f t="shared" si="7"/>
        <v>汉族</v>
      </c>
      <c r="E84" s="9" t="str">
        <f>"20220010322"</f>
        <v>20220010322</v>
      </c>
      <c r="F84" s="9">
        <v>63</v>
      </c>
      <c r="G84" s="9"/>
      <c r="H84" s="9">
        <f t="shared" si="6"/>
        <v>63</v>
      </c>
    </row>
    <row r="85" spans="1:8" s="13" customFormat="1" ht="24.75" customHeight="1">
      <c r="A85" s="9">
        <v>83</v>
      </c>
      <c r="B85" s="9" t="str">
        <f>"李华"</f>
        <v>李华</v>
      </c>
      <c r="C85" s="9" t="str">
        <f t="shared" si="5"/>
        <v>女</v>
      </c>
      <c r="D85" s="9" t="str">
        <f t="shared" si="7"/>
        <v>汉族</v>
      </c>
      <c r="E85" s="9" t="str">
        <f>"20220010323"</f>
        <v>20220010323</v>
      </c>
      <c r="F85" s="9">
        <v>42</v>
      </c>
      <c r="G85" s="9"/>
      <c r="H85" s="9">
        <f t="shared" si="6"/>
        <v>42</v>
      </c>
    </row>
    <row r="86" spans="1:8" s="13" customFormat="1" ht="24.75" customHeight="1">
      <c r="A86" s="9">
        <v>84</v>
      </c>
      <c r="B86" s="9" t="str">
        <f>"雷雪儿"</f>
        <v>雷雪儿</v>
      </c>
      <c r="C86" s="9" t="str">
        <f t="shared" si="5"/>
        <v>女</v>
      </c>
      <c r="D86" s="9" t="str">
        <f t="shared" si="7"/>
        <v>汉族</v>
      </c>
      <c r="E86" s="9" t="str">
        <f>"20220010324"</f>
        <v>20220010324</v>
      </c>
      <c r="F86" s="9">
        <v>66</v>
      </c>
      <c r="G86" s="9"/>
      <c r="H86" s="9">
        <f t="shared" si="6"/>
        <v>66</v>
      </c>
    </row>
    <row r="87" spans="1:8" s="13" customFormat="1" ht="24.75" customHeight="1">
      <c r="A87" s="9">
        <v>85</v>
      </c>
      <c r="B87" s="9" t="str">
        <f>"王艳"</f>
        <v>王艳</v>
      </c>
      <c r="C87" s="9" t="str">
        <f t="shared" si="5"/>
        <v>女</v>
      </c>
      <c r="D87" s="9" t="str">
        <f t="shared" si="7"/>
        <v>汉族</v>
      </c>
      <c r="E87" s="9" t="str">
        <f>"20220010325"</f>
        <v>20220010325</v>
      </c>
      <c r="F87" s="9">
        <v>0</v>
      </c>
      <c r="G87" s="9"/>
      <c r="H87" s="9">
        <f t="shared" si="6"/>
        <v>0</v>
      </c>
    </row>
    <row r="88" spans="1:8" s="13" customFormat="1" ht="24.75" customHeight="1">
      <c r="A88" s="9">
        <v>86</v>
      </c>
      <c r="B88" s="9" t="str">
        <f>"刘姝利"</f>
        <v>刘姝利</v>
      </c>
      <c r="C88" s="9" t="str">
        <f t="shared" si="5"/>
        <v>女</v>
      </c>
      <c r="D88" s="9" t="str">
        <f t="shared" si="7"/>
        <v>汉族</v>
      </c>
      <c r="E88" s="9" t="str">
        <f>"20220010326"</f>
        <v>20220010326</v>
      </c>
      <c r="F88" s="9">
        <v>47</v>
      </c>
      <c r="G88" s="9"/>
      <c r="H88" s="9">
        <f t="shared" si="6"/>
        <v>47</v>
      </c>
    </row>
    <row r="89" spans="1:8" s="13" customFormat="1" ht="24.75" customHeight="1">
      <c r="A89" s="9">
        <v>87</v>
      </c>
      <c r="B89" s="9" t="str">
        <f>"王介可"</f>
        <v>王介可</v>
      </c>
      <c r="C89" s="9" t="str">
        <f t="shared" si="5"/>
        <v>女</v>
      </c>
      <c r="D89" s="9" t="str">
        <f t="shared" si="7"/>
        <v>汉族</v>
      </c>
      <c r="E89" s="9" t="str">
        <f>"20220010327"</f>
        <v>20220010327</v>
      </c>
      <c r="F89" s="9">
        <v>0</v>
      </c>
      <c r="G89" s="9"/>
      <c r="H89" s="9">
        <f t="shared" si="6"/>
        <v>0</v>
      </c>
    </row>
    <row r="90" spans="1:8" s="13" customFormat="1" ht="24.75" customHeight="1">
      <c r="A90" s="9">
        <v>88</v>
      </c>
      <c r="B90" s="9" t="str">
        <f>"杨景如"</f>
        <v>杨景如</v>
      </c>
      <c r="C90" s="9" t="str">
        <f t="shared" si="5"/>
        <v>女</v>
      </c>
      <c r="D90" s="9" t="str">
        <f t="shared" si="7"/>
        <v>汉族</v>
      </c>
      <c r="E90" s="9" t="str">
        <f>"20220010328"</f>
        <v>20220010328</v>
      </c>
      <c r="F90" s="9">
        <v>53</v>
      </c>
      <c r="G90" s="9"/>
      <c r="H90" s="9">
        <f t="shared" si="6"/>
        <v>53</v>
      </c>
    </row>
    <row r="91" spans="1:8" s="13" customFormat="1" ht="24.75" customHeight="1">
      <c r="A91" s="9">
        <v>89</v>
      </c>
      <c r="B91" s="9" t="str">
        <f>"陈炫羽"</f>
        <v>陈炫羽</v>
      </c>
      <c r="C91" s="9" t="str">
        <f t="shared" si="5"/>
        <v>女</v>
      </c>
      <c r="D91" s="9" t="str">
        <f t="shared" si="7"/>
        <v>汉族</v>
      </c>
      <c r="E91" s="9" t="str">
        <f>"20220010329"</f>
        <v>20220010329</v>
      </c>
      <c r="F91" s="9">
        <v>73</v>
      </c>
      <c r="G91" s="9"/>
      <c r="H91" s="9">
        <f t="shared" si="6"/>
        <v>73</v>
      </c>
    </row>
    <row r="92" spans="1:8" s="13" customFormat="1" ht="24.75" customHeight="1">
      <c r="A92" s="9">
        <v>90</v>
      </c>
      <c r="B92" s="9" t="str">
        <f>"冯宇珽"</f>
        <v>冯宇珽</v>
      </c>
      <c r="C92" s="9" t="str">
        <f t="shared" si="5"/>
        <v>女</v>
      </c>
      <c r="D92" s="9" t="str">
        <f t="shared" si="7"/>
        <v>汉族</v>
      </c>
      <c r="E92" s="9" t="str">
        <f>"20220010330"</f>
        <v>20220010330</v>
      </c>
      <c r="F92" s="9">
        <v>70</v>
      </c>
      <c r="G92" s="9"/>
      <c r="H92" s="9">
        <f t="shared" si="6"/>
        <v>70</v>
      </c>
    </row>
    <row r="93" spans="1:8" s="13" customFormat="1" ht="24.75" customHeight="1">
      <c r="A93" s="9">
        <v>91</v>
      </c>
      <c r="B93" s="9" t="str">
        <f>"郭晓波"</f>
        <v>郭晓波</v>
      </c>
      <c r="C93" s="9" t="str">
        <f t="shared" si="5"/>
        <v>女</v>
      </c>
      <c r="D93" s="9" t="str">
        <f t="shared" si="7"/>
        <v>汉族</v>
      </c>
      <c r="E93" s="9" t="str">
        <f>"20220010401"</f>
        <v>20220010401</v>
      </c>
      <c r="F93" s="9">
        <v>46</v>
      </c>
      <c r="G93" s="9"/>
      <c r="H93" s="9">
        <f t="shared" si="6"/>
        <v>46</v>
      </c>
    </row>
    <row r="94" spans="1:8" s="13" customFormat="1" ht="24.75" customHeight="1">
      <c r="A94" s="9">
        <v>92</v>
      </c>
      <c r="B94" s="9" t="str">
        <f>"冯晶珠"</f>
        <v>冯晶珠</v>
      </c>
      <c r="C94" s="9" t="str">
        <f t="shared" si="5"/>
        <v>女</v>
      </c>
      <c r="D94" s="9" t="str">
        <f t="shared" si="7"/>
        <v>汉族</v>
      </c>
      <c r="E94" s="9" t="str">
        <f>"20220010402"</f>
        <v>20220010402</v>
      </c>
      <c r="F94" s="9">
        <v>67</v>
      </c>
      <c r="G94" s="9"/>
      <c r="H94" s="9">
        <f t="shared" si="6"/>
        <v>67</v>
      </c>
    </row>
    <row r="95" spans="1:8" s="13" customFormat="1" ht="24.75" customHeight="1">
      <c r="A95" s="9">
        <v>93</v>
      </c>
      <c r="B95" s="9" t="str">
        <f>"刘倩"</f>
        <v>刘倩</v>
      </c>
      <c r="C95" s="9" t="str">
        <f t="shared" si="5"/>
        <v>女</v>
      </c>
      <c r="D95" s="9" t="str">
        <f t="shared" si="7"/>
        <v>汉族</v>
      </c>
      <c r="E95" s="9" t="str">
        <f>"20220010403"</f>
        <v>20220010403</v>
      </c>
      <c r="F95" s="9">
        <v>50</v>
      </c>
      <c r="G95" s="9"/>
      <c r="H95" s="9">
        <f t="shared" si="6"/>
        <v>50</v>
      </c>
    </row>
    <row r="96" spans="1:8" s="13" customFormat="1" ht="24.75" customHeight="1">
      <c r="A96" s="9">
        <v>94</v>
      </c>
      <c r="B96" s="9" t="str">
        <f>"温超"</f>
        <v>温超</v>
      </c>
      <c r="C96" s="9" t="str">
        <f t="shared" si="5"/>
        <v>女</v>
      </c>
      <c r="D96" s="9" t="str">
        <f t="shared" si="7"/>
        <v>汉族</v>
      </c>
      <c r="E96" s="9" t="str">
        <f>"20220010404"</f>
        <v>20220010404</v>
      </c>
      <c r="F96" s="9">
        <v>32</v>
      </c>
      <c r="G96" s="9"/>
      <c r="H96" s="9">
        <f t="shared" si="6"/>
        <v>32</v>
      </c>
    </row>
    <row r="97" spans="1:8" s="13" customFormat="1" ht="24.75" customHeight="1">
      <c r="A97" s="9">
        <v>95</v>
      </c>
      <c r="B97" s="9" t="str">
        <f>"赵斯琴"</f>
        <v>赵斯琴</v>
      </c>
      <c r="C97" s="9" t="str">
        <f t="shared" si="5"/>
        <v>女</v>
      </c>
      <c r="D97" s="9" t="str">
        <f t="shared" si="7"/>
        <v>汉族</v>
      </c>
      <c r="E97" s="9" t="str">
        <f>"20220010405"</f>
        <v>20220010405</v>
      </c>
      <c r="F97" s="9">
        <v>51</v>
      </c>
      <c r="G97" s="9"/>
      <c r="H97" s="9">
        <f t="shared" si="6"/>
        <v>51</v>
      </c>
    </row>
    <row r="98" spans="1:8" s="13" customFormat="1" ht="24.75" customHeight="1">
      <c r="A98" s="9">
        <v>96</v>
      </c>
      <c r="B98" s="9" t="str">
        <f>"闫佳佳"</f>
        <v>闫佳佳</v>
      </c>
      <c r="C98" s="9" t="str">
        <f t="shared" si="5"/>
        <v>女</v>
      </c>
      <c r="D98" s="9" t="str">
        <f t="shared" si="7"/>
        <v>汉族</v>
      </c>
      <c r="E98" s="9" t="str">
        <f>"20220010406"</f>
        <v>20220010406</v>
      </c>
      <c r="F98" s="9">
        <v>56</v>
      </c>
      <c r="G98" s="9"/>
      <c r="H98" s="9">
        <f t="shared" si="6"/>
        <v>56</v>
      </c>
    </row>
    <row r="99" spans="1:8" s="13" customFormat="1" ht="24.75" customHeight="1">
      <c r="A99" s="9">
        <v>97</v>
      </c>
      <c r="B99" s="9" t="str">
        <f>"王思淼"</f>
        <v>王思淼</v>
      </c>
      <c r="C99" s="9" t="str">
        <f t="shared" si="5"/>
        <v>女</v>
      </c>
      <c r="D99" s="9" t="str">
        <f t="shared" si="7"/>
        <v>汉族</v>
      </c>
      <c r="E99" s="9" t="str">
        <f>"20220010407"</f>
        <v>20220010407</v>
      </c>
      <c r="F99" s="9">
        <v>45</v>
      </c>
      <c r="G99" s="9"/>
      <c r="H99" s="9">
        <f t="shared" si="6"/>
        <v>45</v>
      </c>
    </row>
    <row r="100" spans="1:8" s="13" customFormat="1" ht="24.75" customHeight="1">
      <c r="A100" s="9">
        <v>98</v>
      </c>
      <c r="B100" s="9" t="str">
        <f>"张靖鈺"</f>
        <v>张靖鈺</v>
      </c>
      <c r="C100" s="9" t="str">
        <f t="shared" si="5"/>
        <v>女</v>
      </c>
      <c r="D100" s="9" t="str">
        <f t="shared" si="7"/>
        <v>汉族</v>
      </c>
      <c r="E100" s="9" t="str">
        <f>"20220010408"</f>
        <v>20220010408</v>
      </c>
      <c r="F100" s="9">
        <v>38</v>
      </c>
      <c r="G100" s="9"/>
      <c r="H100" s="9">
        <f t="shared" si="6"/>
        <v>38</v>
      </c>
    </row>
    <row r="101" spans="1:8" s="13" customFormat="1" ht="24.75" customHeight="1">
      <c r="A101" s="9">
        <v>99</v>
      </c>
      <c r="B101" s="9" t="str">
        <f>"刘锡芳"</f>
        <v>刘锡芳</v>
      </c>
      <c r="C101" s="9" t="str">
        <f t="shared" si="5"/>
        <v>女</v>
      </c>
      <c r="D101" s="9" t="str">
        <f t="shared" si="7"/>
        <v>汉族</v>
      </c>
      <c r="E101" s="9" t="str">
        <f>"20220010409"</f>
        <v>20220010409</v>
      </c>
      <c r="F101" s="9">
        <v>0</v>
      </c>
      <c r="G101" s="9"/>
      <c r="H101" s="9">
        <f t="shared" si="6"/>
        <v>0</v>
      </c>
    </row>
    <row r="102" spans="1:8" s="13" customFormat="1" ht="24.75" customHeight="1">
      <c r="A102" s="9">
        <v>100</v>
      </c>
      <c r="B102" s="9" t="str">
        <f>"王景瑶"</f>
        <v>王景瑶</v>
      </c>
      <c r="C102" s="9" t="str">
        <f t="shared" si="5"/>
        <v>女</v>
      </c>
      <c r="D102" s="9" t="str">
        <f t="shared" si="7"/>
        <v>汉族</v>
      </c>
      <c r="E102" s="9" t="str">
        <f>"20220010410"</f>
        <v>20220010410</v>
      </c>
      <c r="F102" s="9">
        <v>37</v>
      </c>
      <c r="G102" s="9"/>
      <c r="H102" s="9">
        <f t="shared" si="6"/>
        <v>37</v>
      </c>
    </row>
    <row r="103" spans="1:8" s="13" customFormat="1" ht="24.75" customHeight="1">
      <c r="A103" s="9">
        <v>101</v>
      </c>
      <c r="B103" s="9" t="str">
        <f>"张瑞"</f>
        <v>张瑞</v>
      </c>
      <c r="C103" s="9" t="str">
        <f t="shared" si="5"/>
        <v>女</v>
      </c>
      <c r="D103" s="9" t="str">
        <f t="shared" si="7"/>
        <v>汉族</v>
      </c>
      <c r="E103" s="9" t="str">
        <f>"20220010411"</f>
        <v>20220010411</v>
      </c>
      <c r="F103" s="9">
        <v>47</v>
      </c>
      <c r="G103" s="9"/>
      <c r="H103" s="9">
        <f t="shared" si="6"/>
        <v>47</v>
      </c>
    </row>
    <row r="104" spans="1:8" s="13" customFormat="1" ht="24.75" customHeight="1">
      <c r="A104" s="9">
        <v>102</v>
      </c>
      <c r="B104" s="9" t="str">
        <f>"张沁仿"</f>
        <v>张沁仿</v>
      </c>
      <c r="C104" s="9" t="str">
        <f t="shared" si="5"/>
        <v>女</v>
      </c>
      <c r="D104" s="9" t="str">
        <f t="shared" si="7"/>
        <v>汉族</v>
      </c>
      <c r="E104" s="9" t="str">
        <f>"20220010412"</f>
        <v>20220010412</v>
      </c>
      <c r="F104" s="9">
        <v>64</v>
      </c>
      <c r="G104" s="9"/>
      <c r="H104" s="9">
        <f t="shared" si="6"/>
        <v>64</v>
      </c>
    </row>
    <row r="105" spans="1:8" s="13" customFormat="1" ht="24.75" customHeight="1">
      <c r="A105" s="9">
        <v>103</v>
      </c>
      <c r="B105" s="9" t="str">
        <f>"周宗仪"</f>
        <v>周宗仪</v>
      </c>
      <c r="C105" s="9" t="str">
        <f t="shared" si="5"/>
        <v>女</v>
      </c>
      <c r="D105" s="9" t="str">
        <f t="shared" si="7"/>
        <v>汉族</v>
      </c>
      <c r="E105" s="9" t="str">
        <f>"20220010413"</f>
        <v>20220010413</v>
      </c>
      <c r="F105" s="9">
        <v>0</v>
      </c>
      <c r="G105" s="9"/>
      <c r="H105" s="9">
        <f t="shared" si="6"/>
        <v>0</v>
      </c>
    </row>
    <row r="106" spans="1:8" s="13" customFormat="1" ht="24.75" customHeight="1">
      <c r="A106" s="9">
        <v>104</v>
      </c>
      <c r="B106" s="9" t="str">
        <f>"周瑶瑶"</f>
        <v>周瑶瑶</v>
      </c>
      <c r="C106" s="9" t="str">
        <f t="shared" si="5"/>
        <v>女</v>
      </c>
      <c r="D106" s="9" t="str">
        <f t="shared" si="7"/>
        <v>汉族</v>
      </c>
      <c r="E106" s="9" t="str">
        <f>"20220010414"</f>
        <v>20220010414</v>
      </c>
      <c r="F106" s="9">
        <v>56</v>
      </c>
      <c r="G106" s="9"/>
      <c r="H106" s="9">
        <f t="shared" si="6"/>
        <v>56</v>
      </c>
    </row>
    <row r="107" spans="1:8" s="13" customFormat="1" ht="24.75" customHeight="1">
      <c r="A107" s="9">
        <v>105</v>
      </c>
      <c r="B107" s="9" t="str">
        <f>"徐倩"</f>
        <v>徐倩</v>
      </c>
      <c r="C107" s="9" t="str">
        <f t="shared" si="5"/>
        <v>女</v>
      </c>
      <c r="D107" s="9" t="str">
        <f t="shared" si="7"/>
        <v>汉族</v>
      </c>
      <c r="E107" s="9" t="str">
        <f>"20220010415"</f>
        <v>20220010415</v>
      </c>
      <c r="F107" s="9">
        <v>0</v>
      </c>
      <c r="G107" s="9"/>
      <c r="H107" s="9">
        <f t="shared" si="6"/>
        <v>0</v>
      </c>
    </row>
    <row r="108" spans="1:8" s="13" customFormat="1" ht="24.75" customHeight="1">
      <c r="A108" s="9">
        <v>106</v>
      </c>
      <c r="B108" s="9" t="str">
        <f>"王祎博"</f>
        <v>王祎博</v>
      </c>
      <c r="C108" s="9" t="str">
        <f t="shared" si="5"/>
        <v>女</v>
      </c>
      <c r="D108" s="9" t="str">
        <f t="shared" si="7"/>
        <v>汉族</v>
      </c>
      <c r="E108" s="9" t="str">
        <f>"20220010416"</f>
        <v>20220010416</v>
      </c>
      <c r="F108" s="9">
        <v>32</v>
      </c>
      <c r="G108" s="9"/>
      <c r="H108" s="9">
        <f t="shared" si="6"/>
        <v>32</v>
      </c>
    </row>
    <row r="109" spans="1:8" s="13" customFormat="1" ht="24.75" customHeight="1">
      <c r="A109" s="9">
        <v>107</v>
      </c>
      <c r="B109" s="9" t="str">
        <f>"高宇欣"</f>
        <v>高宇欣</v>
      </c>
      <c r="C109" s="9" t="str">
        <f t="shared" si="5"/>
        <v>女</v>
      </c>
      <c r="D109" s="9" t="str">
        <f t="shared" si="7"/>
        <v>汉族</v>
      </c>
      <c r="E109" s="9" t="str">
        <f>"20220010417"</f>
        <v>20220010417</v>
      </c>
      <c r="F109" s="9">
        <v>73</v>
      </c>
      <c r="G109" s="9"/>
      <c r="H109" s="9">
        <f t="shared" si="6"/>
        <v>73</v>
      </c>
    </row>
    <row r="110" spans="1:8" s="13" customFormat="1" ht="24.75" customHeight="1">
      <c r="A110" s="9">
        <v>108</v>
      </c>
      <c r="B110" s="9" t="str">
        <f>"郭佳瑄"</f>
        <v>郭佳瑄</v>
      </c>
      <c r="C110" s="9" t="str">
        <f t="shared" si="5"/>
        <v>女</v>
      </c>
      <c r="D110" s="9" t="str">
        <f t="shared" si="7"/>
        <v>汉族</v>
      </c>
      <c r="E110" s="9" t="str">
        <f>"20220010418"</f>
        <v>20220010418</v>
      </c>
      <c r="F110" s="9">
        <v>54</v>
      </c>
      <c r="G110" s="9"/>
      <c r="H110" s="9">
        <f t="shared" si="6"/>
        <v>54</v>
      </c>
    </row>
    <row r="111" spans="1:8" s="13" customFormat="1" ht="24.75" customHeight="1">
      <c r="A111" s="9">
        <v>109</v>
      </c>
      <c r="B111" s="9" t="str">
        <f>"张浩琴"</f>
        <v>张浩琴</v>
      </c>
      <c r="C111" s="9" t="str">
        <f t="shared" si="5"/>
        <v>女</v>
      </c>
      <c r="D111" s="9" t="str">
        <f t="shared" si="7"/>
        <v>汉族</v>
      </c>
      <c r="E111" s="9" t="str">
        <f>"20220010419"</f>
        <v>20220010419</v>
      </c>
      <c r="F111" s="9">
        <v>41</v>
      </c>
      <c r="G111" s="9"/>
      <c r="H111" s="9">
        <f t="shared" si="6"/>
        <v>41</v>
      </c>
    </row>
    <row r="112" spans="1:8" s="13" customFormat="1" ht="24.75" customHeight="1">
      <c r="A112" s="9">
        <v>110</v>
      </c>
      <c r="B112" s="9" t="str">
        <f>"顾芗"</f>
        <v>顾芗</v>
      </c>
      <c r="C112" s="9" t="str">
        <f t="shared" si="5"/>
        <v>女</v>
      </c>
      <c r="D112" s="9" t="str">
        <f>"蒙古族"</f>
        <v>蒙古族</v>
      </c>
      <c r="E112" s="9" t="str">
        <f>"20220010420"</f>
        <v>20220010420</v>
      </c>
      <c r="F112" s="9">
        <v>52</v>
      </c>
      <c r="G112" s="9">
        <v>2.5</v>
      </c>
      <c r="H112" s="9">
        <f t="shared" si="6"/>
        <v>54.5</v>
      </c>
    </row>
    <row r="113" spans="1:8" s="13" customFormat="1" ht="24.75" customHeight="1">
      <c r="A113" s="9">
        <v>111</v>
      </c>
      <c r="B113" s="9" t="str">
        <f>"张凯日"</f>
        <v>张凯日</v>
      </c>
      <c r="C113" s="9" t="str">
        <f t="shared" si="5"/>
        <v>女</v>
      </c>
      <c r="D113" s="9" t="str">
        <f>"汉族"</f>
        <v>汉族</v>
      </c>
      <c r="E113" s="9" t="str">
        <f>"20220010421"</f>
        <v>20220010421</v>
      </c>
      <c r="F113" s="9">
        <v>63</v>
      </c>
      <c r="G113" s="9"/>
      <c r="H113" s="9">
        <f t="shared" si="6"/>
        <v>63</v>
      </c>
    </row>
    <row r="114" spans="1:8" s="13" customFormat="1" ht="24.75" customHeight="1">
      <c r="A114" s="9">
        <v>112</v>
      </c>
      <c r="B114" s="9" t="str">
        <f>"杨志红"</f>
        <v>杨志红</v>
      </c>
      <c r="C114" s="9" t="str">
        <f t="shared" si="5"/>
        <v>女</v>
      </c>
      <c r="D114" s="9" t="str">
        <f>"汉族"</f>
        <v>汉族</v>
      </c>
      <c r="E114" s="9" t="str">
        <f>"20220010422"</f>
        <v>20220010422</v>
      </c>
      <c r="F114" s="9">
        <v>63</v>
      </c>
      <c r="G114" s="9"/>
      <c r="H114" s="9">
        <f t="shared" si="6"/>
        <v>63</v>
      </c>
    </row>
    <row r="115" spans="1:8" s="13" customFormat="1" ht="24.75" customHeight="1">
      <c r="A115" s="9">
        <v>113</v>
      </c>
      <c r="B115" s="9" t="str">
        <f>"李炎潞"</f>
        <v>李炎潞</v>
      </c>
      <c r="C115" s="9" t="str">
        <f t="shared" si="5"/>
        <v>女</v>
      </c>
      <c r="D115" s="9" t="str">
        <f>"汉族"</f>
        <v>汉族</v>
      </c>
      <c r="E115" s="9" t="str">
        <f>"20220010423"</f>
        <v>20220010423</v>
      </c>
      <c r="F115" s="9">
        <v>0</v>
      </c>
      <c r="G115" s="9"/>
      <c r="H115" s="9">
        <f t="shared" si="6"/>
        <v>0</v>
      </c>
    </row>
    <row r="116" spans="1:8" s="13" customFormat="1" ht="24.75" customHeight="1">
      <c r="A116" s="9">
        <v>114</v>
      </c>
      <c r="B116" s="9" t="str">
        <f>"李汐薇"</f>
        <v>李汐薇</v>
      </c>
      <c r="C116" s="9" t="str">
        <f t="shared" si="5"/>
        <v>女</v>
      </c>
      <c r="D116" s="9" t="str">
        <f>"蒙古族"</f>
        <v>蒙古族</v>
      </c>
      <c r="E116" s="9" t="str">
        <f>"20220010424"</f>
        <v>20220010424</v>
      </c>
      <c r="F116" s="9">
        <v>51</v>
      </c>
      <c r="G116" s="9">
        <v>2.5</v>
      </c>
      <c r="H116" s="9">
        <f t="shared" si="6"/>
        <v>53.5</v>
      </c>
    </row>
    <row r="117" spans="1:8" s="13" customFormat="1" ht="24.75" customHeight="1">
      <c r="A117" s="9">
        <v>115</v>
      </c>
      <c r="B117" s="9" t="str">
        <f>"陈悦"</f>
        <v>陈悦</v>
      </c>
      <c r="C117" s="9" t="str">
        <f t="shared" si="5"/>
        <v>女</v>
      </c>
      <c r="D117" s="9" t="str">
        <f aca="true" t="shared" si="8" ref="D117:D143">"汉族"</f>
        <v>汉族</v>
      </c>
      <c r="E117" s="9" t="str">
        <f>"20220010425"</f>
        <v>20220010425</v>
      </c>
      <c r="F117" s="9">
        <v>66</v>
      </c>
      <c r="G117" s="9"/>
      <c r="H117" s="9">
        <f t="shared" si="6"/>
        <v>66</v>
      </c>
    </row>
    <row r="118" spans="1:8" s="13" customFormat="1" ht="24.75" customHeight="1">
      <c r="A118" s="9">
        <v>116</v>
      </c>
      <c r="B118" s="9" t="str">
        <f>"姚桂凤"</f>
        <v>姚桂凤</v>
      </c>
      <c r="C118" s="9" t="str">
        <f t="shared" si="5"/>
        <v>女</v>
      </c>
      <c r="D118" s="9" t="str">
        <f t="shared" si="8"/>
        <v>汉族</v>
      </c>
      <c r="E118" s="9" t="str">
        <f>"20220010426"</f>
        <v>20220010426</v>
      </c>
      <c r="F118" s="9">
        <v>59</v>
      </c>
      <c r="G118" s="9"/>
      <c r="H118" s="9">
        <f t="shared" si="6"/>
        <v>59</v>
      </c>
    </row>
    <row r="119" spans="1:8" s="13" customFormat="1" ht="24.75" customHeight="1">
      <c r="A119" s="9">
        <v>117</v>
      </c>
      <c r="B119" s="9" t="str">
        <f>"刘欣源"</f>
        <v>刘欣源</v>
      </c>
      <c r="C119" s="9" t="str">
        <f t="shared" si="5"/>
        <v>女</v>
      </c>
      <c r="D119" s="9" t="str">
        <f t="shared" si="8"/>
        <v>汉族</v>
      </c>
      <c r="E119" s="9" t="str">
        <f>"20220010427"</f>
        <v>20220010427</v>
      </c>
      <c r="F119" s="9">
        <v>57</v>
      </c>
      <c r="G119" s="9"/>
      <c r="H119" s="9">
        <f t="shared" si="6"/>
        <v>57</v>
      </c>
    </row>
    <row r="120" spans="1:8" s="13" customFormat="1" ht="24.75" customHeight="1">
      <c r="A120" s="9">
        <v>118</v>
      </c>
      <c r="B120" s="9" t="str">
        <f>"郝江妍"</f>
        <v>郝江妍</v>
      </c>
      <c r="C120" s="9" t="str">
        <f t="shared" si="5"/>
        <v>女</v>
      </c>
      <c r="D120" s="9" t="str">
        <f t="shared" si="8"/>
        <v>汉族</v>
      </c>
      <c r="E120" s="9" t="str">
        <f>"20220010428"</f>
        <v>20220010428</v>
      </c>
      <c r="F120" s="9">
        <v>62</v>
      </c>
      <c r="G120" s="9"/>
      <c r="H120" s="9">
        <f t="shared" si="6"/>
        <v>62</v>
      </c>
    </row>
    <row r="121" spans="1:8" s="13" customFormat="1" ht="24.75" customHeight="1">
      <c r="A121" s="9">
        <v>119</v>
      </c>
      <c r="B121" s="9" t="str">
        <f>"郭俊霞"</f>
        <v>郭俊霞</v>
      </c>
      <c r="C121" s="9" t="str">
        <f t="shared" si="5"/>
        <v>女</v>
      </c>
      <c r="D121" s="9" t="str">
        <f t="shared" si="8"/>
        <v>汉族</v>
      </c>
      <c r="E121" s="9" t="str">
        <f>"20220010429"</f>
        <v>20220010429</v>
      </c>
      <c r="F121" s="9">
        <v>76</v>
      </c>
      <c r="G121" s="9"/>
      <c r="H121" s="9">
        <f t="shared" si="6"/>
        <v>76</v>
      </c>
    </row>
    <row r="122" spans="1:8" s="13" customFormat="1" ht="24.75" customHeight="1">
      <c r="A122" s="9">
        <v>120</v>
      </c>
      <c r="B122" s="9" t="str">
        <f>"苗雪"</f>
        <v>苗雪</v>
      </c>
      <c r="C122" s="9" t="str">
        <f t="shared" si="5"/>
        <v>女</v>
      </c>
      <c r="D122" s="9" t="str">
        <f t="shared" si="8"/>
        <v>汉族</v>
      </c>
      <c r="E122" s="9" t="str">
        <f>"20220010430"</f>
        <v>20220010430</v>
      </c>
      <c r="F122" s="9">
        <v>68</v>
      </c>
      <c r="G122" s="9"/>
      <c r="H122" s="9">
        <f t="shared" si="6"/>
        <v>68</v>
      </c>
    </row>
    <row r="123" spans="1:8" s="13" customFormat="1" ht="24.75" customHeight="1">
      <c r="A123" s="9">
        <v>121</v>
      </c>
      <c r="B123" s="9" t="str">
        <f>"刘佳"</f>
        <v>刘佳</v>
      </c>
      <c r="C123" s="9" t="str">
        <f t="shared" si="5"/>
        <v>女</v>
      </c>
      <c r="D123" s="9" t="str">
        <f t="shared" si="8"/>
        <v>汉族</v>
      </c>
      <c r="E123" s="9" t="str">
        <f>"20220010501"</f>
        <v>20220010501</v>
      </c>
      <c r="F123" s="9">
        <v>53</v>
      </c>
      <c r="G123" s="9"/>
      <c r="H123" s="9">
        <f t="shared" si="6"/>
        <v>53</v>
      </c>
    </row>
    <row r="124" spans="1:8" s="13" customFormat="1" ht="24.75" customHeight="1">
      <c r="A124" s="9">
        <v>122</v>
      </c>
      <c r="B124" s="9" t="str">
        <f>"韩佳"</f>
        <v>韩佳</v>
      </c>
      <c r="C124" s="9" t="str">
        <f t="shared" si="5"/>
        <v>女</v>
      </c>
      <c r="D124" s="9" t="str">
        <f t="shared" si="8"/>
        <v>汉族</v>
      </c>
      <c r="E124" s="9" t="str">
        <f>"20220010502"</f>
        <v>20220010502</v>
      </c>
      <c r="F124" s="9">
        <v>64</v>
      </c>
      <c r="G124" s="9"/>
      <c r="H124" s="9">
        <f t="shared" si="6"/>
        <v>64</v>
      </c>
    </row>
    <row r="125" spans="1:8" s="13" customFormat="1" ht="24.75" customHeight="1">
      <c r="A125" s="9">
        <v>123</v>
      </c>
      <c r="B125" s="9" t="str">
        <f>"岳倩"</f>
        <v>岳倩</v>
      </c>
      <c r="C125" s="9" t="str">
        <f t="shared" si="5"/>
        <v>女</v>
      </c>
      <c r="D125" s="9" t="str">
        <f t="shared" si="8"/>
        <v>汉族</v>
      </c>
      <c r="E125" s="9" t="str">
        <f>"20220010503"</f>
        <v>20220010503</v>
      </c>
      <c r="F125" s="9">
        <v>58</v>
      </c>
      <c r="G125" s="9"/>
      <c r="H125" s="9">
        <f t="shared" si="6"/>
        <v>58</v>
      </c>
    </row>
    <row r="126" spans="1:8" s="13" customFormat="1" ht="24.75" customHeight="1">
      <c r="A126" s="9">
        <v>124</v>
      </c>
      <c r="B126" s="9" t="str">
        <f>"刘慧聪"</f>
        <v>刘慧聪</v>
      </c>
      <c r="C126" s="9" t="str">
        <f t="shared" si="5"/>
        <v>女</v>
      </c>
      <c r="D126" s="9" t="str">
        <f t="shared" si="8"/>
        <v>汉族</v>
      </c>
      <c r="E126" s="9" t="str">
        <f>"20220010504"</f>
        <v>20220010504</v>
      </c>
      <c r="F126" s="9">
        <v>0</v>
      </c>
      <c r="G126" s="9"/>
      <c r="H126" s="9">
        <f t="shared" si="6"/>
        <v>0</v>
      </c>
    </row>
    <row r="127" spans="1:8" s="13" customFormat="1" ht="24.75" customHeight="1">
      <c r="A127" s="9">
        <v>125</v>
      </c>
      <c r="B127" s="9" t="str">
        <f>"张甜"</f>
        <v>张甜</v>
      </c>
      <c r="C127" s="9" t="str">
        <f t="shared" si="5"/>
        <v>女</v>
      </c>
      <c r="D127" s="9" t="str">
        <f t="shared" si="8"/>
        <v>汉族</v>
      </c>
      <c r="E127" s="9" t="str">
        <f>"20220010505"</f>
        <v>20220010505</v>
      </c>
      <c r="F127" s="9">
        <v>80</v>
      </c>
      <c r="G127" s="9"/>
      <c r="H127" s="9">
        <f t="shared" si="6"/>
        <v>80</v>
      </c>
    </row>
    <row r="128" spans="1:8" s="13" customFormat="1" ht="24.75" customHeight="1">
      <c r="A128" s="9">
        <v>126</v>
      </c>
      <c r="B128" s="9" t="str">
        <f>"樊慧"</f>
        <v>樊慧</v>
      </c>
      <c r="C128" s="9" t="str">
        <f t="shared" si="5"/>
        <v>女</v>
      </c>
      <c r="D128" s="9" t="str">
        <f t="shared" si="8"/>
        <v>汉族</v>
      </c>
      <c r="E128" s="9" t="str">
        <f>"20220010506"</f>
        <v>20220010506</v>
      </c>
      <c r="F128" s="9">
        <v>52</v>
      </c>
      <c r="G128" s="9"/>
      <c r="H128" s="9">
        <f t="shared" si="6"/>
        <v>52</v>
      </c>
    </row>
    <row r="129" spans="1:8" s="13" customFormat="1" ht="24.75" customHeight="1">
      <c r="A129" s="9">
        <v>127</v>
      </c>
      <c r="B129" s="9" t="str">
        <f>"侯雨婷"</f>
        <v>侯雨婷</v>
      </c>
      <c r="C129" s="9" t="str">
        <f t="shared" si="5"/>
        <v>女</v>
      </c>
      <c r="D129" s="9" t="str">
        <f t="shared" si="8"/>
        <v>汉族</v>
      </c>
      <c r="E129" s="9" t="str">
        <f>"20220010507"</f>
        <v>20220010507</v>
      </c>
      <c r="F129" s="9">
        <v>0</v>
      </c>
      <c r="G129" s="9"/>
      <c r="H129" s="9">
        <f t="shared" si="6"/>
        <v>0</v>
      </c>
    </row>
    <row r="130" spans="1:8" s="13" customFormat="1" ht="24.75" customHeight="1">
      <c r="A130" s="9">
        <v>128</v>
      </c>
      <c r="B130" s="9" t="str">
        <f>"李美超"</f>
        <v>李美超</v>
      </c>
      <c r="C130" s="9" t="str">
        <f t="shared" si="5"/>
        <v>女</v>
      </c>
      <c r="D130" s="9" t="str">
        <f t="shared" si="8"/>
        <v>汉族</v>
      </c>
      <c r="E130" s="9" t="str">
        <f>"20220010508"</f>
        <v>20220010508</v>
      </c>
      <c r="F130" s="9">
        <v>59</v>
      </c>
      <c r="G130" s="9"/>
      <c r="H130" s="9">
        <f t="shared" si="6"/>
        <v>59</v>
      </c>
    </row>
    <row r="131" spans="1:8" s="13" customFormat="1" ht="24.75" customHeight="1">
      <c r="A131" s="9">
        <v>129</v>
      </c>
      <c r="B131" s="9" t="str">
        <f>"徐婷"</f>
        <v>徐婷</v>
      </c>
      <c r="C131" s="9" t="str">
        <f aca="true" t="shared" si="9" ref="C131:C194">"女"</f>
        <v>女</v>
      </c>
      <c r="D131" s="9" t="str">
        <f t="shared" si="8"/>
        <v>汉族</v>
      </c>
      <c r="E131" s="9" t="str">
        <f>"20220010509"</f>
        <v>20220010509</v>
      </c>
      <c r="F131" s="9">
        <v>62</v>
      </c>
      <c r="G131" s="9"/>
      <c r="H131" s="9">
        <f aca="true" t="shared" si="10" ref="H131:H194">F131+G131</f>
        <v>62</v>
      </c>
    </row>
    <row r="132" spans="1:8" s="13" customFormat="1" ht="24.75" customHeight="1">
      <c r="A132" s="9">
        <v>130</v>
      </c>
      <c r="B132" s="9" t="str">
        <f>"张慕华"</f>
        <v>张慕华</v>
      </c>
      <c r="C132" s="9" t="str">
        <f t="shared" si="9"/>
        <v>女</v>
      </c>
      <c r="D132" s="9" t="str">
        <f t="shared" si="8"/>
        <v>汉族</v>
      </c>
      <c r="E132" s="9" t="str">
        <f>"20220010510"</f>
        <v>20220010510</v>
      </c>
      <c r="F132" s="9">
        <v>64</v>
      </c>
      <c r="G132" s="9"/>
      <c r="H132" s="9">
        <f t="shared" si="10"/>
        <v>64</v>
      </c>
    </row>
    <row r="133" spans="1:8" s="13" customFormat="1" ht="24.75" customHeight="1">
      <c r="A133" s="9">
        <v>131</v>
      </c>
      <c r="B133" s="9" t="str">
        <f>"高倩"</f>
        <v>高倩</v>
      </c>
      <c r="C133" s="9" t="str">
        <f t="shared" si="9"/>
        <v>女</v>
      </c>
      <c r="D133" s="9" t="str">
        <f t="shared" si="8"/>
        <v>汉族</v>
      </c>
      <c r="E133" s="9" t="str">
        <f>"20220010511"</f>
        <v>20220010511</v>
      </c>
      <c r="F133" s="9">
        <v>0</v>
      </c>
      <c r="G133" s="9"/>
      <c r="H133" s="9">
        <f t="shared" si="10"/>
        <v>0</v>
      </c>
    </row>
    <row r="134" spans="1:8" s="13" customFormat="1" ht="24.75" customHeight="1">
      <c r="A134" s="9">
        <v>132</v>
      </c>
      <c r="B134" s="9" t="str">
        <f>"王露甜"</f>
        <v>王露甜</v>
      </c>
      <c r="C134" s="9" t="str">
        <f t="shared" si="9"/>
        <v>女</v>
      </c>
      <c r="D134" s="9" t="str">
        <f t="shared" si="8"/>
        <v>汉族</v>
      </c>
      <c r="E134" s="9" t="str">
        <f>"20220010512"</f>
        <v>20220010512</v>
      </c>
      <c r="F134" s="9">
        <v>72</v>
      </c>
      <c r="G134" s="9"/>
      <c r="H134" s="9">
        <f t="shared" si="10"/>
        <v>72</v>
      </c>
    </row>
    <row r="135" spans="1:8" s="13" customFormat="1" ht="24.75" customHeight="1">
      <c r="A135" s="9">
        <v>133</v>
      </c>
      <c r="B135" s="9" t="str">
        <f>"岑伊林"</f>
        <v>岑伊林</v>
      </c>
      <c r="C135" s="9" t="str">
        <f t="shared" si="9"/>
        <v>女</v>
      </c>
      <c r="D135" s="9" t="str">
        <f t="shared" si="8"/>
        <v>汉族</v>
      </c>
      <c r="E135" s="9" t="str">
        <f>"20220010513"</f>
        <v>20220010513</v>
      </c>
      <c r="F135" s="9">
        <v>56</v>
      </c>
      <c r="G135" s="9"/>
      <c r="H135" s="9">
        <f t="shared" si="10"/>
        <v>56</v>
      </c>
    </row>
    <row r="136" spans="1:8" s="13" customFormat="1" ht="24.75" customHeight="1">
      <c r="A136" s="9">
        <v>134</v>
      </c>
      <c r="B136" s="9" t="str">
        <f>"屈晓玲"</f>
        <v>屈晓玲</v>
      </c>
      <c r="C136" s="9" t="str">
        <f t="shared" si="9"/>
        <v>女</v>
      </c>
      <c r="D136" s="9" t="str">
        <f t="shared" si="8"/>
        <v>汉族</v>
      </c>
      <c r="E136" s="9" t="str">
        <f>"20220010514"</f>
        <v>20220010514</v>
      </c>
      <c r="F136" s="9">
        <v>71</v>
      </c>
      <c r="G136" s="9"/>
      <c r="H136" s="9">
        <f t="shared" si="10"/>
        <v>71</v>
      </c>
    </row>
    <row r="137" spans="1:8" s="13" customFormat="1" ht="24.75" customHeight="1">
      <c r="A137" s="9">
        <v>135</v>
      </c>
      <c r="B137" s="9" t="str">
        <f>"刘倩"</f>
        <v>刘倩</v>
      </c>
      <c r="C137" s="9" t="str">
        <f t="shared" si="9"/>
        <v>女</v>
      </c>
      <c r="D137" s="9" t="str">
        <f t="shared" si="8"/>
        <v>汉族</v>
      </c>
      <c r="E137" s="9" t="str">
        <f>"20220010515"</f>
        <v>20220010515</v>
      </c>
      <c r="F137" s="9">
        <v>40</v>
      </c>
      <c r="G137" s="9"/>
      <c r="H137" s="9">
        <f t="shared" si="10"/>
        <v>40</v>
      </c>
    </row>
    <row r="138" spans="1:8" s="13" customFormat="1" ht="24.75" customHeight="1">
      <c r="A138" s="9">
        <v>136</v>
      </c>
      <c r="B138" s="9" t="str">
        <f>"冯墨冉"</f>
        <v>冯墨冉</v>
      </c>
      <c r="C138" s="9" t="str">
        <f t="shared" si="9"/>
        <v>女</v>
      </c>
      <c r="D138" s="9" t="str">
        <f t="shared" si="8"/>
        <v>汉族</v>
      </c>
      <c r="E138" s="9" t="str">
        <f>"20220010516"</f>
        <v>20220010516</v>
      </c>
      <c r="F138" s="9">
        <v>55</v>
      </c>
      <c r="G138" s="9"/>
      <c r="H138" s="9">
        <f t="shared" si="10"/>
        <v>55</v>
      </c>
    </row>
    <row r="139" spans="1:8" s="13" customFormat="1" ht="24.75" customHeight="1">
      <c r="A139" s="9">
        <v>137</v>
      </c>
      <c r="B139" s="9" t="str">
        <f>"贾凤凤"</f>
        <v>贾凤凤</v>
      </c>
      <c r="C139" s="9" t="str">
        <f t="shared" si="9"/>
        <v>女</v>
      </c>
      <c r="D139" s="9" t="str">
        <f t="shared" si="8"/>
        <v>汉族</v>
      </c>
      <c r="E139" s="9" t="str">
        <f>"20220010517"</f>
        <v>20220010517</v>
      </c>
      <c r="F139" s="9">
        <v>37</v>
      </c>
      <c r="G139" s="9"/>
      <c r="H139" s="9">
        <f t="shared" si="10"/>
        <v>37</v>
      </c>
    </row>
    <row r="140" spans="1:8" s="13" customFormat="1" ht="24.75" customHeight="1">
      <c r="A140" s="9">
        <v>138</v>
      </c>
      <c r="B140" s="9" t="str">
        <f>"王雅萱"</f>
        <v>王雅萱</v>
      </c>
      <c r="C140" s="9" t="str">
        <f t="shared" si="9"/>
        <v>女</v>
      </c>
      <c r="D140" s="9" t="str">
        <f t="shared" si="8"/>
        <v>汉族</v>
      </c>
      <c r="E140" s="9" t="str">
        <f>"20220010518"</f>
        <v>20220010518</v>
      </c>
      <c r="F140" s="9">
        <v>43</v>
      </c>
      <c r="G140" s="9"/>
      <c r="H140" s="9">
        <f t="shared" si="10"/>
        <v>43</v>
      </c>
    </row>
    <row r="141" spans="1:8" s="13" customFormat="1" ht="24.75" customHeight="1">
      <c r="A141" s="9">
        <v>139</v>
      </c>
      <c r="B141" s="9" t="str">
        <f>"杨艳"</f>
        <v>杨艳</v>
      </c>
      <c r="C141" s="9" t="str">
        <f t="shared" si="9"/>
        <v>女</v>
      </c>
      <c r="D141" s="9" t="str">
        <f t="shared" si="8"/>
        <v>汉族</v>
      </c>
      <c r="E141" s="9" t="str">
        <f>"20220010519"</f>
        <v>20220010519</v>
      </c>
      <c r="F141" s="9">
        <v>77</v>
      </c>
      <c r="G141" s="9"/>
      <c r="H141" s="9">
        <f t="shared" si="10"/>
        <v>77</v>
      </c>
    </row>
    <row r="142" spans="1:8" s="13" customFormat="1" ht="24.75" customHeight="1">
      <c r="A142" s="9">
        <v>140</v>
      </c>
      <c r="B142" s="9" t="str">
        <f>"李婷婷"</f>
        <v>李婷婷</v>
      </c>
      <c r="C142" s="9" t="str">
        <f t="shared" si="9"/>
        <v>女</v>
      </c>
      <c r="D142" s="9" t="str">
        <f t="shared" si="8"/>
        <v>汉族</v>
      </c>
      <c r="E142" s="9" t="str">
        <f>"20220010520"</f>
        <v>20220010520</v>
      </c>
      <c r="F142" s="9">
        <v>68</v>
      </c>
      <c r="G142" s="9"/>
      <c r="H142" s="9">
        <f t="shared" si="10"/>
        <v>68</v>
      </c>
    </row>
    <row r="143" spans="1:8" s="13" customFormat="1" ht="24.75" customHeight="1">
      <c r="A143" s="9">
        <v>141</v>
      </c>
      <c r="B143" s="9" t="str">
        <f>"张鸿"</f>
        <v>张鸿</v>
      </c>
      <c r="C143" s="9" t="str">
        <f t="shared" si="9"/>
        <v>女</v>
      </c>
      <c r="D143" s="9" t="str">
        <f t="shared" si="8"/>
        <v>汉族</v>
      </c>
      <c r="E143" s="9" t="str">
        <f>"20220010521"</f>
        <v>20220010521</v>
      </c>
      <c r="F143" s="9">
        <v>48</v>
      </c>
      <c r="G143" s="9"/>
      <c r="H143" s="9">
        <f t="shared" si="10"/>
        <v>48</v>
      </c>
    </row>
    <row r="144" spans="1:8" s="13" customFormat="1" ht="24.75" customHeight="1">
      <c r="A144" s="9">
        <v>142</v>
      </c>
      <c r="B144" s="9" t="str">
        <f>"田林巧"</f>
        <v>田林巧</v>
      </c>
      <c r="C144" s="9" t="str">
        <f t="shared" si="9"/>
        <v>女</v>
      </c>
      <c r="D144" s="9" t="str">
        <f>"蒙古族"</f>
        <v>蒙古族</v>
      </c>
      <c r="E144" s="9" t="str">
        <f>"20220010522"</f>
        <v>20220010522</v>
      </c>
      <c r="F144" s="9">
        <v>54</v>
      </c>
      <c r="G144" s="9">
        <v>2.5</v>
      </c>
      <c r="H144" s="9">
        <f t="shared" si="10"/>
        <v>56.5</v>
      </c>
    </row>
    <row r="145" spans="1:8" s="13" customFormat="1" ht="24.75" customHeight="1">
      <c r="A145" s="9">
        <v>143</v>
      </c>
      <c r="B145" s="9" t="str">
        <f>"倪静媛"</f>
        <v>倪静媛</v>
      </c>
      <c r="C145" s="9" t="str">
        <f t="shared" si="9"/>
        <v>女</v>
      </c>
      <c r="D145" s="9" t="str">
        <f>"汉族"</f>
        <v>汉族</v>
      </c>
      <c r="E145" s="9" t="str">
        <f>"20220010523"</f>
        <v>20220010523</v>
      </c>
      <c r="F145" s="9">
        <v>47</v>
      </c>
      <c r="G145" s="9"/>
      <c r="H145" s="9">
        <f t="shared" si="10"/>
        <v>47</v>
      </c>
    </row>
    <row r="146" spans="1:8" s="13" customFormat="1" ht="24.75" customHeight="1">
      <c r="A146" s="9">
        <v>144</v>
      </c>
      <c r="B146" s="9" t="str">
        <f>"李外"</f>
        <v>李外</v>
      </c>
      <c r="C146" s="9" t="str">
        <f t="shared" si="9"/>
        <v>女</v>
      </c>
      <c r="D146" s="9" t="str">
        <f>"汉族"</f>
        <v>汉族</v>
      </c>
      <c r="E146" s="9" t="str">
        <f>"20220010524"</f>
        <v>20220010524</v>
      </c>
      <c r="F146" s="9">
        <v>68</v>
      </c>
      <c r="G146" s="9"/>
      <c r="H146" s="9">
        <f t="shared" si="10"/>
        <v>68</v>
      </c>
    </row>
    <row r="147" spans="1:8" s="13" customFormat="1" ht="24.75" customHeight="1">
      <c r="A147" s="9">
        <v>145</v>
      </c>
      <c r="B147" s="9" t="str">
        <f>"欧妮娜尔"</f>
        <v>欧妮娜尔</v>
      </c>
      <c r="C147" s="9" t="str">
        <f t="shared" si="9"/>
        <v>女</v>
      </c>
      <c r="D147" s="9" t="str">
        <f>"蒙古族"</f>
        <v>蒙古族</v>
      </c>
      <c r="E147" s="9" t="str">
        <f>"20220010525"</f>
        <v>20220010525</v>
      </c>
      <c r="F147" s="9">
        <v>52</v>
      </c>
      <c r="G147" s="9">
        <v>2.5</v>
      </c>
      <c r="H147" s="9">
        <f t="shared" si="10"/>
        <v>54.5</v>
      </c>
    </row>
    <row r="148" spans="1:8" s="13" customFormat="1" ht="24.75" customHeight="1">
      <c r="A148" s="9">
        <v>146</v>
      </c>
      <c r="B148" s="9" t="str">
        <f>"高红玉"</f>
        <v>高红玉</v>
      </c>
      <c r="C148" s="9" t="str">
        <f t="shared" si="9"/>
        <v>女</v>
      </c>
      <c r="D148" s="9" t="str">
        <f>"汉族"</f>
        <v>汉族</v>
      </c>
      <c r="E148" s="9" t="str">
        <f>"20220010526"</f>
        <v>20220010526</v>
      </c>
      <c r="F148" s="9">
        <v>73</v>
      </c>
      <c r="G148" s="9"/>
      <c r="H148" s="9">
        <f t="shared" si="10"/>
        <v>73</v>
      </c>
    </row>
    <row r="149" spans="1:8" s="13" customFormat="1" ht="24.75" customHeight="1">
      <c r="A149" s="9">
        <v>147</v>
      </c>
      <c r="B149" s="9" t="str">
        <f>"高约很"</f>
        <v>高约很</v>
      </c>
      <c r="C149" s="9" t="str">
        <f t="shared" si="9"/>
        <v>女</v>
      </c>
      <c r="D149" s="9" t="str">
        <f>"蒙古族"</f>
        <v>蒙古族</v>
      </c>
      <c r="E149" s="9" t="str">
        <f>"20220010527"</f>
        <v>20220010527</v>
      </c>
      <c r="F149" s="9">
        <v>55</v>
      </c>
      <c r="G149" s="9">
        <v>2.5</v>
      </c>
      <c r="H149" s="9">
        <f t="shared" si="10"/>
        <v>57.5</v>
      </c>
    </row>
    <row r="150" spans="1:8" s="13" customFormat="1" ht="24.75" customHeight="1">
      <c r="A150" s="9">
        <v>148</v>
      </c>
      <c r="B150" s="9" t="str">
        <f>"李晓晖"</f>
        <v>李晓晖</v>
      </c>
      <c r="C150" s="9" t="str">
        <f t="shared" si="9"/>
        <v>女</v>
      </c>
      <c r="D150" s="9" t="str">
        <f aca="true" t="shared" si="11" ref="D150:D166">"汉族"</f>
        <v>汉族</v>
      </c>
      <c r="E150" s="9" t="str">
        <f>"20220010528"</f>
        <v>20220010528</v>
      </c>
      <c r="F150" s="9">
        <v>58</v>
      </c>
      <c r="G150" s="9"/>
      <c r="H150" s="9">
        <f t="shared" si="10"/>
        <v>58</v>
      </c>
    </row>
    <row r="151" spans="1:8" s="13" customFormat="1" ht="24.75" customHeight="1">
      <c r="A151" s="9">
        <v>149</v>
      </c>
      <c r="B151" s="9" t="str">
        <f>"庞志贤"</f>
        <v>庞志贤</v>
      </c>
      <c r="C151" s="9" t="str">
        <f t="shared" si="9"/>
        <v>女</v>
      </c>
      <c r="D151" s="9" t="str">
        <f t="shared" si="11"/>
        <v>汉族</v>
      </c>
      <c r="E151" s="9" t="str">
        <f>"20220010529"</f>
        <v>20220010529</v>
      </c>
      <c r="F151" s="9">
        <v>51</v>
      </c>
      <c r="G151" s="9"/>
      <c r="H151" s="9">
        <f t="shared" si="10"/>
        <v>51</v>
      </c>
    </row>
    <row r="152" spans="1:8" s="13" customFormat="1" ht="24.75" customHeight="1">
      <c r="A152" s="9">
        <v>150</v>
      </c>
      <c r="B152" s="9" t="str">
        <f>"赵玥"</f>
        <v>赵玥</v>
      </c>
      <c r="C152" s="9" t="str">
        <f t="shared" si="9"/>
        <v>女</v>
      </c>
      <c r="D152" s="9" t="str">
        <f t="shared" si="11"/>
        <v>汉族</v>
      </c>
      <c r="E152" s="9" t="str">
        <f>"20220010530"</f>
        <v>20220010530</v>
      </c>
      <c r="F152" s="9">
        <v>62</v>
      </c>
      <c r="G152" s="9"/>
      <c r="H152" s="9">
        <f t="shared" si="10"/>
        <v>62</v>
      </c>
    </row>
    <row r="153" spans="1:8" s="13" customFormat="1" ht="24.75" customHeight="1">
      <c r="A153" s="9">
        <v>151</v>
      </c>
      <c r="B153" s="9" t="str">
        <f>"郭旭"</f>
        <v>郭旭</v>
      </c>
      <c r="C153" s="9" t="str">
        <f t="shared" si="9"/>
        <v>女</v>
      </c>
      <c r="D153" s="9" t="str">
        <f t="shared" si="11"/>
        <v>汉族</v>
      </c>
      <c r="E153" s="9" t="str">
        <f>"20220010601"</f>
        <v>20220010601</v>
      </c>
      <c r="F153" s="9">
        <v>62</v>
      </c>
      <c r="G153" s="9"/>
      <c r="H153" s="9">
        <f t="shared" si="10"/>
        <v>62</v>
      </c>
    </row>
    <row r="154" spans="1:8" s="13" customFormat="1" ht="24.75" customHeight="1">
      <c r="A154" s="9">
        <v>152</v>
      </c>
      <c r="B154" s="9" t="str">
        <f>"高漫"</f>
        <v>高漫</v>
      </c>
      <c r="C154" s="9" t="str">
        <f t="shared" si="9"/>
        <v>女</v>
      </c>
      <c r="D154" s="9" t="str">
        <f t="shared" si="11"/>
        <v>汉族</v>
      </c>
      <c r="E154" s="9" t="str">
        <f>"20220010602"</f>
        <v>20220010602</v>
      </c>
      <c r="F154" s="9">
        <v>37</v>
      </c>
      <c r="G154" s="9"/>
      <c r="H154" s="9">
        <f t="shared" si="10"/>
        <v>37</v>
      </c>
    </row>
    <row r="155" spans="1:8" s="13" customFormat="1" ht="24.75" customHeight="1">
      <c r="A155" s="9">
        <v>153</v>
      </c>
      <c r="B155" s="9" t="str">
        <f>"李佳"</f>
        <v>李佳</v>
      </c>
      <c r="C155" s="9" t="str">
        <f t="shared" si="9"/>
        <v>女</v>
      </c>
      <c r="D155" s="9" t="str">
        <f t="shared" si="11"/>
        <v>汉族</v>
      </c>
      <c r="E155" s="9" t="str">
        <f>"20220010603"</f>
        <v>20220010603</v>
      </c>
      <c r="F155" s="9">
        <v>65</v>
      </c>
      <c r="G155" s="9"/>
      <c r="H155" s="9">
        <f t="shared" si="10"/>
        <v>65</v>
      </c>
    </row>
    <row r="156" spans="1:8" s="13" customFormat="1" ht="24.75" customHeight="1">
      <c r="A156" s="9">
        <v>154</v>
      </c>
      <c r="B156" s="9" t="str">
        <f>"刘雪琴"</f>
        <v>刘雪琴</v>
      </c>
      <c r="C156" s="9" t="str">
        <f t="shared" si="9"/>
        <v>女</v>
      </c>
      <c r="D156" s="9" t="str">
        <f t="shared" si="11"/>
        <v>汉族</v>
      </c>
      <c r="E156" s="9" t="str">
        <f>"20220010604"</f>
        <v>20220010604</v>
      </c>
      <c r="F156" s="9">
        <v>57</v>
      </c>
      <c r="G156" s="9"/>
      <c r="H156" s="9">
        <f t="shared" si="10"/>
        <v>57</v>
      </c>
    </row>
    <row r="157" spans="1:8" s="13" customFormat="1" ht="24.75" customHeight="1">
      <c r="A157" s="9">
        <v>155</v>
      </c>
      <c r="B157" s="9" t="str">
        <f>"张楠"</f>
        <v>张楠</v>
      </c>
      <c r="C157" s="9" t="str">
        <f t="shared" si="9"/>
        <v>女</v>
      </c>
      <c r="D157" s="9" t="str">
        <f t="shared" si="11"/>
        <v>汉族</v>
      </c>
      <c r="E157" s="9" t="str">
        <f>"20220010605"</f>
        <v>20220010605</v>
      </c>
      <c r="F157" s="9">
        <v>27</v>
      </c>
      <c r="G157" s="9"/>
      <c r="H157" s="9">
        <f t="shared" si="10"/>
        <v>27</v>
      </c>
    </row>
    <row r="158" spans="1:8" s="13" customFormat="1" ht="24.75" customHeight="1">
      <c r="A158" s="9">
        <v>156</v>
      </c>
      <c r="B158" s="9" t="str">
        <f>"石晓庆"</f>
        <v>石晓庆</v>
      </c>
      <c r="C158" s="9" t="str">
        <f t="shared" si="9"/>
        <v>女</v>
      </c>
      <c r="D158" s="9" t="str">
        <f t="shared" si="11"/>
        <v>汉族</v>
      </c>
      <c r="E158" s="9" t="str">
        <f>"20220010606"</f>
        <v>20220010606</v>
      </c>
      <c r="F158" s="9">
        <v>66</v>
      </c>
      <c r="G158" s="9"/>
      <c r="H158" s="9">
        <f t="shared" si="10"/>
        <v>66</v>
      </c>
    </row>
    <row r="159" spans="1:8" s="13" customFormat="1" ht="24.75" customHeight="1">
      <c r="A159" s="9">
        <v>157</v>
      </c>
      <c r="B159" s="9" t="str">
        <f>"王娜"</f>
        <v>王娜</v>
      </c>
      <c r="C159" s="9" t="str">
        <f t="shared" si="9"/>
        <v>女</v>
      </c>
      <c r="D159" s="9" t="str">
        <f t="shared" si="11"/>
        <v>汉族</v>
      </c>
      <c r="E159" s="9" t="str">
        <f>"20220010607"</f>
        <v>20220010607</v>
      </c>
      <c r="F159" s="9">
        <v>44</v>
      </c>
      <c r="G159" s="9"/>
      <c r="H159" s="9">
        <f t="shared" si="10"/>
        <v>44</v>
      </c>
    </row>
    <row r="160" spans="1:8" s="13" customFormat="1" ht="24.75" customHeight="1">
      <c r="A160" s="9">
        <v>158</v>
      </c>
      <c r="B160" s="9" t="str">
        <f>"乔宇"</f>
        <v>乔宇</v>
      </c>
      <c r="C160" s="9" t="str">
        <f t="shared" si="9"/>
        <v>女</v>
      </c>
      <c r="D160" s="9" t="str">
        <f t="shared" si="11"/>
        <v>汉族</v>
      </c>
      <c r="E160" s="9" t="str">
        <f>"20220010608"</f>
        <v>20220010608</v>
      </c>
      <c r="F160" s="9">
        <v>66</v>
      </c>
      <c r="G160" s="9"/>
      <c r="H160" s="9">
        <f t="shared" si="10"/>
        <v>66</v>
      </c>
    </row>
    <row r="161" spans="1:8" s="13" customFormat="1" ht="24.75" customHeight="1">
      <c r="A161" s="9">
        <v>159</v>
      </c>
      <c r="B161" s="9" t="str">
        <f>"王敬涵"</f>
        <v>王敬涵</v>
      </c>
      <c r="C161" s="9" t="str">
        <f t="shared" si="9"/>
        <v>女</v>
      </c>
      <c r="D161" s="9" t="str">
        <f t="shared" si="11"/>
        <v>汉族</v>
      </c>
      <c r="E161" s="9" t="str">
        <f>"20220010609"</f>
        <v>20220010609</v>
      </c>
      <c r="F161" s="9">
        <v>63</v>
      </c>
      <c r="G161" s="9"/>
      <c r="H161" s="9">
        <f t="shared" si="10"/>
        <v>63</v>
      </c>
    </row>
    <row r="162" spans="1:8" s="13" customFormat="1" ht="24.75" customHeight="1">
      <c r="A162" s="9">
        <v>160</v>
      </c>
      <c r="B162" s="9" t="str">
        <f>"马琦玥"</f>
        <v>马琦玥</v>
      </c>
      <c r="C162" s="9" t="str">
        <f t="shared" si="9"/>
        <v>女</v>
      </c>
      <c r="D162" s="9" t="str">
        <f t="shared" si="11"/>
        <v>汉族</v>
      </c>
      <c r="E162" s="9" t="str">
        <f>"20220010610"</f>
        <v>20220010610</v>
      </c>
      <c r="F162" s="9">
        <v>74</v>
      </c>
      <c r="G162" s="9"/>
      <c r="H162" s="9">
        <f t="shared" si="10"/>
        <v>74</v>
      </c>
    </row>
    <row r="163" spans="1:8" s="13" customFormat="1" ht="24.75" customHeight="1">
      <c r="A163" s="9">
        <v>161</v>
      </c>
      <c r="B163" s="9" t="str">
        <f>"牛鑫"</f>
        <v>牛鑫</v>
      </c>
      <c r="C163" s="9" t="str">
        <f t="shared" si="9"/>
        <v>女</v>
      </c>
      <c r="D163" s="9" t="str">
        <f t="shared" si="11"/>
        <v>汉族</v>
      </c>
      <c r="E163" s="9" t="str">
        <f>"20220010611"</f>
        <v>20220010611</v>
      </c>
      <c r="F163" s="9">
        <v>53</v>
      </c>
      <c r="G163" s="9"/>
      <c r="H163" s="9">
        <f t="shared" si="10"/>
        <v>53</v>
      </c>
    </row>
    <row r="164" spans="1:8" s="13" customFormat="1" ht="24.75" customHeight="1">
      <c r="A164" s="9">
        <v>162</v>
      </c>
      <c r="B164" s="9" t="str">
        <f>"宋宁"</f>
        <v>宋宁</v>
      </c>
      <c r="C164" s="9" t="str">
        <f t="shared" si="9"/>
        <v>女</v>
      </c>
      <c r="D164" s="9" t="str">
        <f t="shared" si="11"/>
        <v>汉族</v>
      </c>
      <c r="E164" s="9" t="str">
        <f>"20220010612"</f>
        <v>20220010612</v>
      </c>
      <c r="F164" s="9">
        <v>0</v>
      </c>
      <c r="G164" s="9"/>
      <c r="H164" s="9">
        <f t="shared" si="10"/>
        <v>0</v>
      </c>
    </row>
    <row r="165" spans="1:8" s="13" customFormat="1" ht="24.75" customHeight="1">
      <c r="A165" s="9">
        <v>163</v>
      </c>
      <c r="B165" s="9" t="str">
        <f>"王茜源"</f>
        <v>王茜源</v>
      </c>
      <c r="C165" s="9" t="str">
        <f t="shared" si="9"/>
        <v>女</v>
      </c>
      <c r="D165" s="9" t="str">
        <f t="shared" si="11"/>
        <v>汉族</v>
      </c>
      <c r="E165" s="9" t="str">
        <f>"20220010613"</f>
        <v>20220010613</v>
      </c>
      <c r="F165" s="9">
        <v>30</v>
      </c>
      <c r="G165" s="9"/>
      <c r="H165" s="9">
        <f t="shared" si="10"/>
        <v>30</v>
      </c>
    </row>
    <row r="166" spans="1:8" s="13" customFormat="1" ht="24.75" customHeight="1">
      <c r="A166" s="9">
        <v>164</v>
      </c>
      <c r="B166" s="9" t="str">
        <f>"张楠"</f>
        <v>张楠</v>
      </c>
      <c r="C166" s="9" t="str">
        <f t="shared" si="9"/>
        <v>女</v>
      </c>
      <c r="D166" s="9" t="str">
        <f t="shared" si="11"/>
        <v>汉族</v>
      </c>
      <c r="E166" s="9" t="str">
        <f>"20220010614"</f>
        <v>20220010614</v>
      </c>
      <c r="F166" s="9">
        <v>24</v>
      </c>
      <c r="G166" s="9"/>
      <c r="H166" s="9">
        <f t="shared" si="10"/>
        <v>24</v>
      </c>
    </row>
    <row r="167" spans="1:8" s="13" customFormat="1" ht="24.75" customHeight="1">
      <c r="A167" s="9">
        <v>165</v>
      </c>
      <c r="B167" s="9" t="str">
        <f>"杜淑瑶"</f>
        <v>杜淑瑶</v>
      </c>
      <c r="C167" s="9" t="str">
        <f t="shared" si="9"/>
        <v>女</v>
      </c>
      <c r="D167" s="9" t="str">
        <f>"蒙古族"</f>
        <v>蒙古族</v>
      </c>
      <c r="E167" s="9" t="str">
        <f>"20220010615"</f>
        <v>20220010615</v>
      </c>
      <c r="F167" s="9">
        <v>32</v>
      </c>
      <c r="G167" s="9">
        <v>2.5</v>
      </c>
      <c r="H167" s="9">
        <f t="shared" si="10"/>
        <v>34.5</v>
      </c>
    </row>
    <row r="168" spans="1:8" s="13" customFormat="1" ht="24.75" customHeight="1">
      <c r="A168" s="9">
        <v>166</v>
      </c>
      <c r="B168" s="9" t="str">
        <f>"李彩凤"</f>
        <v>李彩凤</v>
      </c>
      <c r="C168" s="9" t="str">
        <f t="shared" si="9"/>
        <v>女</v>
      </c>
      <c r="D168" s="9" t="str">
        <f aca="true" t="shared" si="12" ref="D168:D174">"汉族"</f>
        <v>汉族</v>
      </c>
      <c r="E168" s="9" t="str">
        <f>"20220010616"</f>
        <v>20220010616</v>
      </c>
      <c r="F168" s="9">
        <v>50</v>
      </c>
      <c r="G168" s="9"/>
      <c r="H168" s="9">
        <f t="shared" si="10"/>
        <v>50</v>
      </c>
    </row>
    <row r="169" spans="1:8" s="13" customFormat="1" ht="24.75" customHeight="1">
      <c r="A169" s="9">
        <v>167</v>
      </c>
      <c r="B169" s="9" t="str">
        <f>"张梓超"</f>
        <v>张梓超</v>
      </c>
      <c r="C169" s="9" t="str">
        <f t="shared" si="9"/>
        <v>女</v>
      </c>
      <c r="D169" s="9" t="str">
        <f t="shared" si="12"/>
        <v>汉族</v>
      </c>
      <c r="E169" s="9" t="str">
        <f>"20220010617"</f>
        <v>20220010617</v>
      </c>
      <c r="F169" s="9">
        <v>52</v>
      </c>
      <c r="G169" s="9"/>
      <c r="H169" s="9">
        <f t="shared" si="10"/>
        <v>52</v>
      </c>
    </row>
    <row r="170" spans="1:8" s="13" customFormat="1" ht="24.75" customHeight="1">
      <c r="A170" s="9">
        <v>168</v>
      </c>
      <c r="B170" s="9" t="str">
        <f>"杜鑫"</f>
        <v>杜鑫</v>
      </c>
      <c r="C170" s="9" t="str">
        <f t="shared" si="9"/>
        <v>女</v>
      </c>
      <c r="D170" s="9" t="str">
        <f t="shared" si="12"/>
        <v>汉族</v>
      </c>
      <c r="E170" s="9" t="str">
        <f>"20220010618"</f>
        <v>20220010618</v>
      </c>
      <c r="F170" s="9">
        <v>60</v>
      </c>
      <c r="G170" s="9"/>
      <c r="H170" s="9">
        <f t="shared" si="10"/>
        <v>60</v>
      </c>
    </row>
    <row r="171" spans="1:8" s="13" customFormat="1" ht="24.75" customHeight="1">
      <c r="A171" s="9">
        <v>169</v>
      </c>
      <c r="B171" s="9" t="str">
        <f>"刘瑞"</f>
        <v>刘瑞</v>
      </c>
      <c r="C171" s="9" t="str">
        <f t="shared" si="9"/>
        <v>女</v>
      </c>
      <c r="D171" s="9" t="str">
        <f t="shared" si="12"/>
        <v>汉族</v>
      </c>
      <c r="E171" s="9" t="str">
        <f>"20220010619"</f>
        <v>20220010619</v>
      </c>
      <c r="F171" s="9">
        <v>57</v>
      </c>
      <c r="G171" s="9"/>
      <c r="H171" s="9">
        <f t="shared" si="10"/>
        <v>57</v>
      </c>
    </row>
    <row r="172" spans="1:8" s="13" customFormat="1" ht="24.75" customHeight="1">
      <c r="A172" s="9">
        <v>170</v>
      </c>
      <c r="B172" s="9" t="str">
        <f>"邢娜"</f>
        <v>邢娜</v>
      </c>
      <c r="C172" s="9" t="str">
        <f t="shared" si="9"/>
        <v>女</v>
      </c>
      <c r="D172" s="9" t="str">
        <f t="shared" si="12"/>
        <v>汉族</v>
      </c>
      <c r="E172" s="9" t="str">
        <f>"20220010620"</f>
        <v>20220010620</v>
      </c>
      <c r="F172" s="9">
        <v>50</v>
      </c>
      <c r="G172" s="9"/>
      <c r="H172" s="9">
        <f t="shared" si="10"/>
        <v>50</v>
      </c>
    </row>
    <row r="173" spans="1:8" s="13" customFormat="1" ht="24.75" customHeight="1">
      <c r="A173" s="9">
        <v>171</v>
      </c>
      <c r="B173" s="9" t="str">
        <f>"孙利霞"</f>
        <v>孙利霞</v>
      </c>
      <c r="C173" s="9" t="str">
        <f t="shared" si="9"/>
        <v>女</v>
      </c>
      <c r="D173" s="9" t="str">
        <f t="shared" si="12"/>
        <v>汉族</v>
      </c>
      <c r="E173" s="9" t="str">
        <f>"20220010621"</f>
        <v>20220010621</v>
      </c>
      <c r="F173" s="9">
        <v>68</v>
      </c>
      <c r="G173" s="9"/>
      <c r="H173" s="9">
        <f t="shared" si="10"/>
        <v>68</v>
      </c>
    </row>
    <row r="174" spans="1:8" s="13" customFormat="1" ht="24.75" customHeight="1">
      <c r="A174" s="9">
        <v>172</v>
      </c>
      <c r="B174" s="9" t="str">
        <f>"陈璐"</f>
        <v>陈璐</v>
      </c>
      <c r="C174" s="9" t="str">
        <f t="shared" si="9"/>
        <v>女</v>
      </c>
      <c r="D174" s="9" t="str">
        <f t="shared" si="12"/>
        <v>汉族</v>
      </c>
      <c r="E174" s="9" t="str">
        <f>"20220010622"</f>
        <v>20220010622</v>
      </c>
      <c r="F174" s="9">
        <v>39</v>
      </c>
      <c r="G174" s="9"/>
      <c r="H174" s="9">
        <f t="shared" si="10"/>
        <v>39</v>
      </c>
    </row>
    <row r="175" spans="1:8" s="13" customFormat="1" ht="24.75" customHeight="1">
      <c r="A175" s="9">
        <v>173</v>
      </c>
      <c r="B175" s="9" t="str">
        <f>"乌日勒格"</f>
        <v>乌日勒格</v>
      </c>
      <c r="C175" s="9" t="str">
        <f t="shared" si="9"/>
        <v>女</v>
      </c>
      <c r="D175" s="9" t="str">
        <f>"蒙古族"</f>
        <v>蒙古族</v>
      </c>
      <c r="E175" s="9" t="str">
        <f>"20220010623"</f>
        <v>20220010623</v>
      </c>
      <c r="F175" s="9">
        <v>42</v>
      </c>
      <c r="G175" s="9">
        <v>2.5</v>
      </c>
      <c r="H175" s="9">
        <f t="shared" si="10"/>
        <v>44.5</v>
      </c>
    </row>
    <row r="176" spans="1:8" s="13" customFormat="1" ht="24.75" customHeight="1">
      <c r="A176" s="9">
        <v>174</v>
      </c>
      <c r="B176" s="9" t="str">
        <f>"王雅亭"</f>
        <v>王雅亭</v>
      </c>
      <c r="C176" s="9" t="str">
        <f t="shared" si="9"/>
        <v>女</v>
      </c>
      <c r="D176" s="9" t="str">
        <f aca="true" t="shared" si="13" ref="D176:D193">"汉族"</f>
        <v>汉族</v>
      </c>
      <c r="E176" s="9" t="str">
        <f>"20220010624"</f>
        <v>20220010624</v>
      </c>
      <c r="F176" s="9">
        <v>34</v>
      </c>
      <c r="G176" s="9"/>
      <c r="H176" s="9">
        <f t="shared" si="10"/>
        <v>34</v>
      </c>
    </row>
    <row r="177" spans="1:8" s="13" customFormat="1" ht="24.75" customHeight="1">
      <c r="A177" s="9">
        <v>175</v>
      </c>
      <c r="B177" s="9" t="str">
        <f>"郭昊田"</f>
        <v>郭昊田</v>
      </c>
      <c r="C177" s="9" t="str">
        <f t="shared" si="9"/>
        <v>女</v>
      </c>
      <c r="D177" s="9" t="str">
        <f t="shared" si="13"/>
        <v>汉族</v>
      </c>
      <c r="E177" s="9" t="str">
        <f>"20220010625"</f>
        <v>20220010625</v>
      </c>
      <c r="F177" s="9">
        <v>56</v>
      </c>
      <c r="G177" s="9"/>
      <c r="H177" s="9">
        <f t="shared" si="10"/>
        <v>56</v>
      </c>
    </row>
    <row r="178" spans="1:8" s="13" customFormat="1" ht="24.75" customHeight="1">
      <c r="A178" s="9">
        <v>176</v>
      </c>
      <c r="B178" s="9" t="str">
        <f>"贺晔东"</f>
        <v>贺晔东</v>
      </c>
      <c r="C178" s="9" t="str">
        <f t="shared" si="9"/>
        <v>女</v>
      </c>
      <c r="D178" s="9" t="str">
        <f t="shared" si="13"/>
        <v>汉族</v>
      </c>
      <c r="E178" s="9" t="str">
        <f>"20220010626"</f>
        <v>20220010626</v>
      </c>
      <c r="F178" s="9">
        <v>70</v>
      </c>
      <c r="G178" s="9"/>
      <c r="H178" s="9">
        <f t="shared" si="10"/>
        <v>70</v>
      </c>
    </row>
    <row r="179" spans="1:8" s="13" customFormat="1" ht="24.75" customHeight="1">
      <c r="A179" s="9">
        <v>177</v>
      </c>
      <c r="B179" s="9" t="str">
        <f>"张晓华"</f>
        <v>张晓华</v>
      </c>
      <c r="C179" s="9" t="str">
        <f t="shared" si="9"/>
        <v>女</v>
      </c>
      <c r="D179" s="9" t="str">
        <f t="shared" si="13"/>
        <v>汉族</v>
      </c>
      <c r="E179" s="9" t="str">
        <f>"20220010627"</f>
        <v>20220010627</v>
      </c>
      <c r="F179" s="9">
        <v>0</v>
      </c>
      <c r="G179" s="9"/>
      <c r="H179" s="9">
        <f t="shared" si="10"/>
        <v>0</v>
      </c>
    </row>
    <row r="180" spans="1:8" s="13" customFormat="1" ht="24.75" customHeight="1">
      <c r="A180" s="9">
        <v>178</v>
      </c>
      <c r="B180" s="9" t="str">
        <f>"乔馨乐"</f>
        <v>乔馨乐</v>
      </c>
      <c r="C180" s="9" t="str">
        <f t="shared" si="9"/>
        <v>女</v>
      </c>
      <c r="D180" s="9" t="str">
        <f t="shared" si="13"/>
        <v>汉族</v>
      </c>
      <c r="E180" s="9" t="str">
        <f>"20220010628"</f>
        <v>20220010628</v>
      </c>
      <c r="F180" s="9">
        <v>57</v>
      </c>
      <c r="G180" s="9"/>
      <c r="H180" s="9">
        <f t="shared" si="10"/>
        <v>57</v>
      </c>
    </row>
    <row r="181" spans="1:8" s="13" customFormat="1" ht="24.75" customHeight="1">
      <c r="A181" s="9">
        <v>179</v>
      </c>
      <c r="B181" s="9" t="str">
        <f>"高慧"</f>
        <v>高慧</v>
      </c>
      <c r="C181" s="9" t="str">
        <f t="shared" si="9"/>
        <v>女</v>
      </c>
      <c r="D181" s="9" t="str">
        <f t="shared" si="13"/>
        <v>汉族</v>
      </c>
      <c r="E181" s="9" t="str">
        <f>"20220010629"</f>
        <v>20220010629</v>
      </c>
      <c r="F181" s="9">
        <v>58</v>
      </c>
      <c r="G181" s="9"/>
      <c r="H181" s="9">
        <f t="shared" si="10"/>
        <v>58</v>
      </c>
    </row>
    <row r="182" spans="1:8" s="13" customFormat="1" ht="24.75" customHeight="1">
      <c r="A182" s="9">
        <v>180</v>
      </c>
      <c r="B182" s="9" t="str">
        <f>"武晓琦"</f>
        <v>武晓琦</v>
      </c>
      <c r="C182" s="9" t="str">
        <f t="shared" si="9"/>
        <v>女</v>
      </c>
      <c r="D182" s="9" t="str">
        <f t="shared" si="13"/>
        <v>汉族</v>
      </c>
      <c r="E182" s="9" t="str">
        <f>"20220010630"</f>
        <v>20220010630</v>
      </c>
      <c r="F182" s="9">
        <v>58</v>
      </c>
      <c r="G182" s="9"/>
      <c r="H182" s="9">
        <f t="shared" si="10"/>
        <v>58</v>
      </c>
    </row>
    <row r="183" spans="1:8" s="13" customFormat="1" ht="24.75" customHeight="1">
      <c r="A183" s="9">
        <v>181</v>
      </c>
      <c r="B183" s="9" t="str">
        <f>"连婷"</f>
        <v>连婷</v>
      </c>
      <c r="C183" s="9" t="str">
        <f t="shared" si="9"/>
        <v>女</v>
      </c>
      <c r="D183" s="9" t="str">
        <f t="shared" si="13"/>
        <v>汉族</v>
      </c>
      <c r="E183" s="9" t="str">
        <f>"20220010701"</f>
        <v>20220010701</v>
      </c>
      <c r="F183" s="9">
        <v>50</v>
      </c>
      <c r="G183" s="9"/>
      <c r="H183" s="9">
        <f t="shared" si="10"/>
        <v>50</v>
      </c>
    </row>
    <row r="184" spans="1:8" s="13" customFormat="1" ht="24.75" customHeight="1">
      <c r="A184" s="9">
        <v>182</v>
      </c>
      <c r="B184" s="9" t="str">
        <f>"吕晓慧"</f>
        <v>吕晓慧</v>
      </c>
      <c r="C184" s="9" t="str">
        <f t="shared" si="9"/>
        <v>女</v>
      </c>
      <c r="D184" s="9" t="str">
        <f t="shared" si="13"/>
        <v>汉族</v>
      </c>
      <c r="E184" s="9" t="str">
        <f>"20220010702"</f>
        <v>20220010702</v>
      </c>
      <c r="F184" s="9">
        <v>47</v>
      </c>
      <c r="G184" s="9"/>
      <c r="H184" s="9">
        <f t="shared" si="10"/>
        <v>47</v>
      </c>
    </row>
    <row r="185" spans="1:8" s="13" customFormat="1" ht="24.75" customHeight="1">
      <c r="A185" s="9">
        <v>183</v>
      </c>
      <c r="B185" s="9" t="str">
        <f>"王春景"</f>
        <v>王春景</v>
      </c>
      <c r="C185" s="9" t="str">
        <f t="shared" si="9"/>
        <v>女</v>
      </c>
      <c r="D185" s="9" t="str">
        <f t="shared" si="13"/>
        <v>汉族</v>
      </c>
      <c r="E185" s="9" t="str">
        <f>"20220010703"</f>
        <v>20220010703</v>
      </c>
      <c r="F185" s="9">
        <v>34</v>
      </c>
      <c r="G185" s="9"/>
      <c r="H185" s="9">
        <f t="shared" si="10"/>
        <v>34</v>
      </c>
    </row>
    <row r="186" spans="1:8" s="13" customFormat="1" ht="24.75" customHeight="1">
      <c r="A186" s="9">
        <v>184</v>
      </c>
      <c r="B186" s="9" t="str">
        <f>"高雨青"</f>
        <v>高雨青</v>
      </c>
      <c r="C186" s="9" t="str">
        <f t="shared" si="9"/>
        <v>女</v>
      </c>
      <c r="D186" s="9" t="str">
        <f t="shared" si="13"/>
        <v>汉族</v>
      </c>
      <c r="E186" s="9" t="str">
        <f>"20220010704"</f>
        <v>20220010704</v>
      </c>
      <c r="F186" s="9">
        <v>0</v>
      </c>
      <c r="G186" s="9"/>
      <c r="H186" s="9">
        <f t="shared" si="10"/>
        <v>0</v>
      </c>
    </row>
    <row r="187" spans="1:8" s="13" customFormat="1" ht="24.75" customHeight="1">
      <c r="A187" s="9">
        <v>185</v>
      </c>
      <c r="B187" s="9" t="str">
        <f>"王慧"</f>
        <v>王慧</v>
      </c>
      <c r="C187" s="9" t="str">
        <f t="shared" si="9"/>
        <v>女</v>
      </c>
      <c r="D187" s="9" t="str">
        <f t="shared" si="13"/>
        <v>汉族</v>
      </c>
      <c r="E187" s="9" t="str">
        <f>"20220010705"</f>
        <v>20220010705</v>
      </c>
      <c r="F187" s="9">
        <v>36</v>
      </c>
      <c r="G187" s="9"/>
      <c r="H187" s="9">
        <f t="shared" si="10"/>
        <v>36</v>
      </c>
    </row>
    <row r="188" spans="1:8" s="13" customFormat="1" ht="24.75" customHeight="1">
      <c r="A188" s="9">
        <v>186</v>
      </c>
      <c r="B188" s="9" t="str">
        <f>"任曼榕"</f>
        <v>任曼榕</v>
      </c>
      <c r="C188" s="9" t="str">
        <f t="shared" si="9"/>
        <v>女</v>
      </c>
      <c r="D188" s="9" t="str">
        <f t="shared" si="13"/>
        <v>汉族</v>
      </c>
      <c r="E188" s="9" t="str">
        <f>"20220010706"</f>
        <v>20220010706</v>
      </c>
      <c r="F188" s="9">
        <v>0</v>
      </c>
      <c r="G188" s="9"/>
      <c r="H188" s="9">
        <f t="shared" si="10"/>
        <v>0</v>
      </c>
    </row>
    <row r="189" spans="1:8" s="13" customFormat="1" ht="24.75" customHeight="1">
      <c r="A189" s="9">
        <v>187</v>
      </c>
      <c r="B189" s="9" t="str">
        <f>"王晓芳"</f>
        <v>王晓芳</v>
      </c>
      <c r="C189" s="9" t="str">
        <f t="shared" si="9"/>
        <v>女</v>
      </c>
      <c r="D189" s="9" t="str">
        <f t="shared" si="13"/>
        <v>汉族</v>
      </c>
      <c r="E189" s="9" t="str">
        <f>"20220010707"</f>
        <v>20220010707</v>
      </c>
      <c r="F189" s="9">
        <v>58</v>
      </c>
      <c r="G189" s="9"/>
      <c r="H189" s="9">
        <f t="shared" si="10"/>
        <v>58</v>
      </c>
    </row>
    <row r="190" spans="1:8" s="13" customFormat="1" ht="24.75" customHeight="1">
      <c r="A190" s="9">
        <v>188</v>
      </c>
      <c r="B190" s="9" t="str">
        <f>"孙月"</f>
        <v>孙月</v>
      </c>
      <c r="C190" s="9" t="str">
        <f t="shared" si="9"/>
        <v>女</v>
      </c>
      <c r="D190" s="9" t="str">
        <f t="shared" si="13"/>
        <v>汉族</v>
      </c>
      <c r="E190" s="9" t="str">
        <f>"20220010708"</f>
        <v>20220010708</v>
      </c>
      <c r="F190" s="9">
        <v>63</v>
      </c>
      <c r="G190" s="9"/>
      <c r="H190" s="9">
        <f t="shared" si="10"/>
        <v>63</v>
      </c>
    </row>
    <row r="191" spans="1:8" s="13" customFormat="1" ht="24.75" customHeight="1">
      <c r="A191" s="9">
        <v>189</v>
      </c>
      <c r="B191" s="9" t="str">
        <f>"高露"</f>
        <v>高露</v>
      </c>
      <c r="C191" s="9" t="str">
        <f t="shared" si="9"/>
        <v>女</v>
      </c>
      <c r="D191" s="9" t="str">
        <f t="shared" si="13"/>
        <v>汉族</v>
      </c>
      <c r="E191" s="9" t="str">
        <f>"20220010709"</f>
        <v>20220010709</v>
      </c>
      <c r="F191" s="9">
        <v>49</v>
      </c>
      <c r="G191" s="9"/>
      <c r="H191" s="9">
        <f t="shared" si="10"/>
        <v>49</v>
      </c>
    </row>
    <row r="192" spans="1:8" s="13" customFormat="1" ht="24.75" customHeight="1">
      <c r="A192" s="9">
        <v>190</v>
      </c>
      <c r="B192" s="9" t="str">
        <f>"王瑜芹"</f>
        <v>王瑜芹</v>
      </c>
      <c r="C192" s="9" t="str">
        <f t="shared" si="9"/>
        <v>女</v>
      </c>
      <c r="D192" s="9" t="str">
        <f t="shared" si="13"/>
        <v>汉族</v>
      </c>
      <c r="E192" s="9" t="str">
        <f>"20220010710"</f>
        <v>20220010710</v>
      </c>
      <c r="F192" s="9">
        <v>58</v>
      </c>
      <c r="G192" s="9"/>
      <c r="H192" s="9">
        <f t="shared" si="10"/>
        <v>58</v>
      </c>
    </row>
    <row r="193" spans="1:8" s="13" customFormat="1" ht="24.75" customHeight="1">
      <c r="A193" s="9">
        <v>191</v>
      </c>
      <c r="B193" s="9" t="str">
        <f>"訾环宇"</f>
        <v>訾环宇</v>
      </c>
      <c r="C193" s="9" t="str">
        <f t="shared" si="9"/>
        <v>女</v>
      </c>
      <c r="D193" s="9" t="str">
        <f t="shared" si="13"/>
        <v>汉族</v>
      </c>
      <c r="E193" s="9" t="str">
        <f>"20220010711"</f>
        <v>20220010711</v>
      </c>
      <c r="F193" s="9">
        <v>38</v>
      </c>
      <c r="G193" s="9"/>
      <c r="H193" s="9">
        <f t="shared" si="10"/>
        <v>38</v>
      </c>
    </row>
    <row r="194" spans="1:8" s="13" customFormat="1" ht="24.75" customHeight="1">
      <c r="A194" s="9">
        <v>192</v>
      </c>
      <c r="B194" s="9" t="str">
        <f>"徐晨"</f>
        <v>徐晨</v>
      </c>
      <c r="C194" s="9" t="str">
        <f t="shared" si="9"/>
        <v>女</v>
      </c>
      <c r="D194" s="9" t="str">
        <f>"蒙古族"</f>
        <v>蒙古族</v>
      </c>
      <c r="E194" s="9" t="str">
        <f>"20220010712"</f>
        <v>20220010712</v>
      </c>
      <c r="F194" s="9">
        <v>60</v>
      </c>
      <c r="G194" s="9">
        <v>2.5</v>
      </c>
      <c r="H194" s="9">
        <f t="shared" si="10"/>
        <v>62.5</v>
      </c>
    </row>
    <row r="195" spans="1:8" s="13" customFormat="1" ht="24.75" customHeight="1">
      <c r="A195" s="9">
        <v>193</v>
      </c>
      <c r="B195" s="9" t="str">
        <f>"孟凡伶"</f>
        <v>孟凡伶</v>
      </c>
      <c r="C195" s="9" t="str">
        <f aca="true" t="shared" si="14" ref="C195:C258">"女"</f>
        <v>女</v>
      </c>
      <c r="D195" s="9" t="str">
        <f aca="true" t="shared" si="15" ref="D195:D220">"汉族"</f>
        <v>汉族</v>
      </c>
      <c r="E195" s="9" t="str">
        <f>"20220010713"</f>
        <v>20220010713</v>
      </c>
      <c r="F195" s="9">
        <v>38</v>
      </c>
      <c r="G195" s="9"/>
      <c r="H195" s="9">
        <f aca="true" t="shared" si="16" ref="H195:H258">F195+G195</f>
        <v>38</v>
      </c>
    </row>
    <row r="196" spans="1:8" s="13" customFormat="1" ht="24.75" customHeight="1">
      <c r="A196" s="9">
        <v>194</v>
      </c>
      <c r="B196" s="9" t="str">
        <f>"赵洁"</f>
        <v>赵洁</v>
      </c>
      <c r="C196" s="9" t="str">
        <f t="shared" si="14"/>
        <v>女</v>
      </c>
      <c r="D196" s="9" t="str">
        <f t="shared" si="15"/>
        <v>汉族</v>
      </c>
      <c r="E196" s="9" t="str">
        <f>"20220010714"</f>
        <v>20220010714</v>
      </c>
      <c r="F196" s="9">
        <v>0</v>
      </c>
      <c r="G196" s="9"/>
      <c r="H196" s="9">
        <f t="shared" si="16"/>
        <v>0</v>
      </c>
    </row>
    <row r="197" spans="1:8" s="13" customFormat="1" ht="24.75" customHeight="1">
      <c r="A197" s="9">
        <v>195</v>
      </c>
      <c r="B197" s="9" t="str">
        <f>"高杰"</f>
        <v>高杰</v>
      </c>
      <c r="C197" s="9" t="str">
        <f t="shared" si="14"/>
        <v>女</v>
      </c>
      <c r="D197" s="9" t="str">
        <f t="shared" si="15"/>
        <v>汉族</v>
      </c>
      <c r="E197" s="9" t="str">
        <f>"20220010715"</f>
        <v>20220010715</v>
      </c>
      <c r="F197" s="9">
        <v>0</v>
      </c>
      <c r="G197" s="9"/>
      <c r="H197" s="9">
        <f t="shared" si="16"/>
        <v>0</v>
      </c>
    </row>
    <row r="198" spans="1:8" s="13" customFormat="1" ht="24.75" customHeight="1">
      <c r="A198" s="9">
        <v>196</v>
      </c>
      <c r="B198" s="9" t="str">
        <f>"张志英"</f>
        <v>张志英</v>
      </c>
      <c r="C198" s="9" t="str">
        <f t="shared" si="14"/>
        <v>女</v>
      </c>
      <c r="D198" s="9" t="str">
        <f t="shared" si="15"/>
        <v>汉族</v>
      </c>
      <c r="E198" s="9" t="str">
        <f>"20220010716"</f>
        <v>20220010716</v>
      </c>
      <c r="F198" s="9">
        <v>63</v>
      </c>
      <c r="G198" s="9"/>
      <c r="H198" s="9">
        <f t="shared" si="16"/>
        <v>63</v>
      </c>
    </row>
    <row r="199" spans="1:8" s="13" customFormat="1" ht="24.75" customHeight="1">
      <c r="A199" s="9">
        <v>197</v>
      </c>
      <c r="B199" s="9" t="str">
        <f>"白春霞"</f>
        <v>白春霞</v>
      </c>
      <c r="C199" s="9" t="str">
        <f t="shared" si="14"/>
        <v>女</v>
      </c>
      <c r="D199" s="9" t="str">
        <f t="shared" si="15"/>
        <v>汉族</v>
      </c>
      <c r="E199" s="9" t="str">
        <f>"20220010717"</f>
        <v>20220010717</v>
      </c>
      <c r="F199" s="9">
        <v>0</v>
      </c>
      <c r="G199" s="9"/>
      <c r="H199" s="9">
        <f t="shared" si="16"/>
        <v>0</v>
      </c>
    </row>
    <row r="200" spans="1:8" s="13" customFormat="1" ht="24.75" customHeight="1">
      <c r="A200" s="9">
        <v>198</v>
      </c>
      <c r="B200" s="9" t="str">
        <f>"苏愿"</f>
        <v>苏愿</v>
      </c>
      <c r="C200" s="9" t="str">
        <f t="shared" si="14"/>
        <v>女</v>
      </c>
      <c r="D200" s="9" t="str">
        <f t="shared" si="15"/>
        <v>汉族</v>
      </c>
      <c r="E200" s="9" t="str">
        <f>"20220010718"</f>
        <v>20220010718</v>
      </c>
      <c r="F200" s="9">
        <v>68</v>
      </c>
      <c r="G200" s="9"/>
      <c r="H200" s="9">
        <f t="shared" si="16"/>
        <v>68</v>
      </c>
    </row>
    <row r="201" spans="1:8" s="13" customFormat="1" ht="24.75" customHeight="1">
      <c r="A201" s="9">
        <v>199</v>
      </c>
      <c r="B201" s="9" t="str">
        <f>"马嘉悦"</f>
        <v>马嘉悦</v>
      </c>
      <c r="C201" s="9" t="str">
        <f t="shared" si="14"/>
        <v>女</v>
      </c>
      <c r="D201" s="9" t="str">
        <f t="shared" si="15"/>
        <v>汉族</v>
      </c>
      <c r="E201" s="9" t="str">
        <f>"20220010719"</f>
        <v>20220010719</v>
      </c>
      <c r="F201" s="9">
        <v>48</v>
      </c>
      <c r="G201" s="9"/>
      <c r="H201" s="9">
        <f t="shared" si="16"/>
        <v>48</v>
      </c>
    </row>
    <row r="202" spans="1:8" s="13" customFormat="1" ht="24.75" customHeight="1">
      <c r="A202" s="9">
        <v>200</v>
      </c>
      <c r="B202" s="9" t="str">
        <f>"刘佳慧"</f>
        <v>刘佳慧</v>
      </c>
      <c r="C202" s="9" t="str">
        <f t="shared" si="14"/>
        <v>女</v>
      </c>
      <c r="D202" s="9" t="str">
        <f t="shared" si="15"/>
        <v>汉族</v>
      </c>
      <c r="E202" s="9" t="str">
        <f>"20220010720"</f>
        <v>20220010720</v>
      </c>
      <c r="F202" s="9">
        <v>31</v>
      </c>
      <c r="G202" s="9"/>
      <c r="H202" s="9">
        <f t="shared" si="16"/>
        <v>31</v>
      </c>
    </row>
    <row r="203" spans="1:8" s="13" customFormat="1" ht="24.75" customHeight="1">
      <c r="A203" s="9">
        <v>201</v>
      </c>
      <c r="B203" s="9" t="str">
        <f>"辛慧"</f>
        <v>辛慧</v>
      </c>
      <c r="C203" s="9" t="str">
        <f t="shared" si="14"/>
        <v>女</v>
      </c>
      <c r="D203" s="9" t="str">
        <f t="shared" si="15"/>
        <v>汉族</v>
      </c>
      <c r="E203" s="9" t="str">
        <f>"20220010721"</f>
        <v>20220010721</v>
      </c>
      <c r="F203" s="9">
        <v>74</v>
      </c>
      <c r="G203" s="9"/>
      <c r="H203" s="9">
        <f t="shared" si="16"/>
        <v>74</v>
      </c>
    </row>
    <row r="204" spans="1:8" s="13" customFormat="1" ht="24.75" customHeight="1">
      <c r="A204" s="9">
        <v>202</v>
      </c>
      <c r="B204" s="9" t="str">
        <f>"郝静"</f>
        <v>郝静</v>
      </c>
      <c r="C204" s="9" t="str">
        <f t="shared" si="14"/>
        <v>女</v>
      </c>
      <c r="D204" s="9" t="str">
        <f t="shared" si="15"/>
        <v>汉族</v>
      </c>
      <c r="E204" s="9" t="str">
        <f>"20220010722"</f>
        <v>20220010722</v>
      </c>
      <c r="F204" s="9">
        <v>31</v>
      </c>
      <c r="G204" s="9"/>
      <c r="H204" s="9">
        <f t="shared" si="16"/>
        <v>31</v>
      </c>
    </row>
    <row r="205" spans="1:8" s="13" customFormat="1" ht="24.75" customHeight="1">
      <c r="A205" s="9">
        <v>203</v>
      </c>
      <c r="B205" s="9" t="str">
        <f>"孙悦"</f>
        <v>孙悦</v>
      </c>
      <c r="C205" s="9" t="str">
        <f t="shared" si="14"/>
        <v>女</v>
      </c>
      <c r="D205" s="9" t="str">
        <f t="shared" si="15"/>
        <v>汉族</v>
      </c>
      <c r="E205" s="9" t="str">
        <f>"20220010723"</f>
        <v>20220010723</v>
      </c>
      <c r="F205" s="9">
        <v>48</v>
      </c>
      <c r="G205" s="9"/>
      <c r="H205" s="9">
        <f t="shared" si="16"/>
        <v>48</v>
      </c>
    </row>
    <row r="206" spans="1:8" s="13" customFormat="1" ht="24.75" customHeight="1">
      <c r="A206" s="9">
        <v>204</v>
      </c>
      <c r="B206" s="9" t="str">
        <f>"闫婧楠"</f>
        <v>闫婧楠</v>
      </c>
      <c r="C206" s="9" t="str">
        <f t="shared" si="14"/>
        <v>女</v>
      </c>
      <c r="D206" s="9" t="str">
        <f t="shared" si="15"/>
        <v>汉族</v>
      </c>
      <c r="E206" s="9" t="str">
        <f>"20220010724"</f>
        <v>20220010724</v>
      </c>
      <c r="F206" s="9">
        <v>74</v>
      </c>
      <c r="G206" s="9"/>
      <c r="H206" s="9">
        <f t="shared" si="16"/>
        <v>74</v>
      </c>
    </row>
    <row r="207" spans="1:8" s="13" customFormat="1" ht="24.75" customHeight="1">
      <c r="A207" s="9">
        <v>205</v>
      </c>
      <c r="B207" s="9" t="str">
        <f>"刘雁香"</f>
        <v>刘雁香</v>
      </c>
      <c r="C207" s="9" t="str">
        <f t="shared" si="14"/>
        <v>女</v>
      </c>
      <c r="D207" s="9" t="str">
        <f t="shared" si="15"/>
        <v>汉族</v>
      </c>
      <c r="E207" s="9" t="str">
        <f>"20220010725"</f>
        <v>20220010725</v>
      </c>
      <c r="F207" s="9">
        <v>66</v>
      </c>
      <c r="G207" s="9"/>
      <c r="H207" s="9">
        <f t="shared" si="16"/>
        <v>66</v>
      </c>
    </row>
    <row r="208" spans="1:8" s="13" customFormat="1" ht="24.75" customHeight="1">
      <c r="A208" s="9">
        <v>206</v>
      </c>
      <c r="B208" s="9" t="str">
        <f>"刘凤英"</f>
        <v>刘凤英</v>
      </c>
      <c r="C208" s="9" t="str">
        <f t="shared" si="14"/>
        <v>女</v>
      </c>
      <c r="D208" s="9" t="str">
        <f t="shared" si="15"/>
        <v>汉族</v>
      </c>
      <c r="E208" s="9" t="str">
        <f>"20220010726"</f>
        <v>20220010726</v>
      </c>
      <c r="F208" s="9">
        <v>59</v>
      </c>
      <c r="G208" s="9"/>
      <c r="H208" s="9">
        <f t="shared" si="16"/>
        <v>59</v>
      </c>
    </row>
    <row r="209" spans="1:8" s="13" customFormat="1" ht="24.75" customHeight="1">
      <c r="A209" s="9">
        <v>207</v>
      </c>
      <c r="B209" s="9" t="str">
        <f>"徐丽"</f>
        <v>徐丽</v>
      </c>
      <c r="C209" s="9" t="str">
        <f t="shared" si="14"/>
        <v>女</v>
      </c>
      <c r="D209" s="9" t="str">
        <f t="shared" si="15"/>
        <v>汉族</v>
      </c>
      <c r="E209" s="9" t="str">
        <f>"20220010727"</f>
        <v>20220010727</v>
      </c>
      <c r="F209" s="9">
        <v>66</v>
      </c>
      <c r="G209" s="9"/>
      <c r="H209" s="9">
        <f t="shared" si="16"/>
        <v>66</v>
      </c>
    </row>
    <row r="210" spans="1:8" s="13" customFormat="1" ht="24.75" customHeight="1">
      <c r="A210" s="9">
        <v>208</v>
      </c>
      <c r="B210" s="9" t="str">
        <f>"屈晓雪"</f>
        <v>屈晓雪</v>
      </c>
      <c r="C210" s="9" t="str">
        <f t="shared" si="14"/>
        <v>女</v>
      </c>
      <c r="D210" s="9" t="str">
        <f t="shared" si="15"/>
        <v>汉族</v>
      </c>
      <c r="E210" s="9" t="str">
        <f>"20220010728"</f>
        <v>20220010728</v>
      </c>
      <c r="F210" s="9">
        <v>62</v>
      </c>
      <c r="G210" s="9"/>
      <c r="H210" s="9">
        <f t="shared" si="16"/>
        <v>62</v>
      </c>
    </row>
    <row r="211" spans="1:8" s="13" customFormat="1" ht="24.75" customHeight="1">
      <c r="A211" s="9">
        <v>209</v>
      </c>
      <c r="B211" s="9" t="str">
        <f>"王泽瑀"</f>
        <v>王泽瑀</v>
      </c>
      <c r="C211" s="9" t="str">
        <f t="shared" si="14"/>
        <v>女</v>
      </c>
      <c r="D211" s="9" t="str">
        <f t="shared" si="15"/>
        <v>汉族</v>
      </c>
      <c r="E211" s="9" t="str">
        <f>"20220010729"</f>
        <v>20220010729</v>
      </c>
      <c r="F211" s="9">
        <v>56</v>
      </c>
      <c r="G211" s="9"/>
      <c r="H211" s="9">
        <f t="shared" si="16"/>
        <v>56</v>
      </c>
    </row>
    <row r="212" spans="1:8" s="13" customFormat="1" ht="24.75" customHeight="1">
      <c r="A212" s="9">
        <v>210</v>
      </c>
      <c r="B212" s="9" t="str">
        <f>"郝娜"</f>
        <v>郝娜</v>
      </c>
      <c r="C212" s="9" t="str">
        <f t="shared" si="14"/>
        <v>女</v>
      </c>
      <c r="D212" s="9" t="str">
        <f t="shared" si="15"/>
        <v>汉族</v>
      </c>
      <c r="E212" s="9" t="str">
        <f>"20220010730"</f>
        <v>20220010730</v>
      </c>
      <c r="F212" s="9">
        <v>63</v>
      </c>
      <c r="G212" s="9"/>
      <c r="H212" s="9">
        <f t="shared" si="16"/>
        <v>63</v>
      </c>
    </row>
    <row r="213" spans="1:8" s="13" customFormat="1" ht="24.75" customHeight="1">
      <c r="A213" s="9">
        <v>211</v>
      </c>
      <c r="B213" s="9" t="str">
        <f>"郜晓乐"</f>
        <v>郜晓乐</v>
      </c>
      <c r="C213" s="9" t="str">
        <f t="shared" si="14"/>
        <v>女</v>
      </c>
      <c r="D213" s="9" t="str">
        <f t="shared" si="15"/>
        <v>汉族</v>
      </c>
      <c r="E213" s="9" t="str">
        <f>"20220010801"</f>
        <v>20220010801</v>
      </c>
      <c r="F213" s="9">
        <v>49</v>
      </c>
      <c r="G213" s="9"/>
      <c r="H213" s="9">
        <f t="shared" si="16"/>
        <v>49</v>
      </c>
    </row>
    <row r="214" spans="1:8" s="13" customFormat="1" ht="24.75" customHeight="1">
      <c r="A214" s="9">
        <v>212</v>
      </c>
      <c r="B214" s="9" t="str">
        <f>"曹舒月"</f>
        <v>曹舒月</v>
      </c>
      <c r="C214" s="9" t="str">
        <f t="shared" si="14"/>
        <v>女</v>
      </c>
      <c r="D214" s="9" t="str">
        <f t="shared" si="15"/>
        <v>汉族</v>
      </c>
      <c r="E214" s="9" t="str">
        <f>"20220010802"</f>
        <v>20220010802</v>
      </c>
      <c r="F214" s="9">
        <v>57</v>
      </c>
      <c r="G214" s="9"/>
      <c r="H214" s="9">
        <f t="shared" si="16"/>
        <v>57</v>
      </c>
    </row>
    <row r="215" spans="1:8" s="13" customFormat="1" ht="24.75" customHeight="1">
      <c r="A215" s="9">
        <v>213</v>
      </c>
      <c r="B215" s="9" t="str">
        <f>"李懿纾"</f>
        <v>李懿纾</v>
      </c>
      <c r="C215" s="9" t="str">
        <f t="shared" si="14"/>
        <v>女</v>
      </c>
      <c r="D215" s="9" t="str">
        <f t="shared" si="15"/>
        <v>汉族</v>
      </c>
      <c r="E215" s="9" t="str">
        <f>"20220010803"</f>
        <v>20220010803</v>
      </c>
      <c r="F215" s="9">
        <v>41</v>
      </c>
      <c r="G215" s="9"/>
      <c r="H215" s="9">
        <f t="shared" si="16"/>
        <v>41</v>
      </c>
    </row>
    <row r="216" spans="1:8" s="13" customFormat="1" ht="24.75" customHeight="1">
      <c r="A216" s="9">
        <v>214</v>
      </c>
      <c r="B216" s="9" t="str">
        <f>"张雅茹"</f>
        <v>张雅茹</v>
      </c>
      <c r="C216" s="9" t="str">
        <f t="shared" si="14"/>
        <v>女</v>
      </c>
      <c r="D216" s="9" t="str">
        <f t="shared" si="15"/>
        <v>汉族</v>
      </c>
      <c r="E216" s="9" t="str">
        <f>"20220010804"</f>
        <v>20220010804</v>
      </c>
      <c r="F216" s="9">
        <v>0</v>
      </c>
      <c r="G216" s="9"/>
      <c r="H216" s="9">
        <f t="shared" si="16"/>
        <v>0</v>
      </c>
    </row>
    <row r="217" spans="1:8" s="13" customFormat="1" ht="24.75" customHeight="1">
      <c r="A217" s="9">
        <v>215</v>
      </c>
      <c r="B217" s="9" t="str">
        <f>"杜娜"</f>
        <v>杜娜</v>
      </c>
      <c r="C217" s="9" t="str">
        <f t="shared" si="14"/>
        <v>女</v>
      </c>
      <c r="D217" s="9" t="str">
        <f t="shared" si="15"/>
        <v>汉族</v>
      </c>
      <c r="E217" s="9" t="str">
        <f>"20220010805"</f>
        <v>20220010805</v>
      </c>
      <c r="F217" s="9">
        <v>40</v>
      </c>
      <c r="G217" s="9"/>
      <c r="H217" s="9">
        <f t="shared" si="16"/>
        <v>40</v>
      </c>
    </row>
    <row r="218" spans="1:8" s="13" customFormat="1" ht="24.75" customHeight="1">
      <c r="A218" s="9">
        <v>216</v>
      </c>
      <c r="B218" s="9" t="str">
        <f>"王禹娜"</f>
        <v>王禹娜</v>
      </c>
      <c r="C218" s="9" t="str">
        <f t="shared" si="14"/>
        <v>女</v>
      </c>
      <c r="D218" s="9" t="str">
        <f t="shared" si="15"/>
        <v>汉族</v>
      </c>
      <c r="E218" s="9" t="str">
        <f>"20220010806"</f>
        <v>20220010806</v>
      </c>
      <c r="F218" s="9">
        <v>47</v>
      </c>
      <c r="G218" s="9"/>
      <c r="H218" s="9">
        <f t="shared" si="16"/>
        <v>47</v>
      </c>
    </row>
    <row r="219" spans="1:8" s="13" customFormat="1" ht="24.75" customHeight="1">
      <c r="A219" s="9">
        <v>217</v>
      </c>
      <c r="B219" s="9" t="str">
        <f>"冯宇婷"</f>
        <v>冯宇婷</v>
      </c>
      <c r="C219" s="9" t="str">
        <f t="shared" si="14"/>
        <v>女</v>
      </c>
      <c r="D219" s="9" t="str">
        <f t="shared" si="15"/>
        <v>汉族</v>
      </c>
      <c r="E219" s="9" t="str">
        <f>"20220010807"</f>
        <v>20220010807</v>
      </c>
      <c r="F219" s="9">
        <v>40</v>
      </c>
      <c r="G219" s="9"/>
      <c r="H219" s="9">
        <f t="shared" si="16"/>
        <v>40</v>
      </c>
    </row>
    <row r="220" spans="1:8" s="13" customFormat="1" ht="24.75" customHeight="1">
      <c r="A220" s="9">
        <v>218</v>
      </c>
      <c r="B220" s="9" t="str">
        <f>"刘晓兰"</f>
        <v>刘晓兰</v>
      </c>
      <c r="C220" s="9" t="str">
        <f t="shared" si="14"/>
        <v>女</v>
      </c>
      <c r="D220" s="9" t="str">
        <f t="shared" si="15"/>
        <v>汉族</v>
      </c>
      <c r="E220" s="9" t="str">
        <f>"20220010808"</f>
        <v>20220010808</v>
      </c>
      <c r="F220" s="9">
        <v>39</v>
      </c>
      <c r="G220" s="9"/>
      <c r="H220" s="9">
        <f t="shared" si="16"/>
        <v>39</v>
      </c>
    </row>
    <row r="221" spans="1:8" s="13" customFormat="1" ht="24.75" customHeight="1">
      <c r="A221" s="9">
        <v>219</v>
      </c>
      <c r="B221" s="9" t="str">
        <f>"任佳乐"</f>
        <v>任佳乐</v>
      </c>
      <c r="C221" s="9" t="str">
        <f t="shared" si="14"/>
        <v>女</v>
      </c>
      <c r="D221" s="9" t="str">
        <f>"满族"</f>
        <v>满族</v>
      </c>
      <c r="E221" s="9" t="str">
        <f>"20220010809"</f>
        <v>20220010809</v>
      </c>
      <c r="F221" s="9">
        <v>58</v>
      </c>
      <c r="G221" s="9"/>
      <c r="H221" s="9">
        <f t="shared" si="16"/>
        <v>58</v>
      </c>
    </row>
    <row r="222" spans="1:8" s="13" customFormat="1" ht="24.75" customHeight="1">
      <c r="A222" s="9">
        <v>220</v>
      </c>
      <c r="B222" s="9" t="str">
        <f>"刘美辰"</f>
        <v>刘美辰</v>
      </c>
      <c r="C222" s="9" t="str">
        <f t="shared" si="14"/>
        <v>女</v>
      </c>
      <c r="D222" s="9" t="str">
        <f aca="true" t="shared" si="17" ref="D222:D232">"汉族"</f>
        <v>汉族</v>
      </c>
      <c r="E222" s="9" t="str">
        <f>"20220010810"</f>
        <v>20220010810</v>
      </c>
      <c r="F222" s="9">
        <v>39</v>
      </c>
      <c r="G222" s="9"/>
      <c r="H222" s="9">
        <f t="shared" si="16"/>
        <v>39</v>
      </c>
    </row>
    <row r="223" spans="1:8" s="13" customFormat="1" ht="24.75" customHeight="1">
      <c r="A223" s="9">
        <v>221</v>
      </c>
      <c r="B223" s="9" t="str">
        <f>"李品怡"</f>
        <v>李品怡</v>
      </c>
      <c r="C223" s="9" t="str">
        <f t="shared" si="14"/>
        <v>女</v>
      </c>
      <c r="D223" s="9" t="str">
        <f t="shared" si="17"/>
        <v>汉族</v>
      </c>
      <c r="E223" s="9" t="str">
        <f>"20220010811"</f>
        <v>20220010811</v>
      </c>
      <c r="F223" s="9">
        <v>64</v>
      </c>
      <c r="G223" s="9"/>
      <c r="H223" s="9">
        <f t="shared" si="16"/>
        <v>64</v>
      </c>
    </row>
    <row r="224" spans="1:8" s="13" customFormat="1" ht="24.75" customHeight="1">
      <c r="A224" s="9">
        <v>222</v>
      </c>
      <c r="B224" s="9" t="str">
        <f>"谢乐"</f>
        <v>谢乐</v>
      </c>
      <c r="C224" s="9" t="str">
        <f t="shared" si="14"/>
        <v>女</v>
      </c>
      <c r="D224" s="9" t="str">
        <f t="shared" si="17"/>
        <v>汉族</v>
      </c>
      <c r="E224" s="9" t="str">
        <f>"20220010812"</f>
        <v>20220010812</v>
      </c>
      <c r="F224" s="9">
        <v>65</v>
      </c>
      <c r="G224" s="9"/>
      <c r="H224" s="9">
        <f t="shared" si="16"/>
        <v>65</v>
      </c>
    </row>
    <row r="225" spans="1:8" s="13" customFormat="1" ht="24.75" customHeight="1">
      <c r="A225" s="9">
        <v>223</v>
      </c>
      <c r="B225" s="9" t="str">
        <f>"贺琴"</f>
        <v>贺琴</v>
      </c>
      <c r="C225" s="9" t="str">
        <f t="shared" si="14"/>
        <v>女</v>
      </c>
      <c r="D225" s="9" t="str">
        <f t="shared" si="17"/>
        <v>汉族</v>
      </c>
      <c r="E225" s="9" t="str">
        <f>"20220010813"</f>
        <v>20220010813</v>
      </c>
      <c r="F225" s="9">
        <v>33</v>
      </c>
      <c r="G225" s="9"/>
      <c r="H225" s="9">
        <f t="shared" si="16"/>
        <v>33</v>
      </c>
    </row>
    <row r="226" spans="1:8" s="13" customFormat="1" ht="24.75" customHeight="1">
      <c r="A226" s="9">
        <v>224</v>
      </c>
      <c r="B226" s="9" t="str">
        <f>"关雅欣"</f>
        <v>关雅欣</v>
      </c>
      <c r="C226" s="9" t="str">
        <f t="shared" si="14"/>
        <v>女</v>
      </c>
      <c r="D226" s="9" t="str">
        <f t="shared" si="17"/>
        <v>汉族</v>
      </c>
      <c r="E226" s="9" t="str">
        <f>"20220010814"</f>
        <v>20220010814</v>
      </c>
      <c r="F226" s="9">
        <v>76</v>
      </c>
      <c r="G226" s="9"/>
      <c r="H226" s="9">
        <f t="shared" si="16"/>
        <v>76</v>
      </c>
    </row>
    <row r="227" spans="1:8" s="13" customFormat="1" ht="24.75" customHeight="1">
      <c r="A227" s="9">
        <v>225</v>
      </c>
      <c r="B227" s="9" t="str">
        <f>"李晓悦"</f>
        <v>李晓悦</v>
      </c>
      <c r="C227" s="9" t="str">
        <f t="shared" si="14"/>
        <v>女</v>
      </c>
      <c r="D227" s="9" t="str">
        <f t="shared" si="17"/>
        <v>汉族</v>
      </c>
      <c r="E227" s="9" t="str">
        <f>"20220010815"</f>
        <v>20220010815</v>
      </c>
      <c r="F227" s="9">
        <v>59</v>
      </c>
      <c r="G227" s="9"/>
      <c r="H227" s="9">
        <f t="shared" si="16"/>
        <v>59</v>
      </c>
    </row>
    <row r="228" spans="1:8" s="13" customFormat="1" ht="24.75" customHeight="1">
      <c r="A228" s="9">
        <v>226</v>
      </c>
      <c r="B228" s="9" t="str">
        <f>"刘璐"</f>
        <v>刘璐</v>
      </c>
      <c r="C228" s="9" t="str">
        <f t="shared" si="14"/>
        <v>女</v>
      </c>
      <c r="D228" s="9" t="str">
        <f t="shared" si="17"/>
        <v>汉族</v>
      </c>
      <c r="E228" s="9" t="str">
        <f>"20220010816"</f>
        <v>20220010816</v>
      </c>
      <c r="F228" s="9">
        <v>48</v>
      </c>
      <c r="G228" s="9"/>
      <c r="H228" s="9">
        <f t="shared" si="16"/>
        <v>48</v>
      </c>
    </row>
    <row r="229" spans="1:8" s="13" customFormat="1" ht="24.75" customHeight="1">
      <c r="A229" s="9">
        <v>227</v>
      </c>
      <c r="B229" s="9" t="str">
        <f>"白小宇"</f>
        <v>白小宇</v>
      </c>
      <c r="C229" s="9" t="str">
        <f t="shared" si="14"/>
        <v>女</v>
      </c>
      <c r="D229" s="9" t="str">
        <f t="shared" si="17"/>
        <v>汉族</v>
      </c>
      <c r="E229" s="9" t="str">
        <f>"20220010817"</f>
        <v>20220010817</v>
      </c>
      <c r="F229" s="9">
        <v>61</v>
      </c>
      <c r="G229" s="9"/>
      <c r="H229" s="9">
        <f t="shared" si="16"/>
        <v>61</v>
      </c>
    </row>
    <row r="230" spans="1:8" s="13" customFormat="1" ht="24.75" customHeight="1">
      <c r="A230" s="9">
        <v>228</v>
      </c>
      <c r="B230" s="9" t="str">
        <f>"李佳续"</f>
        <v>李佳续</v>
      </c>
      <c r="C230" s="9" t="str">
        <f t="shared" si="14"/>
        <v>女</v>
      </c>
      <c r="D230" s="9" t="str">
        <f t="shared" si="17"/>
        <v>汉族</v>
      </c>
      <c r="E230" s="9" t="str">
        <f>"20220010818"</f>
        <v>20220010818</v>
      </c>
      <c r="F230" s="9">
        <v>56</v>
      </c>
      <c r="G230" s="9"/>
      <c r="H230" s="9">
        <f t="shared" si="16"/>
        <v>56</v>
      </c>
    </row>
    <row r="231" spans="1:8" s="13" customFormat="1" ht="24.75" customHeight="1">
      <c r="A231" s="9">
        <v>229</v>
      </c>
      <c r="B231" s="9" t="str">
        <f>"张婧莹"</f>
        <v>张婧莹</v>
      </c>
      <c r="C231" s="9" t="str">
        <f t="shared" si="14"/>
        <v>女</v>
      </c>
      <c r="D231" s="9" t="str">
        <f t="shared" si="17"/>
        <v>汉族</v>
      </c>
      <c r="E231" s="9" t="str">
        <f>"20220010819"</f>
        <v>20220010819</v>
      </c>
      <c r="F231" s="9">
        <v>74</v>
      </c>
      <c r="G231" s="9"/>
      <c r="H231" s="9">
        <f t="shared" si="16"/>
        <v>74</v>
      </c>
    </row>
    <row r="232" spans="1:8" s="13" customFormat="1" ht="24.75" customHeight="1">
      <c r="A232" s="9">
        <v>230</v>
      </c>
      <c r="B232" s="9" t="str">
        <f>"高菏露"</f>
        <v>高菏露</v>
      </c>
      <c r="C232" s="9" t="str">
        <f t="shared" si="14"/>
        <v>女</v>
      </c>
      <c r="D232" s="9" t="str">
        <f t="shared" si="17"/>
        <v>汉族</v>
      </c>
      <c r="E232" s="9" t="str">
        <f>"20220010820"</f>
        <v>20220010820</v>
      </c>
      <c r="F232" s="9">
        <v>62</v>
      </c>
      <c r="G232" s="9"/>
      <c r="H232" s="9">
        <f t="shared" si="16"/>
        <v>62</v>
      </c>
    </row>
    <row r="233" spans="1:8" s="13" customFormat="1" ht="24.75" customHeight="1">
      <c r="A233" s="9">
        <v>231</v>
      </c>
      <c r="B233" s="9" t="str">
        <f>"张伟童"</f>
        <v>张伟童</v>
      </c>
      <c r="C233" s="9" t="str">
        <f t="shared" si="14"/>
        <v>女</v>
      </c>
      <c r="D233" s="9" t="str">
        <f>"蒙古族"</f>
        <v>蒙古族</v>
      </c>
      <c r="E233" s="9" t="str">
        <f>"20220010821"</f>
        <v>20220010821</v>
      </c>
      <c r="F233" s="9">
        <v>0</v>
      </c>
      <c r="G233" s="9">
        <v>2.5</v>
      </c>
      <c r="H233" s="9">
        <f t="shared" si="16"/>
        <v>2.5</v>
      </c>
    </row>
    <row r="234" spans="1:8" s="13" customFormat="1" ht="24.75" customHeight="1">
      <c r="A234" s="9">
        <v>232</v>
      </c>
      <c r="B234" s="9" t="str">
        <f>"王湉"</f>
        <v>王湉</v>
      </c>
      <c r="C234" s="9" t="str">
        <f t="shared" si="14"/>
        <v>女</v>
      </c>
      <c r="D234" s="9" t="str">
        <f aca="true" t="shared" si="18" ref="D234:D251">"汉族"</f>
        <v>汉族</v>
      </c>
      <c r="E234" s="9" t="str">
        <f>"20220010822"</f>
        <v>20220010822</v>
      </c>
      <c r="F234" s="9">
        <v>0</v>
      </c>
      <c r="G234" s="9"/>
      <c r="H234" s="9">
        <f t="shared" si="16"/>
        <v>0</v>
      </c>
    </row>
    <row r="235" spans="1:8" s="13" customFormat="1" ht="24.75" customHeight="1">
      <c r="A235" s="9">
        <v>233</v>
      </c>
      <c r="B235" s="9" t="str">
        <f>"李小慧"</f>
        <v>李小慧</v>
      </c>
      <c r="C235" s="9" t="str">
        <f t="shared" si="14"/>
        <v>女</v>
      </c>
      <c r="D235" s="9" t="str">
        <f t="shared" si="18"/>
        <v>汉族</v>
      </c>
      <c r="E235" s="9" t="str">
        <f>"20220010823"</f>
        <v>20220010823</v>
      </c>
      <c r="F235" s="9">
        <v>57</v>
      </c>
      <c r="G235" s="9"/>
      <c r="H235" s="9">
        <f t="shared" si="16"/>
        <v>57</v>
      </c>
    </row>
    <row r="236" spans="1:8" s="13" customFormat="1" ht="24.75" customHeight="1">
      <c r="A236" s="9">
        <v>234</v>
      </c>
      <c r="B236" s="9" t="str">
        <f>"张敏"</f>
        <v>张敏</v>
      </c>
      <c r="C236" s="9" t="str">
        <f t="shared" si="14"/>
        <v>女</v>
      </c>
      <c r="D236" s="9" t="str">
        <f t="shared" si="18"/>
        <v>汉族</v>
      </c>
      <c r="E236" s="9" t="str">
        <f>"20220010824"</f>
        <v>20220010824</v>
      </c>
      <c r="F236" s="9">
        <v>0</v>
      </c>
      <c r="G236" s="9"/>
      <c r="H236" s="9">
        <f t="shared" si="16"/>
        <v>0</v>
      </c>
    </row>
    <row r="237" spans="1:8" s="13" customFormat="1" ht="24.75" customHeight="1">
      <c r="A237" s="9">
        <v>235</v>
      </c>
      <c r="B237" s="9" t="str">
        <f>"冯易萱"</f>
        <v>冯易萱</v>
      </c>
      <c r="C237" s="9" t="str">
        <f t="shared" si="14"/>
        <v>女</v>
      </c>
      <c r="D237" s="9" t="str">
        <f t="shared" si="18"/>
        <v>汉族</v>
      </c>
      <c r="E237" s="9" t="str">
        <f>"20220010825"</f>
        <v>20220010825</v>
      </c>
      <c r="F237" s="9">
        <v>54</v>
      </c>
      <c r="G237" s="9"/>
      <c r="H237" s="9">
        <f t="shared" si="16"/>
        <v>54</v>
      </c>
    </row>
    <row r="238" spans="1:8" s="13" customFormat="1" ht="24.75" customHeight="1">
      <c r="A238" s="9">
        <v>236</v>
      </c>
      <c r="B238" s="9" t="str">
        <f>"张康平"</f>
        <v>张康平</v>
      </c>
      <c r="C238" s="9" t="str">
        <f t="shared" si="14"/>
        <v>女</v>
      </c>
      <c r="D238" s="9" t="str">
        <f t="shared" si="18"/>
        <v>汉族</v>
      </c>
      <c r="E238" s="9" t="str">
        <f>"20220010826"</f>
        <v>20220010826</v>
      </c>
      <c r="F238" s="9">
        <v>61</v>
      </c>
      <c r="G238" s="9"/>
      <c r="H238" s="9">
        <f t="shared" si="16"/>
        <v>61</v>
      </c>
    </row>
    <row r="239" spans="1:8" s="13" customFormat="1" ht="24.75" customHeight="1">
      <c r="A239" s="9">
        <v>237</v>
      </c>
      <c r="B239" s="9" t="str">
        <f>"高倩"</f>
        <v>高倩</v>
      </c>
      <c r="C239" s="9" t="str">
        <f t="shared" si="14"/>
        <v>女</v>
      </c>
      <c r="D239" s="9" t="str">
        <f t="shared" si="18"/>
        <v>汉族</v>
      </c>
      <c r="E239" s="9" t="str">
        <f>"20220010827"</f>
        <v>20220010827</v>
      </c>
      <c r="F239" s="9">
        <v>61</v>
      </c>
      <c r="G239" s="9"/>
      <c r="H239" s="9">
        <f t="shared" si="16"/>
        <v>61</v>
      </c>
    </row>
    <row r="240" spans="1:8" s="13" customFormat="1" ht="24.75" customHeight="1">
      <c r="A240" s="9">
        <v>238</v>
      </c>
      <c r="B240" s="9" t="str">
        <f>"赵秀渊"</f>
        <v>赵秀渊</v>
      </c>
      <c r="C240" s="9" t="str">
        <f t="shared" si="14"/>
        <v>女</v>
      </c>
      <c r="D240" s="9" t="str">
        <f t="shared" si="18"/>
        <v>汉族</v>
      </c>
      <c r="E240" s="9" t="str">
        <f>"20220010828"</f>
        <v>20220010828</v>
      </c>
      <c r="F240" s="9">
        <v>79</v>
      </c>
      <c r="G240" s="9"/>
      <c r="H240" s="9">
        <f t="shared" si="16"/>
        <v>79</v>
      </c>
    </row>
    <row r="241" spans="1:8" s="13" customFormat="1" ht="24.75" customHeight="1">
      <c r="A241" s="9">
        <v>239</v>
      </c>
      <c r="B241" s="9" t="str">
        <f>"张宇贞"</f>
        <v>张宇贞</v>
      </c>
      <c r="C241" s="9" t="str">
        <f t="shared" si="14"/>
        <v>女</v>
      </c>
      <c r="D241" s="9" t="str">
        <f t="shared" si="18"/>
        <v>汉族</v>
      </c>
      <c r="E241" s="9" t="str">
        <f>"20220010829"</f>
        <v>20220010829</v>
      </c>
      <c r="F241" s="9">
        <v>0</v>
      </c>
      <c r="G241" s="9"/>
      <c r="H241" s="9">
        <f t="shared" si="16"/>
        <v>0</v>
      </c>
    </row>
    <row r="242" spans="1:8" s="13" customFormat="1" ht="24.75" customHeight="1">
      <c r="A242" s="9">
        <v>240</v>
      </c>
      <c r="B242" s="9" t="str">
        <f>"吴沛彦"</f>
        <v>吴沛彦</v>
      </c>
      <c r="C242" s="9" t="str">
        <f t="shared" si="14"/>
        <v>女</v>
      </c>
      <c r="D242" s="9" t="str">
        <f t="shared" si="18"/>
        <v>汉族</v>
      </c>
      <c r="E242" s="9" t="str">
        <f>"20220010830"</f>
        <v>20220010830</v>
      </c>
      <c r="F242" s="9">
        <v>47</v>
      </c>
      <c r="G242" s="9"/>
      <c r="H242" s="9">
        <f t="shared" si="16"/>
        <v>47</v>
      </c>
    </row>
    <row r="243" spans="1:8" s="13" customFormat="1" ht="24.75" customHeight="1">
      <c r="A243" s="9">
        <v>241</v>
      </c>
      <c r="B243" s="9" t="str">
        <f>"刘佳欣"</f>
        <v>刘佳欣</v>
      </c>
      <c r="C243" s="9" t="str">
        <f t="shared" si="14"/>
        <v>女</v>
      </c>
      <c r="D243" s="9" t="str">
        <f t="shared" si="18"/>
        <v>汉族</v>
      </c>
      <c r="E243" s="9" t="str">
        <f>"20220010901"</f>
        <v>20220010901</v>
      </c>
      <c r="F243" s="9">
        <v>52</v>
      </c>
      <c r="G243" s="9"/>
      <c r="H243" s="9">
        <f t="shared" si="16"/>
        <v>52</v>
      </c>
    </row>
    <row r="244" spans="1:8" s="13" customFormat="1" ht="24.75" customHeight="1">
      <c r="A244" s="9">
        <v>242</v>
      </c>
      <c r="B244" s="9" t="str">
        <f>"杜倩瑶"</f>
        <v>杜倩瑶</v>
      </c>
      <c r="C244" s="9" t="str">
        <f t="shared" si="14"/>
        <v>女</v>
      </c>
      <c r="D244" s="9" t="str">
        <f t="shared" si="18"/>
        <v>汉族</v>
      </c>
      <c r="E244" s="9" t="str">
        <f>"20220010902"</f>
        <v>20220010902</v>
      </c>
      <c r="F244" s="9">
        <v>47</v>
      </c>
      <c r="G244" s="9"/>
      <c r="H244" s="9">
        <f t="shared" si="16"/>
        <v>47</v>
      </c>
    </row>
    <row r="245" spans="1:8" s="13" customFormat="1" ht="24.75" customHeight="1">
      <c r="A245" s="9">
        <v>243</v>
      </c>
      <c r="B245" s="9" t="str">
        <f>"李婷婵"</f>
        <v>李婷婵</v>
      </c>
      <c r="C245" s="9" t="str">
        <f t="shared" si="14"/>
        <v>女</v>
      </c>
      <c r="D245" s="9" t="str">
        <f t="shared" si="18"/>
        <v>汉族</v>
      </c>
      <c r="E245" s="9" t="str">
        <f>"20220010903"</f>
        <v>20220010903</v>
      </c>
      <c r="F245" s="9">
        <v>69</v>
      </c>
      <c r="G245" s="9"/>
      <c r="H245" s="9">
        <f t="shared" si="16"/>
        <v>69</v>
      </c>
    </row>
    <row r="246" spans="1:8" s="13" customFormat="1" ht="24.75" customHeight="1">
      <c r="A246" s="9">
        <v>244</v>
      </c>
      <c r="B246" s="9" t="str">
        <f>"贾永艳"</f>
        <v>贾永艳</v>
      </c>
      <c r="C246" s="9" t="str">
        <f t="shared" si="14"/>
        <v>女</v>
      </c>
      <c r="D246" s="9" t="str">
        <f t="shared" si="18"/>
        <v>汉族</v>
      </c>
      <c r="E246" s="9" t="str">
        <f>"20220010904"</f>
        <v>20220010904</v>
      </c>
      <c r="F246" s="9">
        <v>39</v>
      </c>
      <c r="G246" s="9"/>
      <c r="H246" s="9">
        <f t="shared" si="16"/>
        <v>39</v>
      </c>
    </row>
    <row r="247" spans="1:8" s="13" customFormat="1" ht="24.75" customHeight="1">
      <c r="A247" s="9">
        <v>245</v>
      </c>
      <c r="B247" s="9" t="str">
        <f>"梁曦月"</f>
        <v>梁曦月</v>
      </c>
      <c r="C247" s="9" t="str">
        <f t="shared" si="14"/>
        <v>女</v>
      </c>
      <c r="D247" s="9" t="str">
        <f t="shared" si="18"/>
        <v>汉族</v>
      </c>
      <c r="E247" s="9" t="str">
        <f>"20220010905"</f>
        <v>20220010905</v>
      </c>
      <c r="F247" s="9">
        <v>54</v>
      </c>
      <c r="G247" s="9"/>
      <c r="H247" s="9">
        <f t="shared" si="16"/>
        <v>54</v>
      </c>
    </row>
    <row r="248" spans="1:8" s="13" customFormat="1" ht="24.75" customHeight="1">
      <c r="A248" s="9">
        <v>246</v>
      </c>
      <c r="B248" s="9" t="str">
        <f>"王子璇"</f>
        <v>王子璇</v>
      </c>
      <c r="C248" s="9" t="str">
        <f t="shared" si="14"/>
        <v>女</v>
      </c>
      <c r="D248" s="9" t="str">
        <f t="shared" si="18"/>
        <v>汉族</v>
      </c>
      <c r="E248" s="9" t="str">
        <f>"20220010906"</f>
        <v>20220010906</v>
      </c>
      <c r="F248" s="9">
        <v>40</v>
      </c>
      <c r="G248" s="9"/>
      <c r="H248" s="9">
        <f t="shared" si="16"/>
        <v>40</v>
      </c>
    </row>
    <row r="249" spans="1:8" s="13" customFormat="1" ht="24.75" customHeight="1">
      <c r="A249" s="9">
        <v>247</v>
      </c>
      <c r="B249" s="9" t="str">
        <f>"张鑫宇"</f>
        <v>张鑫宇</v>
      </c>
      <c r="C249" s="9" t="str">
        <f t="shared" si="14"/>
        <v>女</v>
      </c>
      <c r="D249" s="9" t="str">
        <f t="shared" si="18"/>
        <v>汉族</v>
      </c>
      <c r="E249" s="9" t="str">
        <f>"20220010907"</f>
        <v>20220010907</v>
      </c>
      <c r="F249" s="9">
        <v>61</v>
      </c>
      <c r="G249" s="9"/>
      <c r="H249" s="9">
        <f t="shared" si="16"/>
        <v>61</v>
      </c>
    </row>
    <row r="250" spans="1:8" s="13" customFormat="1" ht="24.75" customHeight="1">
      <c r="A250" s="9">
        <v>248</v>
      </c>
      <c r="B250" s="9" t="str">
        <f>"张若楠"</f>
        <v>张若楠</v>
      </c>
      <c r="C250" s="9" t="str">
        <f t="shared" si="14"/>
        <v>女</v>
      </c>
      <c r="D250" s="9" t="str">
        <f t="shared" si="18"/>
        <v>汉族</v>
      </c>
      <c r="E250" s="9" t="str">
        <f>"20220010908"</f>
        <v>20220010908</v>
      </c>
      <c r="F250" s="9">
        <v>49</v>
      </c>
      <c r="G250" s="9"/>
      <c r="H250" s="9">
        <f t="shared" si="16"/>
        <v>49</v>
      </c>
    </row>
    <row r="251" spans="1:8" s="13" customFormat="1" ht="24.75" customHeight="1">
      <c r="A251" s="9">
        <v>249</v>
      </c>
      <c r="B251" s="9" t="str">
        <f>"靳雅琪"</f>
        <v>靳雅琪</v>
      </c>
      <c r="C251" s="9" t="str">
        <f t="shared" si="14"/>
        <v>女</v>
      </c>
      <c r="D251" s="9" t="str">
        <f t="shared" si="18"/>
        <v>汉族</v>
      </c>
      <c r="E251" s="9" t="str">
        <f>"20220010909"</f>
        <v>20220010909</v>
      </c>
      <c r="F251" s="9">
        <v>38</v>
      </c>
      <c r="G251" s="9"/>
      <c r="H251" s="9">
        <f t="shared" si="16"/>
        <v>38</v>
      </c>
    </row>
    <row r="252" spans="1:8" s="13" customFormat="1" ht="24.75" customHeight="1">
      <c r="A252" s="9">
        <v>250</v>
      </c>
      <c r="B252" s="9" t="str">
        <f>"包晓辉"</f>
        <v>包晓辉</v>
      </c>
      <c r="C252" s="9" t="str">
        <f t="shared" si="14"/>
        <v>女</v>
      </c>
      <c r="D252" s="9" t="str">
        <f>"蒙古族"</f>
        <v>蒙古族</v>
      </c>
      <c r="E252" s="9" t="str">
        <f>"20220010910"</f>
        <v>20220010910</v>
      </c>
      <c r="F252" s="9">
        <v>58</v>
      </c>
      <c r="G252" s="9">
        <v>2.5</v>
      </c>
      <c r="H252" s="9">
        <f t="shared" si="16"/>
        <v>60.5</v>
      </c>
    </row>
    <row r="253" spans="1:8" s="13" customFormat="1" ht="24.75" customHeight="1">
      <c r="A253" s="9">
        <v>251</v>
      </c>
      <c r="B253" s="9" t="str">
        <f>"王静静"</f>
        <v>王静静</v>
      </c>
      <c r="C253" s="9" t="str">
        <f t="shared" si="14"/>
        <v>女</v>
      </c>
      <c r="D253" s="9" t="str">
        <f>"汉族"</f>
        <v>汉族</v>
      </c>
      <c r="E253" s="9" t="str">
        <f>"20220010911"</f>
        <v>20220010911</v>
      </c>
      <c r="F253" s="9">
        <v>49</v>
      </c>
      <c r="G253" s="9"/>
      <c r="H253" s="9">
        <f t="shared" si="16"/>
        <v>49</v>
      </c>
    </row>
    <row r="254" spans="1:8" s="13" customFormat="1" ht="24.75" customHeight="1">
      <c r="A254" s="9">
        <v>252</v>
      </c>
      <c r="B254" s="9" t="str">
        <f>"武岳"</f>
        <v>武岳</v>
      </c>
      <c r="C254" s="9" t="str">
        <f t="shared" si="14"/>
        <v>女</v>
      </c>
      <c r="D254" s="9" t="str">
        <f>"汉族"</f>
        <v>汉族</v>
      </c>
      <c r="E254" s="9" t="str">
        <f>"20220010912"</f>
        <v>20220010912</v>
      </c>
      <c r="F254" s="9">
        <v>54</v>
      </c>
      <c r="G254" s="9"/>
      <c r="H254" s="9">
        <f t="shared" si="16"/>
        <v>54</v>
      </c>
    </row>
    <row r="255" spans="1:8" s="13" customFormat="1" ht="24.75" customHeight="1">
      <c r="A255" s="9">
        <v>253</v>
      </c>
      <c r="B255" s="9" t="str">
        <f>"刘靖"</f>
        <v>刘靖</v>
      </c>
      <c r="C255" s="9" t="str">
        <f t="shared" si="14"/>
        <v>女</v>
      </c>
      <c r="D255" s="9" t="str">
        <f>"汉族"</f>
        <v>汉族</v>
      </c>
      <c r="E255" s="9" t="str">
        <f>"20220010913"</f>
        <v>20220010913</v>
      </c>
      <c r="F255" s="9">
        <v>56</v>
      </c>
      <c r="G255" s="9"/>
      <c r="H255" s="9">
        <f t="shared" si="16"/>
        <v>56</v>
      </c>
    </row>
    <row r="256" spans="1:8" s="13" customFormat="1" ht="24.75" customHeight="1">
      <c r="A256" s="9">
        <v>254</v>
      </c>
      <c r="B256" s="9" t="str">
        <f>"王静"</f>
        <v>王静</v>
      </c>
      <c r="C256" s="9" t="str">
        <f t="shared" si="14"/>
        <v>女</v>
      </c>
      <c r="D256" s="9" t="str">
        <f>"满族"</f>
        <v>满族</v>
      </c>
      <c r="E256" s="9" t="str">
        <f>"20220010914"</f>
        <v>20220010914</v>
      </c>
      <c r="F256" s="9">
        <v>0</v>
      </c>
      <c r="G256" s="9"/>
      <c r="H256" s="9">
        <f t="shared" si="16"/>
        <v>0</v>
      </c>
    </row>
    <row r="257" spans="1:8" s="13" customFormat="1" ht="24.75" customHeight="1">
      <c r="A257" s="9">
        <v>255</v>
      </c>
      <c r="B257" s="9" t="str">
        <f>"白芷睿"</f>
        <v>白芷睿</v>
      </c>
      <c r="C257" s="9" t="str">
        <f t="shared" si="14"/>
        <v>女</v>
      </c>
      <c r="D257" s="9" t="str">
        <f aca="true" t="shared" si="19" ref="D257:D268">"汉族"</f>
        <v>汉族</v>
      </c>
      <c r="E257" s="9" t="str">
        <f>"20220010915"</f>
        <v>20220010915</v>
      </c>
      <c r="F257" s="9">
        <v>65</v>
      </c>
      <c r="G257" s="9"/>
      <c r="H257" s="9">
        <f t="shared" si="16"/>
        <v>65</v>
      </c>
    </row>
    <row r="258" spans="1:8" s="13" customFormat="1" ht="24.75" customHeight="1">
      <c r="A258" s="9">
        <v>256</v>
      </c>
      <c r="B258" s="9" t="str">
        <f>"高旌悦"</f>
        <v>高旌悦</v>
      </c>
      <c r="C258" s="9" t="str">
        <f t="shared" si="14"/>
        <v>女</v>
      </c>
      <c r="D258" s="9" t="str">
        <f t="shared" si="19"/>
        <v>汉族</v>
      </c>
      <c r="E258" s="9" t="str">
        <f>"20220010916"</f>
        <v>20220010916</v>
      </c>
      <c r="F258" s="9">
        <v>35</v>
      </c>
      <c r="G258" s="9"/>
      <c r="H258" s="9">
        <f t="shared" si="16"/>
        <v>35</v>
      </c>
    </row>
    <row r="259" spans="1:8" s="13" customFormat="1" ht="24.75" customHeight="1">
      <c r="A259" s="9">
        <v>257</v>
      </c>
      <c r="B259" s="9" t="str">
        <f>"王慧"</f>
        <v>王慧</v>
      </c>
      <c r="C259" s="9" t="str">
        <f aca="true" t="shared" si="20" ref="C259:C322">"女"</f>
        <v>女</v>
      </c>
      <c r="D259" s="9" t="str">
        <f t="shared" si="19"/>
        <v>汉族</v>
      </c>
      <c r="E259" s="9" t="str">
        <f>"20220010917"</f>
        <v>20220010917</v>
      </c>
      <c r="F259" s="9">
        <v>35</v>
      </c>
      <c r="G259" s="9"/>
      <c r="H259" s="9">
        <f aca="true" t="shared" si="21" ref="H259:H322">F259+G259</f>
        <v>35</v>
      </c>
    </row>
    <row r="260" spans="1:8" s="13" customFormat="1" ht="24.75" customHeight="1">
      <c r="A260" s="9">
        <v>258</v>
      </c>
      <c r="B260" s="9" t="str">
        <f>"  刘玲"</f>
        <v>  刘玲</v>
      </c>
      <c r="C260" s="9" t="str">
        <f t="shared" si="20"/>
        <v>女</v>
      </c>
      <c r="D260" s="9" t="str">
        <f t="shared" si="19"/>
        <v>汉族</v>
      </c>
      <c r="E260" s="9" t="str">
        <f>"20220010918"</f>
        <v>20220010918</v>
      </c>
      <c r="F260" s="9">
        <v>17</v>
      </c>
      <c r="G260" s="9"/>
      <c r="H260" s="9">
        <f t="shared" si="21"/>
        <v>17</v>
      </c>
    </row>
    <row r="261" spans="1:8" s="13" customFormat="1" ht="24.75" customHeight="1">
      <c r="A261" s="9">
        <v>259</v>
      </c>
      <c r="B261" s="9" t="str">
        <f>"樊潇"</f>
        <v>樊潇</v>
      </c>
      <c r="C261" s="9" t="str">
        <f t="shared" si="20"/>
        <v>女</v>
      </c>
      <c r="D261" s="9" t="str">
        <f t="shared" si="19"/>
        <v>汉族</v>
      </c>
      <c r="E261" s="9" t="str">
        <f>"20220010919"</f>
        <v>20220010919</v>
      </c>
      <c r="F261" s="9">
        <v>50</v>
      </c>
      <c r="G261" s="9"/>
      <c r="H261" s="9">
        <f t="shared" si="21"/>
        <v>50</v>
      </c>
    </row>
    <row r="262" spans="1:8" s="13" customFormat="1" ht="24.75" customHeight="1">
      <c r="A262" s="9">
        <v>260</v>
      </c>
      <c r="B262" s="9" t="str">
        <f>"宋嘉蓉"</f>
        <v>宋嘉蓉</v>
      </c>
      <c r="C262" s="9" t="str">
        <f t="shared" si="20"/>
        <v>女</v>
      </c>
      <c r="D262" s="9" t="str">
        <f t="shared" si="19"/>
        <v>汉族</v>
      </c>
      <c r="E262" s="9" t="str">
        <f>"20220010920"</f>
        <v>20220010920</v>
      </c>
      <c r="F262" s="9">
        <v>38</v>
      </c>
      <c r="G262" s="9"/>
      <c r="H262" s="9">
        <f t="shared" si="21"/>
        <v>38</v>
      </c>
    </row>
    <row r="263" spans="1:8" s="13" customFormat="1" ht="24.75" customHeight="1">
      <c r="A263" s="9">
        <v>261</v>
      </c>
      <c r="B263" s="9" t="str">
        <f>"刘敏惠"</f>
        <v>刘敏惠</v>
      </c>
      <c r="C263" s="9" t="str">
        <f t="shared" si="20"/>
        <v>女</v>
      </c>
      <c r="D263" s="9" t="str">
        <f t="shared" si="19"/>
        <v>汉族</v>
      </c>
      <c r="E263" s="9" t="str">
        <f>"20220010921"</f>
        <v>20220010921</v>
      </c>
      <c r="F263" s="9">
        <v>69</v>
      </c>
      <c r="G263" s="9"/>
      <c r="H263" s="9">
        <f t="shared" si="21"/>
        <v>69</v>
      </c>
    </row>
    <row r="264" spans="1:8" s="13" customFormat="1" ht="24.75" customHeight="1">
      <c r="A264" s="9">
        <v>262</v>
      </c>
      <c r="B264" s="9" t="str">
        <f>"王欢"</f>
        <v>王欢</v>
      </c>
      <c r="C264" s="9" t="str">
        <f t="shared" si="20"/>
        <v>女</v>
      </c>
      <c r="D264" s="9" t="str">
        <f t="shared" si="19"/>
        <v>汉族</v>
      </c>
      <c r="E264" s="9" t="str">
        <f>"20220010922"</f>
        <v>20220010922</v>
      </c>
      <c r="F264" s="9">
        <v>0</v>
      </c>
      <c r="G264" s="9"/>
      <c r="H264" s="9">
        <f t="shared" si="21"/>
        <v>0</v>
      </c>
    </row>
    <row r="265" spans="1:8" s="13" customFormat="1" ht="24.75" customHeight="1">
      <c r="A265" s="9">
        <v>263</v>
      </c>
      <c r="B265" s="9" t="str">
        <f>"曹荣"</f>
        <v>曹荣</v>
      </c>
      <c r="C265" s="9" t="str">
        <f t="shared" si="20"/>
        <v>女</v>
      </c>
      <c r="D265" s="9" t="str">
        <f t="shared" si="19"/>
        <v>汉族</v>
      </c>
      <c r="E265" s="9" t="str">
        <f>"20220010923"</f>
        <v>20220010923</v>
      </c>
      <c r="F265" s="9">
        <v>0</v>
      </c>
      <c r="G265" s="9"/>
      <c r="H265" s="9">
        <f t="shared" si="21"/>
        <v>0</v>
      </c>
    </row>
    <row r="266" spans="1:8" s="13" customFormat="1" ht="24.75" customHeight="1">
      <c r="A266" s="9">
        <v>264</v>
      </c>
      <c r="B266" s="9" t="str">
        <f>"郝豆"</f>
        <v>郝豆</v>
      </c>
      <c r="C266" s="9" t="str">
        <f t="shared" si="20"/>
        <v>女</v>
      </c>
      <c r="D266" s="9" t="str">
        <f t="shared" si="19"/>
        <v>汉族</v>
      </c>
      <c r="E266" s="9" t="str">
        <f>"20220010924"</f>
        <v>20220010924</v>
      </c>
      <c r="F266" s="9">
        <v>70</v>
      </c>
      <c r="G266" s="9"/>
      <c r="H266" s="9">
        <f t="shared" si="21"/>
        <v>70</v>
      </c>
    </row>
    <row r="267" spans="1:8" s="13" customFormat="1" ht="24.75" customHeight="1">
      <c r="A267" s="9">
        <v>265</v>
      </c>
      <c r="B267" s="9" t="str">
        <f>"杨瑞"</f>
        <v>杨瑞</v>
      </c>
      <c r="C267" s="9" t="str">
        <f t="shared" si="20"/>
        <v>女</v>
      </c>
      <c r="D267" s="9" t="str">
        <f t="shared" si="19"/>
        <v>汉族</v>
      </c>
      <c r="E267" s="9" t="str">
        <f>"20220010925"</f>
        <v>20220010925</v>
      </c>
      <c r="F267" s="9">
        <v>60</v>
      </c>
      <c r="G267" s="9"/>
      <c r="H267" s="9">
        <f t="shared" si="21"/>
        <v>60</v>
      </c>
    </row>
    <row r="268" spans="1:8" s="13" customFormat="1" ht="24.75" customHeight="1">
      <c r="A268" s="9">
        <v>266</v>
      </c>
      <c r="B268" s="9" t="str">
        <f>"刘田"</f>
        <v>刘田</v>
      </c>
      <c r="C268" s="9" t="str">
        <f t="shared" si="20"/>
        <v>女</v>
      </c>
      <c r="D268" s="9" t="str">
        <f t="shared" si="19"/>
        <v>汉族</v>
      </c>
      <c r="E268" s="9" t="str">
        <f>"20220010926"</f>
        <v>20220010926</v>
      </c>
      <c r="F268" s="9">
        <v>56</v>
      </c>
      <c r="G268" s="9"/>
      <c r="H268" s="9">
        <f t="shared" si="21"/>
        <v>56</v>
      </c>
    </row>
    <row r="269" spans="1:8" s="13" customFormat="1" ht="24.75" customHeight="1">
      <c r="A269" s="9">
        <v>267</v>
      </c>
      <c r="B269" s="9" t="str">
        <f>"刘子茹"</f>
        <v>刘子茹</v>
      </c>
      <c r="C269" s="9" t="str">
        <f t="shared" si="20"/>
        <v>女</v>
      </c>
      <c r="D269" s="9" t="str">
        <f>"蒙古族"</f>
        <v>蒙古族</v>
      </c>
      <c r="E269" s="9" t="str">
        <f>"20220010927"</f>
        <v>20220010927</v>
      </c>
      <c r="F269" s="9">
        <v>0</v>
      </c>
      <c r="G269" s="9">
        <v>2.5</v>
      </c>
      <c r="H269" s="9">
        <f t="shared" si="21"/>
        <v>2.5</v>
      </c>
    </row>
    <row r="270" spans="1:8" s="13" customFormat="1" ht="24.75" customHeight="1">
      <c r="A270" s="9">
        <v>268</v>
      </c>
      <c r="B270" s="9" t="str">
        <f>"刘亚青"</f>
        <v>刘亚青</v>
      </c>
      <c r="C270" s="9" t="str">
        <f t="shared" si="20"/>
        <v>女</v>
      </c>
      <c r="D270" s="9" t="str">
        <f aca="true" t="shared" si="22" ref="D270:D281">"汉族"</f>
        <v>汉族</v>
      </c>
      <c r="E270" s="9" t="str">
        <f>"20220010928"</f>
        <v>20220010928</v>
      </c>
      <c r="F270" s="9">
        <v>48</v>
      </c>
      <c r="G270" s="9"/>
      <c r="H270" s="9">
        <f t="shared" si="21"/>
        <v>48</v>
      </c>
    </row>
    <row r="271" spans="1:8" s="13" customFormat="1" ht="24.75" customHeight="1">
      <c r="A271" s="9">
        <v>269</v>
      </c>
      <c r="B271" s="9" t="str">
        <f>"孟敏"</f>
        <v>孟敏</v>
      </c>
      <c r="C271" s="9" t="str">
        <f t="shared" si="20"/>
        <v>女</v>
      </c>
      <c r="D271" s="9" t="str">
        <f t="shared" si="22"/>
        <v>汉族</v>
      </c>
      <c r="E271" s="9" t="str">
        <f>"20220010929"</f>
        <v>20220010929</v>
      </c>
      <c r="F271" s="9">
        <v>46</v>
      </c>
      <c r="G271" s="9"/>
      <c r="H271" s="9">
        <f t="shared" si="21"/>
        <v>46</v>
      </c>
    </row>
    <row r="272" spans="1:8" s="13" customFormat="1" ht="24.75" customHeight="1">
      <c r="A272" s="9">
        <v>270</v>
      </c>
      <c r="B272" s="9" t="str">
        <f>"杨青"</f>
        <v>杨青</v>
      </c>
      <c r="C272" s="9" t="str">
        <f t="shared" si="20"/>
        <v>女</v>
      </c>
      <c r="D272" s="9" t="str">
        <f t="shared" si="22"/>
        <v>汉族</v>
      </c>
      <c r="E272" s="9" t="str">
        <f>"20220010930"</f>
        <v>20220010930</v>
      </c>
      <c r="F272" s="9">
        <v>0</v>
      </c>
      <c r="G272" s="9"/>
      <c r="H272" s="9">
        <f t="shared" si="21"/>
        <v>0</v>
      </c>
    </row>
    <row r="273" spans="1:8" s="13" customFormat="1" ht="24.75" customHeight="1">
      <c r="A273" s="9">
        <v>271</v>
      </c>
      <c r="B273" s="9" t="str">
        <f>"张祯"</f>
        <v>张祯</v>
      </c>
      <c r="C273" s="9" t="str">
        <f t="shared" si="20"/>
        <v>女</v>
      </c>
      <c r="D273" s="9" t="str">
        <f t="shared" si="22"/>
        <v>汉族</v>
      </c>
      <c r="E273" s="9" t="str">
        <f>"20220011001"</f>
        <v>20220011001</v>
      </c>
      <c r="F273" s="9">
        <v>32</v>
      </c>
      <c r="G273" s="9"/>
      <c r="H273" s="9">
        <f t="shared" si="21"/>
        <v>32</v>
      </c>
    </row>
    <row r="274" spans="1:8" s="13" customFormat="1" ht="24.75" customHeight="1">
      <c r="A274" s="9">
        <v>272</v>
      </c>
      <c r="B274" s="9" t="str">
        <f>"赵文瑜"</f>
        <v>赵文瑜</v>
      </c>
      <c r="C274" s="9" t="str">
        <f t="shared" si="20"/>
        <v>女</v>
      </c>
      <c r="D274" s="9" t="str">
        <f t="shared" si="22"/>
        <v>汉族</v>
      </c>
      <c r="E274" s="9" t="str">
        <f>"20220011002"</f>
        <v>20220011002</v>
      </c>
      <c r="F274" s="9">
        <v>51</v>
      </c>
      <c r="G274" s="9"/>
      <c r="H274" s="9">
        <f t="shared" si="21"/>
        <v>51</v>
      </c>
    </row>
    <row r="275" spans="1:8" s="13" customFormat="1" ht="24.75" customHeight="1">
      <c r="A275" s="9">
        <v>273</v>
      </c>
      <c r="B275" s="9" t="str">
        <f>"李彤"</f>
        <v>李彤</v>
      </c>
      <c r="C275" s="9" t="str">
        <f t="shared" si="20"/>
        <v>女</v>
      </c>
      <c r="D275" s="9" t="str">
        <f t="shared" si="22"/>
        <v>汉族</v>
      </c>
      <c r="E275" s="9" t="str">
        <f>"20220011003"</f>
        <v>20220011003</v>
      </c>
      <c r="F275" s="9">
        <v>0</v>
      </c>
      <c r="G275" s="9"/>
      <c r="H275" s="9">
        <f t="shared" si="21"/>
        <v>0</v>
      </c>
    </row>
    <row r="276" spans="1:8" s="13" customFormat="1" ht="24.75" customHeight="1">
      <c r="A276" s="9">
        <v>274</v>
      </c>
      <c r="B276" s="9" t="str">
        <f>"乔婷"</f>
        <v>乔婷</v>
      </c>
      <c r="C276" s="9" t="str">
        <f t="shared" si="20"/>
        <v>女</v>
      </c>
      <c r="D276" s="9" t="str">
        <f t="shared" si="22"/>
        <v>汉族</v>
      </c>
      <c r="E276" s="9" t="str">
        <f>"20220011004"</f>
        <v>20220011004</v>
      </c>
      <c r="F276" s="9">
        <v>29</v>
      </c>
      <c r="G276" s="9"/>
      <c r="H276" s="9">
        <f t="shared" si="21"/>
        <v>29</v>
      </c>
    </row>
    <row r="277" spans="1:8" s="13" customFormat="1" ht="24.75" customHeight="1">
      <c r="A277" s="9">
        <v>275</v>
      </c>
      <c r="B277" s="9" t="str">
        <f>"王静"</f>
        <v>王静</v>
      </c>
      <c r="C277" s="9" t="str">
        <f t="shared" si="20"/>
        <v>女</v>
      </c>
      <c r="D277" s="9" t="str">
        <f t="shared" si="22"/>
        <v>汉族</v>
      </c>
      <c r="E277" s="9" t="str">
        <f>"20220011005"</f>
        <v>20220011005</v>
      </c>
      <c r="F277" s="9">
        <v>69</v>
      </c>
      <c r="G277" s="9"/>
      <c r="H277" s="9">
        <f t="shared" si="21"/>
        <v>69</v>
      </c>
    </row>
    <row r="278" spans="1:8" s="13" customFormat="1" ht="24.75" customHeight="1">
      <c r="A278" s="9">
        <v>276</v>
      </c>
      <c r="B278" s="9" t="str">
        <f>"张培云"</f>
        <v>张培云</v>
      </c>
      <c r="C278" s="9" t="str">
        <f t="shared" si="20"/>
        <v>女</v>
      </c>
      <c r="D278" s="9" t="str">
        <f t="shared" si="22"/>
        <v>汉族</v>
      </c>
      <c r="E278" s="9" t="str">
        <f>"20220011006"</f>
        <v>20220011006</v>
      </c>
      <c r="F278" s="9">
        <v>48</v>
      </c>
      <c r="G278" s="9"/>
      <c r="H278" s="9">
        <f t="shared" si="21"/>
        <v>48</v>
      </c>
    </row>
    <row r="279" spans="1:8" s="13" customFormat="1" ht="24.75" customHeight="1">
      <c r="A279" s="9">
        <v>277</v>
      </c>
      <c r="B279" s="9" t="str">
        <f>"史明艳"</f>
        <v>史明艳</v>
      </c>
      <c r="C279" s="9" t="str">
        <f t="shared" si="20"/>
        <v>女</v>
      </c>
      <c r="D279" s="9" t="str">
        <f t="shared" si="22"/>
        <v>汉族</v>
      </c>
      <c r="E279" s="9" t="str">
        <f>"20220011007"</f>
        <v>20220011007</v>
      </c>
      <c r="F279" s="9">
        <v>47</v>
      </c>
      <c r="G279" s="9"/>
      <c r="H279" s="9">
        <f t="shared" si="21"/>
        <v>47</v>
      </c>
    </row>
    <row r="280" spans="1:8" s="13" customFormat="1" ht="24.75" customHeight="1">
      <c r="A280" s="9">
        <v>278</v>
      </c>
      <c r="B280" s="9" t="str">
        <f>"张家毓"</f>
        <v>张家毓</v>
      </c>
      <c r="C280" s="9" t="str">
        <f t="shared" si="20"/>
        <v>女</v>
      </c>
      <c r="D280" s="9" t="str">
        <f t="shared" si="22"/>
        <v>汉族</v>
      </c>
      <c r="E280" s="9" t="str">
        <f>"20220011008"</f>
        <v>20220011008</v>
      </c>
      <c r="F280" s="9">
        <v>70</v>
      </c>
      <c r="G280" s="9"/>
      <c r="H280" s="9">
        <f t="shared" si="21"/>
        <v>70</v>
      </c>
    </row>
    <row r="281" spans="1:8" s="13" customFormat="1" ht="24.75" customHeight="1">
      <c r="A281" s="9">
        <v>279</v>
      </c>
      <c r="B281" s="9" t="str">
        <f>"史蓉蓉"</f>
        <v>史蓉蓉</v>
      </c>
      <c r="C281" s="9" t="str">
        <f t="shared" si="20"/>
        <v>女</v>
      </c>
      <c r="D281" s="9" t="str">
        <f t="shared" si="22"/>
        <v>汉族</v>
      </c>
      <c r="E281" s="9" t="str">
        <f>"20220011009"</f>
        <v>20220011009</v>
      </c>
      <c r="F281" s="9">
        <v>45</v>
      </c>
      <c r="G281" s="9"/>
      <c r="H281" s="9">
        <f t="shared" si="21"/>
        <v>45</v>
      </c>
    </row>
    <row r="282" spans="1:8" s="13" customFormat="1" ht="24.75" customHeight="1">
      <c r="A282" s="9">
        <v>280</v>
      </c>
      <c r="B282" s="9" t="str">
        <f>"伊拉娜"</f>
        <v>伊拉娜</v>
      </c>
      <c r="C282" s="9" t="str">
        <f t="shared" si="20"/>
        <v>女</v>
      </c>
      <c r="D282" s="9" t="str">
        <f>"蒙古族"</f>
        <v>蒙古族</v>
      </c>
      <c r="E282" s="9" t="str">
        <f>"20220011010"</f>
        <v>20220011010</v>
      </c>
      <c r="F282" s="9">
        <v>0</v>
      </c>
      <c r="G282" s="9">
        <v>2.5</v>
      </c>
      <c r="H282" s="9">
        <f t="shared" si="21"/>
        <v>2.5</v>
      </c>
    </row>
    <row r="283" spans="1:8" s="13" customFormat="1" ht="24.75" customHeight="1">
      <c r="A283" s="9">
        <v>281</v>
      </c>
      <c r="B283" s="9" t="str">
        <f>"张曙萌"</f>
        <v>张曙萌</v>
      </c>
      <c r="C283" s="9" t="str">
        <f t="shared" si="20"/>
        <v>女</v>
      </c>
      <c r="D283" s="9" t="str">
        <f aca="true" t="shared" si="23" ref="D283:D299">"汉族"</f>
        <v>汉族</v>
      </c>
      <c r="E283" s="9" t="str">
        <f>"20220011011"</f>
        <v>20220011011</v>
      </c>
      <c r="F283" s="9">
        <v>58</v>
      </c>
      <c r="G283" s="9"/>
      <c r="H283" s="9">
        <f t="shared" si="21"/>
        <v>58</v>
      </c>
    </row>
    <row r="284" spans="1:8" s="13" customFormat="1" ht="24.75" customHeight="1">
      <c r="A284" s="9">
        <v>282</v>
      </c>
      <c r="B284" s="9" t="str">
        <f>"贾红艳"</f>
        <v>贾红艳</v>
      </c>
      <c r="C284" s="9" t="str">
        <f t="shared" si="20"/>
        <v>女</v>
      </c>
      <c r="D284" s="9" t="str">
        <f t="shared" si="23"/>
        <v>汉族</v>
      </c>
      <c r="E284" s="9" t="str">
        <f>"20220011012"</f>
        <v>20220011012</v>
      </c>
      <c r="F284" s="9">
        <v>43</v>
      </c>
      <c r="G284" s="9"/>
      <c r="H284" s="9">
        <f t="shared" si="21"/>
        <v>43</v>
      </c>
    </row>
    <row r="285" spans="1:8" s="13" customFormat="1" ht="24.75" customHeight="1">
      <c r="A285" s="9">
        <v>283</v>
      </c>
      <c r="B285" s="9" t="str">
        <f>"田科"</f>
        <v>田科</v>
      </c>
      <c r="C285" s="9" t="str">
        <f t="shared" si="20"/>
        <v>女</v>
      </c>
      <c r="D285" s="9" t="str">
        <f t="shared" si="23"/>
        <v>汉族</v>
      </c>
      <c r="E285" s="9" t="str">
        <f>"20220011013"</f>
        <v>20220011013</v>
      </c>
      <c r="F285" s="9">
        <v>44</v>
      </c>
      <c r="G285" s="9"/>
      <c r="H285" s="9">
        <f t="shared" si="21"/>
        <v>44</v>
      </c>
    </row>
    <row r="286" spans="1:8" s="13" customFormat="1" ht="24.75" customHeight="1">
      <c r="A286" s="9">
        <v>284</v>
      </c>
      <c r="B286" s="9" t="str">
        <f>"刘翔"</f>
        <v>刘翔</v>
      </c>
      <c r="C286" s="9" t="str">
        <f t="shared" si="20"/>
        <v>女</v>
      </c>
      <c r="D286" s="9" t="str">
        <f t="shared" si="23"/>
        <v>汉族</v>
      </c>
      <c r="E286" s="9" t="str">
        <f>"20220011014"</f>
        <v>20220011014</v>
      </c>
      <c r="F286" s="9">
        <v>57</v>
      </c>
      <c r="G286" s="9"/>
      <c r="H286" s="9">
        <f t="shared" si="21"/>
        <v>57</v>
      </c>
    </row>
    <row r="287" spans="1:8" s="13" customFormat="1" ht="24.75" customHeight="1">
      <c r="A287" s="9">
        <v>285</v>
      </c>
      <c r="B287" s="9" t="str">
        <f>"贺浩榕"</f>
        <v>贺浩榕</v>
      </c>
      <c r="C287" s="9" t="str">
        <f t="shared" si="20"/>
        <v>女</v>
      </c>
      <c r="D287" s="9" t="str">
        <f t="shared" si="23"/>
        <v>汉族</v>
      </c>
      <c r="E287" s="9" t="str">
        <f>"20220011015"</f>
        <v>20220011015</v>
      </c>
      <c r="F287" s="9">
        <v>64</v>
      </c>
      <c r="G287" s="9"/>
      <c r="H287" s="9">
        <f t="shared" si="21"/>
        <v>64</v>
      </c>
    </row>
    <row r="288" spans="1:8" s="13" customFormat="1" ht="24.75" customHeight="1">
      <c r="A288" s="9">
        <v>286</v>
      </c>
      <c r="B288" s="9" t="str">
        <f>"高敏"</f>
        <v>高敏</v>
      </c>
      <c r="C288" s="9" t="str">
        <f t="shared" si="20"/>
        <v>女</v>
      </c>
      <c r="D288" s="9" t="str">
        <f t="shared" si="23"/>
        <v>汉族</v>
      </c>
      <c r="E288" s="9" t="str">
        <f>"20220011016"</f>
        <v>20220011016</v>
      </c>
      <c r="F288" s="9">
        <v>57</v>
      </c>
      <c r="G288" s="9"/>
      <c r="H288" s="9">
        <f t="shared" si="21"/>
        <v>57</v>
      </c>
    </row>
    <row r="289" spans="1:8" s="13" customFormat="1" ht="24.75" customHeight="1">
      <c r="A289" s="9">
        <v>287</v>
      </c>
      <c r="B289" s="9" t="str">
        <f>"李慧敏"</f>
        <v>李慧敏</v>
      </c>
      <c r="C289" s="9" t="str">
        <f t="shared" si="20"/>
        <v>女</v>
      </c>
      <c r="D289" s="9" t="str">
        <f t="shared" si="23"/>
        <v>汉族</v>
      </c>
      <c r="E289" s="9" t="str">
        <f>"20220011017"</f>
        <v>20220011017</v>
      </c>
      <c r="F289" s="9">
        <v>0</v>
      </c>
      <c r="G289" s="9"/>
      <c r="H289" s="9">
        <f t="shared" si="21"/>
        <v>0</v>
      </c>
    </row>
    <row r="290" spans="1:8" s="13" customFormat="1" ht="24.75" customHeight="1">
      <c r="A290" s="9">
        <v>288</v>
      </c>
      <c r="B290" s="9" t="str">
        <f>"张燕"</f>
        <v>张燕</v>
      </c>
      <c r="C290" s="9" t="str">
        <f t="shared" si="20"/>
        <v>女</v>
      </c>
      <c r="D290" s="9" t="str">
        <f t="shared" si="23"/>
        <v>汉族</v>
      </c>
      <c r="E290" s="9" t="str">
        <f>"20220011018"</f>
        <v>20220011018</v>
      </c>
      <c r="F290" s="9">
        <v>48</v>
      </c>
      <c r="G290" s="9"/>
      <c r="H290" s="9">
        <f t="shared" si="21"/>
        <v>48</v>
      </c>
    </row>
    <row r="291" spans="1:8" s="13" customFormat="1" ht="24.75" customHeight="1">
      <c r="A291" s="9">
        <v>289</v>
      </c>
      <c r="B291" s="9" t="str">
        <f>"乔亦韬"</f>
        <v>乔亦韬</v>
      </c>
      <c r="C291" s="9" t="str">
        <f t="shared" si="20"/>
        <v>女</v>
      </c>
      <c r="D291" s="9" t="str">
        <f t="shared" si="23"/>
        <v>汉族</v>
      </c>
      <c r="E291" s="9" t="str">
        <f>"20220011019"</f>
        <v>20220011019</v>
      </c>
      <c r="F291" s="9">
        <v>75</v>
      </c>
      <c r="G291" s="9"/>
      <c r="H291" s="9">
        <f t="shared" si="21"/>
        <v>75</v>
      </c>
    </row>
    <row r="292" spans="1:8" s="13" customFormat="1" ht="24.75" customHeight="1">
      <c r="A292" s="9">
        <v>290</v>
      </c>
      <c r="B292" s="9" t="str">
        <f>"郭屹琳"</f>
        <v>郭屹琳</v>
      </c>
      <c r="C292" s="9" t="str">
        <f t="shared" si="20"/>
        <v>女</v>
      </c>
      <c r="D292" s="9" t="str">
        <f t="shared" si="23"/>
        <v>汉族</v>
      </c>
      <c r="E292" s="9" t="str">
        <f>"20220011020"</f>
        <v>20220011020</v>
      </c>
      <c r="F292" s="9">
        <v>50</v>
      </c>
      <c r="G292" s="9"/>
      <c r="H292" s="9">
        <f t="shared" si="21"/>
        <v>50</v>
      </c>
    </row>
    <row r="293" spans="1:8" s="13" customFormat="1" ht="24.75" customHeight="1">
      <c r="A293" s="9">
        <v>291</v>
      </c>
      <c r="B293" s="9" t="str">
        <f>"赵琬嵘"</f>
        <v>赵琬嵘</v>
      </c>
      <c r="C293" s="9" t="str">
        <f t="shared" si="20"/>
        <v>女</v>
      </c>
      <c r="D293" s="9" t="str">
        <f t="shared" si="23"/>
        <v>汉族</v>
      </c>
      <c r="E293" s="9" t="str">
        <f>"20220011021"</f>
        <v>20220011021</v>
      </c>
      <c r="F293" s="9">
        <v>0</v>
      </c>
      <c r="G293" s="9"/>
      <c r="H293" s="9">
        <f t="shared" si="21"/>
        <v>0</v>
      </c>
    </row>
    <row r="294" spans="1:8" s="13" customFormat="1" ht="24.75" customHeight="1">
      <c r="A294" s="9">
        <v>292</v>
      </c>
      <c r="B294" s="9" t="str">
        <f>"许赛雅"</f>
        <v>许赛雅</v>
      </c>
      <c r="C294" s="9" t="str">
        <f t="shared" si="20"/>
        <v>女</v>
      </c>
      <c r="D294" s="9" t="str">
        <f t="shared" si="23"/>
        <v>汉族</v>
      </c>
      <c r="E294" s="9" t="str">
        <f>"20220011022"</f>
        <v>20220011022</v>
      </c>
      <c r="F294" s="9">
        <v>77</v>
      </c>
      <c r="G294" s="9"/>
      <c r="H294" s="9">
        <f t="shared" si="21"/>
        <v>77</v>
      </c>
    </row>
    <row r="295" spans="1:8" s="13" customFormat="1" ht="24.75" customHeight="1">
      <c r="A295" s="9">
        <v>293</v>
      </c>
      <c r="B295" s="9" t="str">
        <f>"金泽璇"</f>
        <v>金泽璇</v>
      </c>
      <c r="C295" s="9" t="str">
        <f t="shared" si="20"/>
        <v>女</v>
      </c>
      <c r="D295" s="9" t="str">
        <f t="shared" si="23"/>
        <v>汉族</v>
      </c>
      <c r="E295" s="9" t="str">
        <f>"20220011023"</f>
        <v>20220011023</v>
      </c>
      <c r="F295" s="9">
        <v>0</v>
      </c>
      <c r="G295" s="9"/>
      <c r="H295" s="9">
        <f t="shared" si="21"/>
        <v>0</v>
      </c>
    </row>
    <row r="296" spans="1:8" s="13" customFormat="1" ht="24.75" customHeight="1">
      <c r="A296" s="9">
        <v>294</v>
      </c>
      <c r="B296" s="9" t="str">
        <f>"刘雅贤"</f>
        <v>刘雅贤</v>
      </c>
      <c r="C296" s="9" t="str">
        <f t="shared" si="20"/>
        <v>女</v>
      </c>
      <c r="D296" s="9" t="str">
        <f t="shared" si="23"/>
        <v>汉族</v>
      </c>
      <c r="E296" s="9" t="str">
        <f>"20220011024"</f>
        <v>20220011024</v>
      </c>
      <c r="F296" s="9">
        <v>45</v>
      </c>
      <c r="G296" s="9"/>
      <c r="H296" s="9">
        <f t="shared" si="21"/>
        <v>45</v>
      </c>
    </row>
    <row r="297" spans="1:8" s="13" customFormat="1" ht="24.75" customHeight="1">
      <c r="A297" s="9">
        <v>295</v>
      </c>
      <c r="B297" s="9" t="str">
        <f>"郭怀宇"</f>
        <v>郭怀宇</v>
      </c>
      <c r="C297" s="9" t="str">
        <f t="shared" si="20"/>
        <v>女</v>
      </c>
      <c r="D297" s="9" t="str">
        <f t="shared" si="23"/>
        <v>汉族</v>
      </c>
      <c r="E297" s="9" t="str">
        <f>"20220011025"</f>
        <v>20220011025</v>
      </c>
      <c r="F297" s="9">
        <v>49</v>
      </c>
      <c r="G297" s="9"/>
      <c r="H297" s="9">
        <f t="shared" si="21"/>
        <v>49</v>
      </c>
    </row>
    <row r="298" spans="1:8" s="13" customFormat="1" ht="24.75" customHeight="1">
      <c r="A298" s="9">
        <v>296</v>
      </c>
      <c r="B298" s="9" t="str">
        <f>"曹晶晶"</f>
        <v>曹晶晶</v>
      </c>
      <c r="C298" s="9" t="str">
        <f t="shared" si="20"/>
        <v>女</v>
      </c>
      <c r="D298" s="9" t="str">
        <f t="shared" si="23"/>
        <v>汉族</v>
      </c>
      <c r="E298" s="9" t="str">
        <f>"20220011026"</f>
        <v>20220011026</v>
      </c>
      <c r="F298" s="9">
        <v>62</v>
      </c>
      <c r="G298" s="9"/>
      <c r="H298" s="9">
        <f t="shared" si="21"/>
        <v>62</v>
      </c>
    </row>
    <row r="299" spans="1:8" s="13" customFormat="1" ht="24.75" customHeight="1">
      <c r="A299" s="9">
        <v>297</v>
      </c>
      <c r="B299" s="9" t="str">
        <f>"卢舒娜"</f>
        <v>卢舒娜</v>
      </c>
      <c r="C299" s="9" t="str">
        <f t="shared" si="20"/>
        <v>女</v>
      </c>
      <c r="D299" s="9" t="str">
        <f t="shared" si="23"/>
        <v>汉族</v>
      </c>
      <c r="E299" s="9" t="str">
        <f>"20220011027"</f>
        <v>20220011027</v>
      </c>
      <c r="F299" s="9">
        <v>45</v>
      </c>
      <c r="G299" s="9"/>
      <c r="H299" s="9">
        <f t="shared" si="21"/>
        <v>45</v>
      </c>
    </row>
    <row r="300" spans="1:8" s="13" customFormat="1" ht="24.75" customHeight="1">
      <c r="A300" s="9">
        <v>298</v>
      </c>
      <c r="B300" s="9" t="str">
        <f>"哈茹耿"</f>
        <v>哈茹耿</v>
      </c>
      <c r="C300" s="9" t="str">
        <f t="shared" si="20"/>
        <v>女</v>
      </c>
      <c r="D300" s="9" t="str">
        <f>"蒙古族"</f>
        <v>蒙古族</v>
      </c>
      <c r="E300" s="9" t="str">
        <f>"20220011028"</f>
        <v>20220011028</v>
      </c>
      <c r="F300" s="9">
        <v>80</v>
      </c>
      <c r="G300" s="9">
        <v>2.5</v>
      </c>
      <c r="H300" s="9">
        <f t="shared" si="21"/>
        <v>82.5</v>
      </c>
    </row>
    <row r="301" spans="1:8" s="13" customFormat="1" ht="24.75" customHeight="1">
      <c r="A301" s="9">
        <v>299</v>
      </c>
      <c r="B301" s="9" t="str">
        <f>"张雨"</f>
        <v>张雨</v>
      </c>
      <c r="C301" s="9" t="str">
        <f t="shared" si="20"/>
        <v>女</v>
      </c>
      <c r="D301" s="9" t="str">
        <f>"汉族"</f>
        <v>汉族</v>
      </c>
      <c r="E301" s="9" t="str">
        <f>"20220011029"</f>
        <v>20220011029</v>
      </c>
      <c r="F301" s="9">
        <v>69</v>
      </c>
      <c r="G301" s="9"/>
      <c r="H301" s="9">
        <f t="shared" si="21"/>
        <v>69</v>
      </c>
    </row>
    <row r="302" spans="1:8" s="13" customFormat="1" ht="24.75" customHeight="1">
      <c r="A302" s="9">
        <v>300</v>
      </c>
      <c r="B302" s="9" t="str">
        <f>"许萌"</f>
        <v>许萌</v>
      </c>
      <c r="C302" s="9" t="str">
        <f t="shared" si="20"/>
        <v>女</v>
      </c>
      <c r="D302" s="9" t="str">
        <f>"蒙古族"</f>
        <v>蒙古族</v>
      </c>
      <c r="E302" s="9" t="str">
        <f>"20220011030"</f>
        <v>20220011030</v>
      </c>
      <c r="F302" s="9">
        <v>0</v>
      </c>
      <c r="G302" s="9">
        <v>2.5</v>
      </c>
      <c r="H302" s="9">
        <f t="shared" si="21"/>
        <v>2.5</v>
      </c>
    </row>
    <row r="303" spans="1:8" s="13" customFormat="1" ht="24.75" customHeight="1">
      <c r="A303" s="9">
        <v>301</v>
      </c>
      <c r="B303" s="9" t="str">
        <f>"折璞"</f>
        <v>折璞</v>
      </c>
      <c r="C303" s="9" t="str">
        <f t="shared" si="20"/>
        <v>女</v>
      </c>
      <c r="D303" s="9" t="str">
        <f aca="true" t="shared" si="24" ref="D303:D311">"汉族"</f>
        <v>汉族</v>
      </c>
      <c r="E303" s="9" t="str">
        <f>"20220011101"</f>
        <v>20220011101</v>
      </c>
      <c r="F303" s="9">
        <v>42</v>
      </c>
      <c r="G303" s="9"/>
      <c r="H303" s="9">
        <f t="shared" si="21"/>
        <v>42</v>
      </c>
    </row>
    <row r="304" spans="1:8" s="13" customFormat="1" ht="24.75" customHeight="1">
      <c r="A304" s="9">
        <v>302</v>
      </c>
      <c r="B304" s="9" t="str">
        <f>"宋媛"</f>
        <v>宋媛</v>
      </c>
      <c r="C304" s="9" t="str">
        <f t="shared" si="20"/>
        <v>女</v>
      </c>
      <c r="D304" s="9" t="str">
        <f t="shared" si="24"/>
        <v>汉族</v>
      </c>
      <c r="E304" s="9" t="str">
        <f>"20220011102"</f>
        <v>20220011102</v>
      </c>
      <c r="F304" s="9">
        <v>0</v>
      </c>
      <c r="G304" s="9"/>
      <c r="H304" s="9">
        <f t="shared" si="21"/>
        <v>0</v>
      </c>
    </row>
    <row r="305" spans="1:8" s="13" customFormat="1" ht="24.75" customHeight="1">
      <c r="A305" s="9">
        <v>303</v>
      </c>
      <c r="B305" s="9" t="str">
        <f>"郎硕"</f>
        <v>郎硕</v>
      </c>
      <c r="C305" s="9" t="str">
        <f t="shared" si="20"/>
        <v>女</v>
      </c>
      <c r="D305" s="9" t="str">
        <f t="shared" si="24"/>
        <v>汉族</v>
      </c>
      <c r="E305" s="9" t="str">
        <f>"20220011103"</f>
        <v>20220011103</v>
      </c>
      <c r="F305" s="9">
        <v>56</v>
      </c>
      <c r="G305" s="9"/>
      <c r="H305" s="9">
        <f t="shared" si="21"/>
        <v>56</v>
      </c>
    </row>
    <row r="306" spans="1:8" s="13" customFormat="1" ht="24.75" customHeight="1">
      <c r="A306" s="9">
        <v>304</v>
      </c>
      <c r="B306" s="9" t="str">
        <f>"王乐欣"</f>
        <v>王乐欣</v>
      </c>
      <c r="C306" s="9" t="str">
        <f t="shared" si="20"/>
        <v>女</v>
      </c>
      <c r="D306" s="9" t="str">
        <f t="shared" si="24"/>
        <v>汉族</v>
      </c>
      <c r="E306" s="9" t="str">
        <f>"20220011104"</f>
        <v>20220011104</v>
      </c>
      <c r="F306" s="9">
        <v>0</v>
      </c>
      <c r="G306" s="9"/>
      <c r="H306" s="9">
        <f t="shared" si="21"/>
        <v>0</v>
      </c>
    </row>
    <row r="307" spans="1:8" s="13" customFormat="1" ht="24.75" customHeight="1">
      <c r="A307" s="9">
        <v>305</v>
      </c>
      <c r="B307" s="9" t="str">
        <f>"贾朝欣"</f>
        <v>贾朝欣</v>
      </c>
      <c r="C307" s="9" t="str">
        <f t="shared" si="20"/>
        <v>女</v>
      </c>
      <c r="D307" s="9" t="str">
        <f t="shared" si="24"/>
        <v>汉族</v>
      </c>
      <c r="E307" s="9" t="str">
        <f>"20220011105"</f>
        <v>20220011105</v>
      </c>
      <c r="F307" s="9">
        <v>79</v>
      </c>
      <c r="G307" s="9"/>
      <c r="H307" s="9">
        <f t="shared" si="21"/>
        <v>79</v>
      </c>
    </row>
    <row r="308" spans="1:8" s="13" customFormat="1" ht="24.75" customHeight="1">
      <c r="A308" s="9">
        <v>306</v>
      </c>
      <c r="B308" s="9" t="str">
        <f>"孙曦"</f>
        <v>孙曦</v>
      </c>
      <c r="C308" s="9" t="str">
        <f t="shared" si="20"/>
        <v>女</v>
      </c>
      <c r="D308" s="9" t="str">
        <f t="shared" si="24"/>
        <v>汉族</v>
      </c>
      <c r="E308" s="9" t="str">
        <f>"20220011106"</f>
        <v>20220011106</v>
      </c>
      <c r="F308" s="9">
        <v>57</v>
      </c>
      <c r="G308" s="9"/>
      <c r="H308" s="9">
        <f t="shared" si="21"/>
        <v>57</v>
      </c>
    </row>
    <row r="309" spans="1:8" s="13" customFormat="1" ht="24.75" customHeight="1">
      <c r="A309" s="9">
        <v>307</v>
      </c>
      <c r="B309" s="9" t="str">
        <f>"韩雨婷"</f>
        <v>韩雨婷</v>
      </c>
      <c r="C309" s="9" t="str">
        <f t="shared" si="20"/>
        <v>女</v>
      </c>
      <c r="D309" s="9" t="str">
        <f t="shared" si="24"/>
        <v>汉族</v>
      </c>
      <c r="E309" s="9" t="str">
        <f>"20220011107"</f>
        <v>20220011107</v>
      </c>
      <c r="F309" s="9">
        <v>64</v>
      </c>
      <c r="G309" s="9"/>
      <c r="H309" s="9">
        <f t="shared" si="21"/>
        <v>64</v>
      </c>
    </row>
    <row r="310" spans="1:8" s="13" customFormat="1" ht="24.75" customHeight="1">
      <c r="A310" s="9">
        <v>308</v>
      </c>
      <c r="B310" s="9" t="str">
        <f>"李娇雨"</f>
        <v>李娇雨</v>
      </c>
      <c r="C310" s="9" t="str">
        <f t="shared" si="20"/>
        <v>女</v>
      </c>
      <c r="D310" s="9" t="str">
        <f t="shared" si="24"/>
        <v>汉族</v>
      </c>
      <c r="E310" s="9" t="str">
        <f>"20220011108"</f>
        <v>20220011108</v>
      </c>
      <c r="F310" s="9">
        <v>56</v>
      </c>
      <c r="G310" s="9"/>
      <c r="H310" s="9">
        <f t="shared" si="21"/>
        <v>56</v>
      </c>
    </row>
    <row r="311" spans="1:8" s="13" customFormat="1" ht="24.75" customHeight="1">
      <c r="A311" s="9">
        <v>309</v>
      </c>
      <c r="B311" s="9" t="str">
        <f>"尉慧"</f>
        <v>尉慧</v>
      </c>
      <c r="C311" s="9" t="str">
        <f t="shared" si="20"/>
        <v>女</v>
      </c>
      <c r="D311" s="9" t="str">
        <f t="shared" si="24"/>
        <v>汉族</v>
      </c>
      <c r="E311" s="9" t="str">
        <f>"20220011109"</f>
        <v>20220011109</v>
      </c>
      <c r="F311" s="9">
        <v>55</v>
      </c>
      <c r="G311" s="9"/>
      <c r="H311" s="9">
        <f t="shared" si="21"/>
        <v>55</v>
      </c>
    </row>
    <row r="312" spans="1:8" s="13" customFormat="1" ht="24.75" customHeight="1">
      <c r="A312" s="9">
        <v>310</v>
      </c>
      <c r="B312" s="9" t="str">
        <f>"任佳新"</f>
        <v>任佳新</v>
      </c>
      <c r="C312" s="9" t="str">
        <f t="shared" si="20"/>
        <v>女</v>
      </c>
      <c r="D312" s="9" t="str">
        <f>"蒙古族"</f>
        <v>蒙古族</v>
      </c>
      <c r="E312" s="9" t="str">
        <f>"20220011110"</f>
        <v>20220011110</v>
      </c>
      <c r="F312" s="9">
        <v>60</v>
      </c>
      <c r="G312" s="9">
        <v>2.5</v>
      </c>
      <c r="H312" s="9">
        <f t="shared" si="21"/>
        <v>62.5</v>
      </c>
    </row>
    <row r="313" spans="1:8" s="13" customFormat="1" ht="24.75" customHeight="1">
      <c r="A313" s="9">
        <v>311</v>
      </c>
      <c r="B313" s="9" t="str">
        <f>"王佳妮"</f>
        <v>王佳妮</v>
      </c>
      <c r="C313" s="9" t="str">
        <f t="shared" si="20"/>
        <v>女</v>
      </c>
      <c r="D313" s="9" t="str">
        <f>"汉族"</f>
        <v>汉族</v>
      </c>
      <c r="E313" s="9" t="str">
        <f>"20220011111"</f>
        <v>20220011111</v>
      </c>
      <c r="F313" s="9">
        <v>54</v>
      </c>
      <c r="G313" s="9"/>
      <c r="H313" s="9">
        <f t="shared" si="21"/>
        <v>54</v>
      </c>
    </row>
    <row r="314" spans="1:8" s="13" customFormat="1" ht="24.75" customHeight="1">
      <c r="A314" s="9">
        <v>312</v>
      </c>
      <c r="B314" s="9" t="str">
        <f>"索日娜"</f>
        <v>索日娜</v>
      </c>
      <c r="C314" s="9" t="str">
        <f t="shared" si="20"/>
        <v>女</v>
      </c>
      <c r="D314" s="9" t="str">
        <f>"汉族"</f>
        <v>汉族</v>
      </c>
      <c r="E314" s="9" t="str">
        <f>"20220011112"</f>
        <v>20220011112</v>
      </c>
      <c r="F314" s="9">
        <v>0</v>
      </c>
      <c r="G314" s="9"/>
      <c r="H314" s="9">
        <f t="shared" si="21"/>
        <v>0</v>
      </c>
    </row>
    <row r="315" spans="1:8" s="13" customFormat="1" ht="24.75" customHeight="1">
      <c r="A315" s="9">
        <v>313</v>
      </c>
      <c r="B315" s="9" t="str">
        <f>"单娟"</f>
        <v>单娟</v>
      </c>
      <c r="C315" s="9" t="str">
        <f t="shared" si="20"/>
        <v>女</v>
      </c>
      <c r="D315" s="9" t="str">
        <f>"汉族"</f>
        <v>汉族</v>
      </c>
      <c r="E315" s="9" t="str">
        <f>"20220011113"</f>
        <v>20220011113</v>
      </c>
      <c r="F315" s="9">
        <v>49</v>
      </c>
      <c r="G315" s="9"/>
      <c r="H315" s="9">
        <f t="shared" si="21"/>
        <v>49</v>
      </c>
    </row>
    <row r="316" spans="1:8" s="13" customFormat="1" ht="24.75" customHeight="1">
      <c r="A316" s="9">
        <v>314</v>
      </c>
      <c r="B316" s="9" t="str">
        <f>"张志荣"</f>
        <v>张志荣</v>
      </c>
      <c r="C316" s="9" t="str">
        <f t="shared" si="20"/>
        <v>女</v>
      </c>
      <c r="D316" s="9" t="str">
        <f>"汉族"</f>
        <v>汉族</v>
      </c>
      <c r="E316" s="9" t="str">
        <f>"20220011114"</f>
        <v>20220011114</v>
      </c>
      <c r="F316" s="9">
        <v>46</v>
      </c>
      <c r="G316" s="9"/>
      <c r="H316" s="9">
        <f t="shared" si="21"/>
        <v>46</v>
      </c>
    </row>
    <row r="317" spans="1:8" s="13" customFormat="1" ht="24.75" customHeight="1">
      <c r="A317" s="9">
        <v>315</v>
      </c>
      <c r="B317" s="9" t="str">
        <f>"韩佳瑶"</f>
        <v>韩佳瑶</v>
      </c>
      <c r="C317" s="9" t="str">
        <f t="shared" si="20"/>
        <v>女</v>
      </c>
      <c r="D317" s="9" t="str">
        <f>"蒙古族"</f>
        <v>蒙古族</v>
      </c>
      <c r="E317" s="9" t="str">
        <f>"20220011115"</f>
        <v>20220011115</v>
      </c>
      <c r="F317" s="9">
        <v>52</v>
      </c>
      <c r="G317" s="9">
        <v>2.5</v>
      </c>
      <c r="H317" s="9">
        <f t="shared" si="21"/>
        <v>54.5</v>
      </c>
    </row>
    <row r="318" spans="1:8" s="13" customFormat="1" ht="24.75" customHeight="1">
      <c r="A318" s="9">
        <v>316</v>
      </c>
      <c r="B318" s="9" t="str">
        <f>"高圆"</f>
        <v>高圆</v>
      </c>
      <c r="C318" s="9" t="str">
        <f t="shared" si="20"/>
        <v>女</v>
      </c>
      <c r="D318" s="9" t="str">
        <f>"汉族"</f>
        <v>汉族</v>
      </c>
      <c r="E318" s="9" t="str">
        <f>"20220011116"</f>
        <v>20220011116</v>
      </c>
      <c r="F318" s="9">
        <v>0</v>
      </c>
      <c r="G318" s="9"/>
      <c r="H318" s="9">
        <f t="shared" si="21"/>
        <v>0</v>
      </c>
    </row>
    <row r="319" spans="1:8" s="13" customFormat="1" ht="24.75" customHeight="1">
      <c r="A319" s="9">
        <v>317</v>
      </c>
      <c r="B319" s="9" t="str">
        <f>"马潇"</f>
        <v>马潇</v>
      </c>
      <c r="C319" s="9" t="str">
        <f t="shared" si="20"/>
        <v>女</v>
      </c>
      <c r="D319" s="9" t="str">
        <f>"汉族"</f>
        <v>汉族</v>
      </c>
      <c r="E319" s="9" t="str">
        <f>"20220011117"</f>
        <v>20220011117</v>
      </c>
      <c r="F319" s="9">
        <v>66</v>
      </c>
      <c r="G319" s="9"/>
      <c r="H319" s="9">
        <f t="shared" si="21"/>
        <v>66</v>
      </c>
    </row>
    <row r="320" spans="1:8" s="13" customFormat="1" ht="24.75" customHeight="1">
      <c r="A320" s="9">
        <v>318</v>
      </c>
      <c r="B320" s="9" t="str">
        <f>"郭慧"</f>
        <v>郭慧</v>
      </c>
      <c r="C320" s="9" t="str">
        <f t="shared" si="20"/>
        <v>女</v>
      </c>
      <c r="D320" s="9" t="str">
        <f>"汉族"</f>
        <v>汉族</v>
      </c>
      <c r="E320" s="9" t="str">
        <f>"20220011118"</f>
        <v>20220011118</v>
      </c>
      <c r="F320" s="9">
        <v>0</v>
      </c>
      <c r="G320" s="9"/>
      <c r="H320" s="9">
        <f t="shared" si="21"/>
        <v>0</v>
      </c>
    </row>
    <row r="321" spans="1:8" s="13" customFormat="1" ht="24.75" customHeight="1">
      <c r="A321" s="9">
        <v>319</v>
      </c>
      <c r="B321" s="9" t="str">
        <f>"张薇薇"</f>
        <v>张薇薇</v>
      </c>
      <c r="C321" s="9" t="str">
        <f t="shared" si="20"/>
        <v>女</v>
      </c>
      <c r="D321" s="9" t="str">
        <f>"汉族"</f>
        <v>汉族</v>
      </c>
      <c r="E321" s="9" t="str">
        <f>"20220011119"</f>
        <v>20220011119</v>
      </c>
      <c r="F321" s="9">
        <v>71</v>
      </c>
      <c r="G321" s="9"/>
      <c r="H321" s="9">
        <f t="shared" si="21"/>
        <v>71</v>
      </c>
    </row>
    <row r="322" spans="1:8" s="13" customFormat="1" ht="24.75" customHeight="1">
      <c r="A322" s="9">
        <v>320</v>
      </c>
      <c r="B322" s="9" t="str">
        <f>"斯庆塔娜"</f>
        <v>斯庆塔娜</v>
      </c>
      <c r="C322" s="9" t="str">
        <f t="shared" si="20"/>
        <v>女</v>
      </c>
      <c r="D322" s="9" t="str">
        <f>"蒙古族"</f>
        <v>蒙古族</v>
      </c>
      <c r="E322" s="9" t="str">
        <f>"20220011120"</f>
        <v>20220011120</v>
      </c>
      <c r="F322" s="9">
        <v>53</v>
      </c>
      <c r="G322" s="9">
        <v>2.5</v>
      </c>
      <c r="H322" s="9">
        <f t="shared" si="21"/>
        <v>55.5</v>
      </c>
    </row>
    <row r="323" spans="1:8" s="13" customFormat="1" ht="24.75" customHeight="1">
      <c r="A323" s="9">
        <v>321</v>
      </c>
      <c r="B323" s="9" t="str">
        <f>"刘汇江"</f>
        <v>刘汇江</v>
      </c>
      <c r="C323" s="9" t="str">
        <f aca="true" t="shared" si="25" ref="C323:C386">"女"</f>
        <v>女</v>
      </c>
      <c r="D323" s="9" t="str">
        <f>"汉族"</f>
        <v>汉族</v>
      </c>
      <c r="E323" s="9" t="str">
        <f>"20220011121"</f>
        <v>20220011121</v>
      </c>
      <c r="F323" s="9">
        <v>41</v>
      </c>
      <c r="G323" s="9"/>
      <c r="H323" s="9">
        <f aca="true" t="shared" si="26" ref="H323:H386">F323+G323</f>
        <v>41</v>
      </c>
    </row>
    <row r="324" spans="1:8" s="13" customFormat="1" ht="24.75" customHeight="1">
      <c r="A324" s="9">
        <v>322</v>
      </c>
      <c r="B324" s="9" t="str">
        <f>"赵之宣"</f>
        <v>赵之宣</v>
      </c>
      <c r="C324" s="9" t="str">
        <f t="shared" si="25"/>
        <v>女</v>
      </c>
      <c r="D324" s="9" t="str">
        <f>"汉族"</f>
        <v>汉族</v>
      </c>
      <c r="E324" s="9" t="str">
        <f>"20220011122"</f>
        <v>20220011122</v>
      </c>
      <c r="F324" s="9">
        <v>0</v>
      </c>
      <c r="G324" s="9"/>
      <c r="H324" s="9">
        <f t="shared" si="26"/>
        <v>0</v>
      </c>
    </row>
    <row r="325" spans="1:8" s="13" customFormat="1" ht="24.75" customHeight="1">
      <c r="A325" s="9">
        <v>323</v>
      </c>
      <c r="B325" s="9" t="str">
        <f>"周广欣"</f>
        <v>周广欣</v>
      </c>
      <c r="C325" s="9" t="str">
        <f t="shared" si="25"/>
        <v>女</v>
      </c>
      <c r="D325" s="9" t="str">
        <f>"蒙古族"</f>
        <v>蒙古族</v>
      </c>
      <c r="E325" s="9" t="str">
        <f>"20220011123"</f>
        <v>20220011123</v>
      </c>
      <c r="F325" s="9">
        <v>56</v>
      </c>
      <c r="G325" s="9">
        <v>2.5</v>
      </c>
      <c r="H325" s="9">
        <f t="shared" si="26"/>
        <v>58.5</v>
      </c>
    </row>
    <row r="326" spans="1:8" s="13" customFormat="1" ht="24.75" customHeight="1">
      <c r="A326" s="9">
        <v>324</v>
      </c>
      <c r="B326" s="9" t="str">
        <f>"杨嘉越"</f>
        <v>杨嘉越</v>
      </c>
      <c r="C326" s="9" t="str">
        <f t="shared" si="25"/>
        <v>女</v>
      </c>
      <c r="D326" s="9" t="str">
        <f>"蒙古族"</f>
        <v>蒙古族</v>
      </c>
      <c r="E326" s="9" t="str">
        <f>"20220011124"</f>
        <v>20220011124</v>
      </c>
      <c r="F326" s="9">
        <v>0</v>
      </c>
      <c r="G326" s="9">
        <v>2.5</v>
      </c>
      <c r="H326" s="9">
        <f t="shared" si="26"/>
        <v>2.5</v>
      </c>
    </row>
    <row r="327" spans="1:8" s="13" customFormat="1" ht="24.75" customHeight="1">
      <c r="A327" s="9">
        <v>325</v>
      </c>
      <c r="B327" s="9" t="str">
        <f>"段丽娜"</f>
        <v>段丽娜</v>
      </c>
      <c r="C327" s="9" t="str">
        <f t="shared" si="25"/>
        <v>女</v>
      </c>
      <c r="D327" s="9" t="str">
        <f>"汉族"</f>
        <v>汉族</v>
      </c>
      <c r="E327" s="9" t="str">
        <f>"20220011125"</f>
        <v>20220011125</v>
      </c>
      <c r="F327" s="9">
        <v>62</v>
      </c>
      <c r="G327" s="9"/>
      <c r="H327" s="9">
        <f t="shared" si="26"/>
        <v>62</v>
      </c>
    </row>
    <row r="328" spans="1:8" s="13" customFormat="1" ht="24.75" customHeight="1">
      <c r="A328" s="9">
        <v>326</v>
      </c>
      <c r="B328" s="9" t="str">
        <f>"松建霞"</f>
        <v>松建霞</v>
      </c>
      <c r="C328" s="9" t="str">
        <f t="shared" si="25"/>
        <v>女</v>
      </c>
      <c r="D328" s="9" t="str">
        <f>"汉族"</f>
        <v>汉族</v>
      </c>
      <c r="E328" s="9" t="str">
        <f>"20220011126"</f>
        <v>20220011126</v>
      </c>
      <c r="F328" s="9">
        <v>0</v>
      </c>
      <c r="G328" s="9"/>
      <c r="H328" s="9">
        <f t="shared" si="26"/>
        <v>0</v>
      </c>
    </row>
    <row r="329" spans="1:8" s="13" customFormat="1" ht="24.75" customHeight="1">
      <c r="A329" s="9">
        <v>327</v>
      </c>
      <c r="B329" s="9" t="str">
        <f>"安娜"</f>
        <v>安娜</v>
      </c>
      <c r="C329" s="9" t="str">
        <f t="shared" si="25"/>
        <v>女</v>
      </c>
      <c r="D329" s="9" t="str">
        <f>"蒙古族"</f>
        <v>蒙古族</v>
      </c>
      <c r="E329" s="9" t="str">
        <f>"20220011127"</f>
        <v>20220011127</v>
      </c>
      <c r="F329" s="9">
        <v>46</v>
      </c>
      <c r="G329" s="9">
        <v>2.5</v>
      </c>
      <c r="H329" s="9">
        <f t="shared" si="26"/>
        <v>48.5</v>
      </c>
    </row>
    <row r="330" spans="1:8" s="13" customFormat="1" ht="24.75" customHeight="1">
      <c r="A330" s="9">
        <v>328</v>
      </c>
      <c r="B330" s="9" t="str">
        <f>"刘婷"</f>
        <v>刘婷</v>
      </c>
      <c r="C330" s="9" t="str">
        <f t="shared" si="25"/>
        <v>女</v>
      </c>
      <c r="D330" s="9" t="str">
        <f>"汉族"</f>
        <v>汉族</v>
      </c>
      <c r="E330" s="9" t="str">
        <f>"20220011128"</f>
        <v>20220011128</v>
      </c>
      <c r="F330" s="9">
        <v>33</v>
      </c>
      <c r="G330" s="9"/>
      <c r="H330" s="9">
        <f t="shared" si="26"/>
        <v>33</v>
      </c>
    </row>
    <row r="331" spans="1:8" s="13" customFormat="1" ht="24.75" customHeight="1">
      <c r="A331" s="9">
        <v>329</v>
      </c>
      <c r="B331" s="9" t="str">
        <f>"郝俊霞"</f>
        <v>郝俊霞</v>
      </c>
      <c r="C331" s="9" t="str">
        <f t="shared" si="25"/>
        <v>女</v>
      </c>
      <c r="D331" s="9" t="str">
        <f>"汉族"</f>
        <v>汉族</v>
      </c>
      <c r="E331" s="9" t="str">
        <f>"20220011129"</f>
        <v>20220011129</v>
      </c>
      <c r="F331" s="9">
        <v>39</v>
      </c>
      <c r="G331" s="9"/>
      <c r="H331" s="9">
        <f t="shared" si="26"/>
        <v>39</v>
      </c>
    </row>
    <row r="332" spans="1:8" s="13" customFormat="1" ht="24.75" customHeight="1">
      <c r="A332" s="9">
        <v>330</v>
      </c>
      <c r="B332" s="9" t="str">
        <f>"李佳星"</f>
        <v>李佳星</v>
      </c>
      <c r="C332" s="9" t="str">
        <f t="shared" si="25"/>
        <v>女</v>
      </c>
      <c r="D332" s="9" t="str">
        <f>"汉族"</f>
        <v>汉族</v>
      </c>
      <c r="E332" s="9" t="str">
        <f>"20220011130"</f>
        <v>20220011130</v>
      </c>
      <c r="F332" s="9">
        <v>0</v>
      </c>
      <c r="G332" s="9"/>
      <c r="H332" s="9">
        <f t="shared" si="26"/>
        <v>0</v>
      </c>
    </row>
    <row r="333" spans="1:8" s="13" customFormat="1" ht="24.75" customHeight="1">
      <c r="A333" s="9">
        <v>331</v>
      </c>
      <c r="B333" s="9" t="str">
        <f>"刘萌"</f>
        <v>刘萌</v>
      </c>
      <c r="C333" s="9" t="str">
        <f t="shared" si="25"/>
        <v>女</v>
      </c>
      <c r="D333" s="9" t="str">
        <f>"汉族"</f>
        <v>汉族</v>
      </c>
      <c r="E333" s="9" t="str">
        <f>"20220011201"</f>
        <v>20220011201</v>
      </c>
      <c r="F333" s="9">
        <v>56</v>
      </c>
      <c r="G333" s="9"/>
      <c r="H333" s="9">
        <f t="shared" si="26"/>
        <v>56</v>
      </c>
    </row>
    <row r="334" spans="1:8" s="13" customFormat="1" ht="24.75" customHeight="1">
      <c r="A334" s="9">
        <v>332</v>
      </c>
      <c r="B334" s="9" t="str">
        <f>"解佳乐"</f>
        <v>解佳乐</v>
      </c>
      <c r="C334" s="9" t="str">
        <f t="shared" si="25"/>
        <v>女</v>
      </c>
      <c r="D334" s="9" t="str">
        <f>"汉族"</f>
        <v>汉族</v>
      </c>
      <c r="E334" s="9" t="str">
        <f>"20220011202"</f>
        <v>20220011202</v>
      </c>
      <c r="F334" s="9">
        <v>52</v>
      </c>
      <c r="G334" s="9"/>
      <c r="H334" s="9">
        <f t="shared" si="26"/>
        <v>52</v>
      </c>
    </row>
    <row r="335" spans="1:8" s="13" customFormat="1" ht="24.75" customHeight="1">
      <c r="A335" s="9">
        <v>333</v>
      </c>
      <c r="B335" s="9" t="str">
        <f>"云星河"</f>
        <v>云星河</v>
      </c>
      <c r="C335" s="9" t="str">
        <f t="shared" si="25"/>
        <v>女</v>
      </c>
      <c r="D335" s="9" t="str">
        <f>"蒙古族"</f>
        <v>蒙古族</v>
      </c>
      <c r="E335" s="9" t="str">
        <f>"20220011203"</f>
        <v>20220011203</v>
      </c>
      <c r="F335" s="9">
        <v>30</v>
      </c>
      <c r="G335" s="9">
        <v>2.5</v>
      </c>
      <c r="H335" s="9">
        <f t="shared" si="26"/>
        <v>32.5</v>
      </c>
    </row>
    <row r="336" spans="1:8" s="13" customFormat="1" ht="24.75" customHeight="1">
      <c r="A336" s="9">
        <v>334</v>
      </c>
      <c r="B336" s="9" t="str">
        <f>"李欣"</f>
        <v>李欣</v>
      </c>
      <c r="C336" s="9" t="str">
        <f t="shared" si="25"/>
        <v>女</v>
      </c>
      <c r="D336" s="9" t="str">
        <f aca="true" t="shared" si="27" ref="D336:D365">"汉族"</f>
        <v>汉族</v>
      </c>
      <c r="E336" s="9" t="str">
        <f>"20220011204"</f>
        <v>20220011204</v>
      </c>
      <c r="F336" s="9">
        <v>59</v>
      </c>
      <c r="G336" s="9"/>
      <c r="H336" s="9">
        <f t="shared" si="26"/>
        <v>59</v>
      </c>
    </row>
    <row r="337" spans="1:8" s="13" customFormat="1" ht="24.75" customHeight="1">
      <c r="A337" s="9">
        <v>335</v>
      </c>
      <c r="B337" s="9" t="str">
        <f>"于洁"</f>
        <v>于洁</v>
      </c>
      <c r="C337" s="9" t="str">
        <f t="shared" si="25"/>
        <v>女</v>
      </c>
      <c r="D337" s="9" t="str">
        <f t="shared" si="27"/>
        <v>汉族</v>
      </c>
      <c r="E337" s="9" t="str">
        <f>"20220011205"</f>
        <v>20220011205</v>
      </c>
      <c r="F337" s="9">
        <v>47</v>
      </c>
      <c r="G337" s="9"/>
      <c r="H337" s="9">
        <f t="shared" si="26"/>
        <v>47</v>
      </c>
    </row>
    <row r="338" spans="1:8" s="13" customFormat="1" ht="24.75" customHeight="1">
      <c r="A338" s="9">
        <v>336</v>
      </c>
      <c r="B338" s="9" t="str">
        <f>"刘瑾"</f>
        <v>刘瑾</v>
      </c>
      <c r="C338" s="9" t="str">
        <f t="shared" si="25"/>
        <v>女</v>
      </c>
      <c r="D338" s="9" t="str">
        <f t="shared" si="27"/>
        <v>汉族</v>
      </c>
      <c r="E338" s="9" t="str">
        <f>"20220011206"</f>
        <v>20220011206</v>
      </c>
      <c r="F338" s="9">
        <v>35</v>
      </c>
      <c r="G338" s="9"/>
      <c r="H338" s="9">
        <f t="shared" si="26"/>
        <v>35</v>
      </c>
    </row>
    <row r="339" spans="1:8" s="13" customFormat="1" ht="24.75" customHeight="1">
      <c r="A339" s="9">
        <v>337</v>
      </c>
      <c r="B339" s="9" t="str">
        <f>"郭星妤"</f>
        <v>郭星妤</v>
      </c>
      <c r="C339" s="9" t="str">
        <f t="shared" si="25"/>
        <v>女</v>
      </c>
      <c r="D339" s="9" t="str">
        <f t="shared" si="27"/>
        <v>汉族</v>
      </c>
      <c r="E339" s="9" t="str">
        <f>"20220011207"</f>
        <v>20220011207</v>
      </c>
      <c r="F339" s="9">
        <v>43</v>
      </c>
      <c r="G339" s="9"/>
      <c r="H339" s="9">
        <f t="shared" si="26"/>
        <v>43</v>
      </c>
    </row>
    <row r="340" spans="1:8" s="13" customFormat="1" ht="24.75" customHeight="1">
      <c r="A340" s="9">
        <v>338</v>
      </c>
      <c r="B340" s="9" t="str">
        <f>"李文璐"</f>
        <v>李文璐</v>
      </c>
      <c r="C340" s="9" t="str">
        <f t="shared" si="25"/>
        <v>女</v>
      </c>
      <c r="D340" s="9" t="str">
        <f t="shared" si="27"/>
        <v>汉族</v>
      </c>
      <c r="E340" s="9" t="str">
        <f>"20220011208"</f>
        <v>20220011208</v>
      </c>
      <c r="F340" s="9">
        <v>62</v>
      </c>
      <c r="G340" s="9"/>
      <c r="H340" s="9">
        <f t="shared" si="26"/>
        <v>62</v>
      </c>
    </row>
    <row r="341" spans="1:8" s="13" customFormat="1" ht="24.75" customHeight="1">
      <c r="A341" s="9">
        <v>339</v>
      </c>
      <c r="B341" s="9" t="str">
        <f>"高冰洁"</f>
        <v>高冰洁</v>
      </c>
      <c r="C341" s="9" t="str">
        <f t="shared" si="25"/>
        <v>女</v>
      </c>
      <c r="D341" s="9" t="str">
        <f t="shared" si="27"/>
        <v>汉族</v>
      </c>
      <c r="E341" s="9" t="str">
        <f>"20220011209"</f>
        <v>20220011209</v>
      </c>
      <c r="F341" s="9">
        <v>58</v>
      </c>
      <c r="G341" s="9"/>
      <c r="H341" s="9">
        <f t="shared" si="26"/>
        <v>58</v>
      </c>
    </row>
    <row r="342" spans="1:8" s="13" customFormat="1" ht="24.75" customHeight="1">
      <c r="A342" s="9">
        <v>340</v>
      </c>
      <c r="B342" s="9" t="str">
        <f>"段娅茹"</f>
        <v>段娅茹</v>
      </c>
      <c r="C342" s="9" t="str">
        <f t="shared" si="25"/>
        <v>女</v>
      </c>
      <c r="D342" s="9" t="str">
        <f t="shared" si="27"/>
        <v>汉族</v>
      </c>
      <c r="E342" s="9" t="str">
        <f>"20220011210"</f>
        <v>20220011210</v>
      </c>
      <c r="F342" s="9">
        <v>39</v>
      </c>
      <c r="G342" s="9"/>
      <c r="H342" s="9">
        <f t="shared" si="26"/>
        <v>39</v>
      </c>
    </row>
    <row r="343" spans="1:8" s="13" customFormat="1" ht="24.75" customHeight="1">
      <c r="A343" s="9">
        <v>341</v>
      </c>
      <c r="B343" s="9" t="str">
        <f>"雷蕾"</f>
        <v>雷蕾</v>
      </c>
      <c r="C343" s="9" t="str">
        <f t="shared" si="25"/>
        <v>女</v>
      </c>
      <c r="D343" s="9" t="str">
        <f t="shared" si="27"/>
        <v>汉族</v>
      </c>
      <c r="E343" s="9" t="str">
        <f>"20220011211"</f>
        <v>20220011211</v>
      </c>
      <c r="F343" s="9">
        <v>66</v>
      </c>
      <c r="G343" s="9"/>
      <c r="H343" s="9">
        <f t="shared" si="26"/>
        <v>66</v>
      </c>
    </row>
    <row r="344" spans="1:8" s="13" customFormat="1" ht="24.75" customHeight="1">
      <c r="A344" s="9">
        <v>342</v>
      </c>
      <c r="B344" s="9" t="str">
        <f>"张婷"</f>
        <v>张婷</v>
      </c>
      <c r="C344" s="9" t="str">
        <f t="shared" si="25"/>
        <v>女</v>
      </c>
      <c r="D344" s="9" t="str">
        <f t="shared" si="27"/>
        <v>汉族</v>
      </c>
      <c r="E344" s="9" t="str">
        <f>"20220011212"</f>
        <v>20220011212</v>
      </c>
      <c r="F344" s="9">
        <v>48</v>
      </c>
      <c r="G344" s="9"/>
      <c r="H344" s="9">
        <f t="shared" si="26"/>
        <v>48</v>
      </c>
    </row>
    <row r="345" spans="1:8" s="13" customFormat="1" ht="24.75" customHeight="1">
      <c r="A345" s="9">
        <v>343</v>
      </c>
      <c r="B345" s="9" t="str">
        <f>"菅旭仙"</f>
        <v>菅旭仙</v>
      </c>
      <c r="C345" s="9" t="str">
        <f t="shared" si="25"/>
        <v>女</v>
      </c>
      <c r="D345" s="9" t="str">
        <f t="shared" si="27"/>
        <v>汉族</v>
      </c>
      <c r="E345" s="9" t="str">
        <f>"20220011213"</f>
        <v>20220011213</v>
      </c>
      <c r="F345" s="9">
        <v>55</v>
      </c>
      <c r="G345" s="9"/>
      <c r="H345" s="9">
        <f t="shared" si="26"/>
        <v>55</v>
      </c>
    </row>
    <row r="346" spans="1:8" s="13" customFormat="1" ht="24.75" customHeight="1">
      <c r="A346" s="9">
        <v>344</v>
      </c>
      <c r="B346" s="9" t="str">
        <f>"牛敏"</f>
        <v>牛敏</v>
      </c>
      <c r="C346" s="9" t="str">
        <f t="shared" si="25"/>
        <v>女</v>
      </c>
      <c r="D346" s="9" t="str">
        <f t="shared" si="27"/>
        <v>汉族</v>
      </c>
      <c r="E346" s="9" t="str">
        <f>"20220011214"</f>
        <v>20220011214</v>
      </c>
      <c r="F346" s="9">
        <v>22</v>
      </c>
      <c r="G346" s="9"/>
      <c r="H346" s="9">
        <f t="shared" si="26"/>
        <v>22</v>
      </c>
    </row>
    <row r="347" spans="1:8" s="13" customFormat="1" ht="24.75" customHeight="1">
      <c r="A347" s="9">
        <v>345</v>
      </c>
      <c r="B347" s="9" t="str">
        <f>"路婧"</f>
        <v>路婧</v>
      </c>
      <c r="C347" s="9" t="str">
        <f t="shared" si="25"/>
        <v>女</v>
      </c>
      <c r="D347" s="9" t="str">
        <f t="shared" si="27"/>
        <v>汉族</v>
      </c>
      <c r="E347" s="9" t="str">
        <f>"20220011215"</f>
        <v>20220011215</v>
      </c>
      <c r="F347" s="9">
        <v>56</v>
      </c>
      <c r="G347" s="9"/>
      <c r="H347" s="9">
        <f t="shared" si="26"/>
        <v>56</v>
      </c>
    </row>
    <row r="348" spans="1:8" s="13" customFormat="1" ht="24.75" customHeight="1">
      <c r="A348" s="9">
        <v>346</v>
      </c>
      <c r="B348" s="9" t="str">
        <f>"罗欣悦"</f>
        <v>罗欣悦</v>
      </c>
      <c r="C348" s="9" t="str">
        <f t="shared" si="25"/>
        <v>女</v>
      </c>
      <c r="D348" s="9" t="str">
        <f t="shared" si="27"/>
        <v>汉族</v>
      </c>
      <c r="E348" s="9" t="str">
        <f>"20220011216"</f>
        <v>20220011216</v>
      </c>
      <c r="F348" s="9">
        <v>71</v>
      </c>
      <c r="G348" s="9"/>
      <c r="H348" s="9">
        <f t="shared" si="26"/>
        <v>71</v>
      </c>
    </row>
    <row r="349" spans="1:8" s="13" customFormat="1" ht="24.75" customHeight="1">
      <c r="A349" s="9">
        <v>347</v>
      </c>
      <c r="B349" s="9" t="str">
        <f>"纪婷婷"</f>
        <v>纪婷婷</v>
      </c>
      <c r="C349" s="9" t="str">
        <f t="shared" si="25"/>
        <v>女</v>
      </c>
      <c r="D349" s="9" t="str">
        <f t="shared" si="27"/>
        <v>汉族</v>
      </c>
      <c r="E349" s="9" t="str">
        <f>"20220011217"</f>
        <v>20220011217</v>
      </c>
      <c r="F349" s="9">
        <v>0</v>
      </c>
      <c r="G349" s="9"/>
      <c r="H349" s="9">
        <f t="shared" si="26"/>
        <v>0</v>
      </c>
    </row>
    <row r="350" spans="1:8" s="13" customFormat="1" ht="24.75" customHeight="1">
      <c r="A350" s="9">
        <v>348</v>
      </c>
      <c r="B350" s="9" t="str">
        <f>"呼容丽"</f>
        <v>呼容丽</v>
      </c>
      <c r="C350" s="9" t="str">
        <f t="shared" si="25"/>
        <v>女</v>
      </c>
      <c r="D350" s="9" t="str">
        <f t="shared" si="27"/>
        <v>汉族</v>
      </c>
      <c r="E350" s="9" t="str">
        <f>"20220011218"</f>
        <v>20220011218</v>
      </c>
      <c r="F350" s="9">
        <v>58</v>
      </c>
      <c r="G350" s="9"/>
      <c r="H350" s="9">
        <f t="shared" si="26"/>
        <v>58</v>
      </c>
    </row>
    <row r="351" spans="1:8" s="13" customFormat="1" ht="24.75" customHeight="1">
      <c r="A351" s="9">
        <v>349</v>
      </c>
      <c r="B351" s="9" t="str">
        <f>" 高嘉敏"</f>
        <v> 高嘉敏</v>
      </c>
      <c r="C351" s="9" t="str">
        <f t="shared" si="25"/>
        <v>女</v>
      </c>
      <c r="D351" s="9" t="str">
        <f t="shared" si="27"/>
        <v>汉族</v>
      </c>
      <c r="E351" s="9" t="str">
        <f>"20220011219"</f>
        <v>20220011219</v>
      </c>
      <c r="F351" s="9">
        <v>50</v>
      </c>
      <c r="G351" s="9"/>
      <c r="H351" s="9">
        <f t="shared" si="26"/>
        <v>50</v>
      </c>
    </row>
    <row r="352" spans="1:8" s="13" customFormat="1" ht="24.75" customHeight="1">
      <c r="A352" s="9">
        <v>350</v>
      </c>
      <c r="B352" s="9" t="str">
        <f>"郭佳荣"</f>
        <v>郭佳荣</v>
      </c>
      <c r="C352" s="9" t="str">
        <f t="shared" si="25"/>
        <v>女</v>
      </c>
      <c r="D352" s="9" t="str">
        <f t="shared" si="27"/>
        <v>汉族</v>
      </c>
      <c r="E352" s="9" t="str">
        <f>"20220011220"</f>
        <v>20220011220</v>
      </c>
      <c r="F352" s="9">
        <v>64</v>
      </c>
      <c r="G352" s="9"/>
      <c r="H352" s="9">
        <f t="shared" si="26"/>
        <v>64</v>
      </c>
    </row>
    <row r="353" spans="1:8" s="13" customFormat="1" ht="24.75" customHeight="1">
      <c r="A353" s="9">
        <v>351</v>
      </c>
      <c r="B353" s="9" t="str">
        <f>"李静"</f>
        <v>李静</v>
      </c>
      <c r="C353" s="9" t="str">
        <f t="shared" si="25"/>
        <v>女</v>
      </c>
      <c r="D353" s="9" t="str">
        <f t="shared" si="27"/>
        <v>汉族</v>
      </c>
      <c r="E353" s="9" t="str">
        <f>"20220011221"</f>
        <v>20220011221</v>
      </c>
      <c r="F353" s="9">
        <v>48</v>
      </c>
      <c r="G353" s="9"/>
      <c r="H353" s="9">
        <f t="shared" si="26"/>
        <v>48</v>
      </c>
    </row>
    <row r="354" spans="1:8" s="13" customFormat="1" ht="24.75" customHeight="1">
      <c r="A354" s="9">
        <v>352</v>
      </c>
      <c r="B354" s="9" t="str">
        <f>"刘倩瑶"</f>
        <v>刘倩瑶</v>
      </c>
      <c r="C354" s="9" t="str">
        <f t="shared" si="25"/>
        <v>女</v>
      </c>
      <c r="D354" s="9" t="str">
        <f t="shared" si="27"/>
        <v>汉族</v>
      </c>
      <c r="E354" s="9" t="str">
        <f>"20220011222"</f>
        <v>20220011222</v>
      </c>
      <c r="F354" s="9">
        <v>34</v>
      </c>
      <c r="G354" s="9"/>
      <c r="H354" s="9">
        <f t="shared" si="26"/>
        <v>34</v>
      </c>
    </row>
    <row r="355" spans="1:8" s="13" customFormat="1" ht="24.75" customHeight="1">
      <c r="A355" s="9">
        <v>353</v>
      </c>
      <c r="B355" s="9" t="str">
        <f>"刘飞宇"</f>
        <v>刘飞宇</v>
      </c>
      <c r="C355" s="9" t="str">
        <f t="shared" si="25"/>
        <v>女</v>
      </c>
      <c r="D355" s="9" t="str">
        <f t="shared" si="27"/>
        <v>汉族</v>
      </c>
      <c r="E355" s="9" t="str">
        <f>"20220011223"</f>
        <v>20220011223</v>
      </c>
      <c r="F355" s="9">
        <v>71</v>
      </c>
      <c r="G355" s="9"/>
      <c r="H355" s="9">
        <f t="shared" si="26"/>
        <v>71</v>
      </c>
    </row>
    <row r="356" spans="1:8" s="13" customFormat="1" ht="24.75" customHeight="1">
      <c r="A356" s="9">
        <v>354</v>
      </c>
      <c r="B356" s="9" t="str">
        <f>"刘园"</f>
        <v>刘园</v>
      </c>
      <c r="C356" s="9" t="str">
        <f t="shared" si="25"/>
        <v>女</v>
      </c>
      <c r="D356" s="9" t="str">
        <f t="shared" si="27"/>
        <v>汉族</v>
      </c>
      <c r="E356" s="9" t="str">
        <f>"20220011224"</f>
        <v>20220011224</v>
      </c>
      <c r="F356" s="9">
        <v>69</v>
      </c>
      <c r="G356" s="9"/>
      <c r="H356" s="9">
        <f t="shared" si="26"/>
        <v>69</v>
      </c>
    </row>
    <row r="357" spans="1:8" s="13" customFormat="1" ht="24.75" customHeight="1">
      <c r="A357" s="9">
        <v>355</v>
      </c>
      <c r="B357" s="9" t="str">
        <f>"刘宇婷"</f>
        <v>刘宇婷</v>
      </c>
      <c r="C357" s="9" t="str">
        <f t="shared" si="25"/>
        <v>女</v>
      </c>
      <c r="D357" s="9" t="str">
        <f t="shared" si="27"/>
        <v>汉族</v>
      </c>
      <c r="E357" s="9" t="str">
        <f>"20220011225"</f>
        <v>20220011225</v>
      </c>
      <c r="F357" s="9">
        <v>53</v>
      </c>
      <c r="G357" s="9"/>
      <c r="H357" s="9">
        <f t="shared" si="26"/>
        <v>53</v>
      </c>
    </row>
    <row r="358" spans="1:8" s="13" customFormat="1" ht="24.75" customHeight="1">
      <c r="A358" s="9">
        <v>356</v>
      </c>
      <c r="B358" s="9" t="str">
        <f>"柳佳慧"</f>
        <v>柳佳慧</v>
      </c>
      <c r="C358" s="9" t="str">
        <f t="shared" si="25"/>
        <v>女</v>
      </c>
      <c r="D358" s="9" t="str">
        <f t="shared" si="27"/>
        <v>汉族</v>
      </c>
      <c r="E358" s="9" t="str">
        <f>"20220011226"</f>
        <v>20220011226</v>
      </c>
      <c r="F358" s="9">
        <v>52</v>
      </c>
      <c r="G358" s="9"/>
      <c r="H358" s="9">
        <f t="shared" si="26"/>
        <v>52</v>
      </c>
    </row>
    <row r="359" spans="1:8" s="13" customFormat="1" ht="24.75" customHeight="1">
      <c r="A359" s="9">
        <v>357</v>
      </c>
      <c r="B359" s="9" t="str">
        <f>"李秀娜"</f>
        <v>李秀娜</v>
      </c>
      <c r="C359" s="9" t="str">
        <f t="shared" si="25"/>
        <v>女</v>
      </c>
      <c r="D359" s="9" t="str">
        <f t="shared" si="27"/>
        <v>汉族</v>
      </c>
      <c r="E359" s="9" t="str">
        <f>"20220011227"</f>
        <v>20220011227</v>
      </c>
      <c r="F359" s="9">
        <v>0</v>
      </c>
      <c r="G359" s="9"/>
      <c r="H359" s="9">
        <f t="shared" si="26"/>
        <v>0</v>
      </c>
    </row>
    <row r="360" spans="1:8" s="13" customFormat="1" ht="24.75" customHeight="1">
      <c r="A360" s="9">
        <v>358</v>
      </c>
      <c r="B360" s="9" t="str">
        <f>"张宇慧"</f>
        <v>张宇慧</v>
      </c>
      <c r="C360" s="9" t="str">
        <f t="shared" si="25"/>
        <v>女</v>
      </c>
      <c r="D360" s="9" t="str">
        <f t="shared" si="27"/>
        <v>汉族</v>
      </c>
      <c r="E360" s="9" t="str">
        <f>"20220011228"</f>
        <v>20220011228</v>
      </c>
      <c r="F360" s="9">
        <v>65</v>
      </c>
      <c r="G360" s="9"/>
      <c r="H360" s="9">
        <f t="shared" si="26"/>
        <v>65</v>
      </c>
    </row>
    <row r="361" spans="1:8" s="13" customFormat="1" ht="24.75" customHeight="1">
      <c r="A361" s="9">
        <v>359</v>
      </c>
      <c r="B361" s="9" t="str">
        <f>"张存茹"</f>
        <v>张存茹</v>
      </c>
      <c r="C361" s="9" t="str">
        <f t="shared" si="25"/>
        <v>女</v>
      </c>
      <c r="D361" s="9" t="str">
        <f t="shared" si="27"/>
        <v>汉族</v>
      </c>
      <c r="E361" s="9" t="str">
        <f>"20220011229"</f>
        <v>20220011229</v>
      </c>
      <c r="F361" s="9">
        <v>60</v>
      </c>
      <c r="G361" s="9"/>
      <c r="H361" s="9">
        <f t="shared" si="26"/>
        <v>60</v>
      </c>
    </row>
    <row r="362" spans="1:8" s="13" customFormat="1" ht="24.75" customHeight="1">
      <c r="A362" s="9">
        <v>360</v>
      </c>
      <c r="B362" s="9" t="str">
        <f>"刘惠"</f>
        <v>刘惠</v>
      </c>
      <c r="C362" s="9" t="str">
        <f t="shared" si="25"/>
        <v>女</v>
      </c>
      <c r="D362" s="9" t="str">
        <f t="shared" si="27"/>
        <v>汉族</v>
      </c>
      <c r="E362" s="9" t="str">
        <f>"20220011230"</f>
        <v>20220011230</v>
      </c>
      <c r="F362" s="9">
        <v>60</v>
      </c>
      <c r="G362" s="9"/>
      <c r="H362" s="9">
        <f t="shared" si="26"/>
        <v>60</v>
      </c>
    </row>
    <row r="363" spans="1:8" s="13" customFormat="1" ht="24.75" customHeight="1">
      <c r="A363" s="9">
        <v>361</v>
      </c>
      <c r="B363" s="9" t="str">
        <f>"张嘉源"</f>
        <v>张嘉源</v>
      </c>
      <c r="C363" s="9" t="str">
        <f t="shared" si="25"/>
        <v>女</v>
      </c>
      <c r="D363" s="9" t="str">
        <f t="shared" si="27"/>
        <v>汉族</v>
      </c>
      <c r="E363" s="9" t="str">
        <f>"20220011301"</f>
        <v>20220011301</v>
      </c>
      <c r="F363" s="9">
        <v>0</v>
      </c>
      <c r="G363" s="9"/>
      <c r="H363" s="9">
        <f t="shared" si="26"/>
        <v>0</v>
      </c>
    </row>
    <row r="364" spans="1:8" s="13" customFormat="1" ht="24.75" customHeight="1">
      <c r="A364" s="9">
        <v>362</v>
      </c>
      <c r="B364" s="9" t="str">
        <f>"吴聿婷"</f>
        <v>吴聿婷</v>
      </c>
      <c r="C364" s="9" t="str">
        <f t="shared" si="25"/>
        <v>女</v>
      </c>
      <c r="D364" s="9" t="str">
        <f t="shared" si="27"/>
        <v>汉族</v>
      </c>
      <c r="E364" s="9" t="str">
        <f>"20220011302"</f>
        <v>20220011302</v>
      </c>
      <c r="F364" s="9">
        <v>51</v>
      </c>
      <c r="G364" s="9"/>
      <c r="H364" s="9">
        <f t="shared" si="26"/>
        <v>51</v>
      </c>
    </row>
    <row r="365" spans="1:8" s="13" customFormat="1" ht="24.75" customHeight="1">
      <c r="A365" s="9">
        <v>363</v>
      </c>
      <c r="B365" s="9" t="str">
        <f>"周超"</f>
        <v>周超</v>
      </c>
      <c r="C365" s="9" t="str">
        <f t="shared" si="25"/>
        <v>女</v>
      </c>
      <c r="D365" s="9" t="str">
        <f t="shared" si="27"/>
        <v>汉族</v>
      </c>
      <c r="E365" s="9" t="str">
        <f>"20220011303"</f>
        <v>20220011303</v>
      </c>
      <c r="F365" s="9">
        <v>68</v>
      </c>
      <c r="G365" s="9"/>
      <c r="H365" s="9">
        <f t="shared" si="26"/>
        <v>68</v>
      </c>
    </row>
    <row r="366" spans="1:8" s="13" customFormat="1" ht="24.75" customHeight="1">
      <c r="A366" s="9">
        <v>364</v>
      </c>
      <c r="B366" s="9" t="str">
        <f>"赵欣月"</f>
        <v>赵欣月</v>
      </c>
      <c r="C366" s="9" t="str">
        <f t="shared" si="25"/>
        <v>女</v>
      </c>
      <c r="D366" s="9" t="str">
        <f>"蒙古族"</f>
        <v>蒙古族</v>
      </c>
      <c r="E366" s="9" t="str">
        <f>"20220011304"</f>
        <v>20220011304</v>
      </c>
      <c r="F366" s="9">
        <v>72</v>
      </c>
      <c r="G366" s="9">
        <v>2.5</v>
      </c>
      <c r="H366" s="9">
        <f t="shared" si="26"/>
        <v>74.5</v>
      </c>
    </row>
    <row r="367" spans="1:8" s="13" customFormat="1" ht="24.75" customHeight="1">
      <c r="A367" s="9">
        <v>365</v>
      </c>
      <c r="B367" s="9" t="str">
        <f>"贾倩"</f>
        <v>贾倩</v>
      </c>
      <c r="C367" s="9" t="str">
        <f t="shared" si="25"/>
        <v>女</v>
      </c>
      <c r="D367" s="9" t="str">
        <f aca="true" t="shared" si="28" ref="D367:D372">"汉族"</f>
        <v>汉族</v>
      </c>
      <c r="E367" s="9" t="str">
        <f>"20220011305"</f>
        <v>20220011305</v>
      </c>
      <c r="F367" s="9">
        <v>35</v>
      </c>
      <c r="G367" s="9"/>
      <c r="H367" s="9">
        <f t="shared" si="26"/>
        <v>35</v>
      </c>
    </row>
    <row r="368" spans="1:8" s="13" customFormat="1" ht="24.75" customHeight="1">
      <c r="A368" s="9">
        <v>366</v>
      </c>
      <c r="B368" s="9" t="str">
        <f>"苏笑洁"</f>
        <v>苏笑洁</v>
      </c>
      <c r="C368" s="9" t="str">
        <f t="shared" si="25"/>
        <v>女</v>
      </c>
      <c r="D368" s="9" t="str">
        <f t="shared" si="28"/>
        <v>汉族</v>
      </c>
      <c r="E368" s="9" t="str">
        <f>"20220011306"</f>
        <v>20220011306</v>
      </c>
      <c r="F368" s="9">
        <v>50</v>
      </c>
      <c r="G368" s="9"/>
      <c r="H368" s="9">
        <f t="shared" si="26"/>
        <v>50</v>
      </c>
    </row>
    <row r="369" spans="1:8" s="13" customFormat="1" ht="24.75" customHeight="1">
      <c r="A369" s="9">
        <v>367</v>
      </c>
      <c r="B369" s="9" t="str">
        <f>"王辰"</f>
        <v>王辰</v>
      </c>
      <c r="C369" s="9" t="str">
        <f t="shared" si="25"/>
        <v>女</v>
      </c>
      <c r="D369" s="9" t="str">
        <f t="shared" si="28"/>
        <v>汉族</v>
      </c>
      <c r="E369" s="9" t="str">
        <f>"20220011307"</f>
        <v>20220011307</v>
      </c>
      <c r="F369" s="9">
        <v>48</v>
      </c>
      <c r="G369" s="9"/>
      <c r="H369" s="9">
        <f t="shared" si="26"/>
        <v>48</v>
      </c>
    </row>
    <row r="370" spans="1:8" s="13" customFormat="1" ht="24.75" customHeight="1">
      <c r="A370" s="9">
        <v>368</v>
      </c>
      <c r="B370" s="9" t="str">
        <f>"贾雨欣"</f>
        <v>贾雨欣</v>
      </c>
      <c r="C370" s="9" t="str">
        <f t="shared" si="25"/>
        <v>女</v>
      </c>
      <c r="D370" s="9" t="str">
        <f t="shared" si="28"/>
        <v>汉族</v>
      </c>
      <c r="E370" s="9" t="str">
        <f>"20220011308"</f>
        <v>20220011308</v>
      </c>
      <c r="F370" s="9">
        <v>47</v>
      </c>
      <c r="G370" s="9"/>
      <c r="H370" s="9">
        <f t="shared" si="26"/>
        <v>47</v>
      </c>
    </row>
    <row r="371" spans="1:8" s="13" customFormat="1" ht="24.75" customHeight="1">
      <c r="A371" s="9">
        <v>369</v>
      </c>
      <c r="B371" s="9" t="str">
        <f>"王海瑞"</f>
        <v>王海瑞</v>
      </c>
      <c r="C371" s="9" t="str">
        <f t="shared" si="25"/>
        <v>女</v>
      </c>
      <c r="D371" s="9" t="str">
        <f t="shared" si="28"/>
        <v>汉族</v>
      </c>
      <c r="E371" s="9" t="str">
        <f>"20220011309"</f>
        <v>20220011309</v>
      </c>
      <c r="F371" s="9">
        <v>61</v>
      </c>
      <c r="G371" s="9"/>
      <c r="H371" s="9">
        <f t="shared" si="26"/>
        <v>61</v>
      </c>
    </row>
    <row r="372" spans="1:8" s="13" customFormat="1" ht="24.75" customHeight="1">
      <c r="A372" s="9">
        <v>370</v>
      </c>
      <c r="B372" s="9" t="str">
        <f>"魏佳欣"</f>
        <v>魏佳欣</v>
      </c>
      <c r="C372" s="9" t="str">
        <f t="shared" si="25"/>
        <v>女</v>
      </c>
      <c r="D372" s="9" t="str">
        <f t="shared" si="28"/>
        <v>汉族</v>
      </c>
      <c r="E372" s="9" t="str">
        <f>"20220011310"</f>
        <v>20220011310</v>
      </c>
      <c r="F372" s="9">
        <v>51</v>
      </c>
      <c r="G372" s="9"/>
      <c r="H372" s="9">
        <f t="shared" si="26"/>
        <v>51</v>
      </c>
    </row>
    <row r="373" spans="1:8" s="13" customFormat="1" ht="24.75" customHeight="1">
      <c r="A373" s="9">
        <v>371</v>
      </c>
      <c r="B373" s="9" t="str">
        <f>"周雪娜"</f>
        <v>周雪娜</v>
      </c>
      <c r="C373" s="9" t="str">
        <f t="shared" si="25"/>
        <v>女</v>
      </c>
      <c r="D373" s="9" t="str">
        <f>"蒙古族"</f>
        <v>蒙古族</v>
      </c>
      <c r="E373" s="9" t="str">
        <f>"20220011311"</f>
        <v>20220011311</v>
      </c>
      <c r="F373" s="9">
        <v>0</v>
      </c>
      <c r="G373" s="9">
        <v>2.5</v>
      </c>
      <c r="H373" s="9">
        <f t="shared" si="26"/>
        <v>2.5</v>
      </c>
    </row>
    <row r="374" spans="1:8" s="13" customFormat="1" ht="24.75" customHeight="1">
      <c r="A374" s="9">
        <v>372</v>
      </c>
      <c r="B374" s="9" t="str">
        <f>"姜海慧"</f>
        <v>姜海慧</v>
      </c>
      <c r="C374" s="9" t="str">
        <f t="shared" si="25"/>
        <v>女</v>
      </c>
      <c r="D374" s="9" t="str">
        <f>"汉族"</f>
        <v>汉族</v>
      </c>
      <c r="E374" s="9" t="str">
        <f>"20220011312"</f>
        <v>20220011312</v>
      </c>
      <c r="F374" s="9">
        <v>29</v>
      </c>
      <c r="G374" s="9"/>
      <c r="H374" s="9">
        <f t="shared" si="26"/>
        <v>29</v>
      </c>
    </row>
    <row r="375" spans="1:8" s="13" customFormat="1" ht="24.75" customHeight="1">
      <c r="A375" s="9">
        <v>373</v>
      </c>
      <c r="B375" s="9" t="str">
        <f>"王彩月"</f>
        <v>王彩月</v>
      </c>
      <c r="C375" s="9" t="str">
        <f t="shared" si="25"/>
        <v>女</v>
      </c>
      <c r="D375" s="9" t="str">
        <f>"汉族"</f>
        <v>汉族</v>
      </c>
      <c r="E375" s="9" t="str">
        <f>"20220011313"</f>
        <v>20220011313</v>
      </c>
      <c r="F375" s="9">
        <v>66</v>
      </c>
      <c r="G375" s="9"/>
      <c r="H375" s="9">
        <f t="shared" si="26"/>
        <v>66</v>
      </c>
    </row>
    <row r="376" spans="1:8" s="13" customFormat="1" ht="24.75" customHeight="1">
      <c r="A376" s="9">
        <v>374</v>
      </c>
      <c r="B376" s="9" t="str">
        <f>"王春丽"</f>
        <v>王春丽</v>
      </c>
      <c r="C376" s="9" t="str">
        <f t="shared" si="25"/>
        <v>女</v>
      </c>
      <c r="D376" s="9" t="str">
        <f>"蒙古族"</f>
        <v>蒙古族</v>
      </c>
      <c r="E376" s="9" t="str">
        <f>"20220011314"</f>
        <v>20220011314</v>
      </c>
      <c r="F376" s="9">
        <v>0</v>
      </c>
      <c r="G376" s="9">
        <v>2.5</v>
      </c>
      <c r="H376" s="9">
        <f t="shared" si="26"/>
        <v>2.5</v>
      </c>
    </row>
    <row r="377" spans="1:8" s="13" customFormat="1" ht="24.75" customHeight="1">
      <c r="A377" s="9">
        <v>375</v>
      </c>
      <c r="B377" s="9" t="str">
        <f>"张凯燕"</f>
        <v>张凯燕</v>
      </c>
      <c r="C377" s="9" t="str">
        <f t="shared" si="25"/>
        <v>女</v>
      </c>
      <c r="D377" s="9" t="str">
        <f aca="true" t="shared" si="29" ref="D377:D384">"汉族"</f>
        <v>汉族</v>
      </c>
      <c r="E377" s="9" t="str">
        <f>"20220011315"</f>
        <v>20220011315</v>
      </c>
      <c r="F377" s="9">
        <v>43</v>
      </c>
      <c r="G377" s="9"/>
      <c r="H377" s="9">
        <f t="shared" si="26"/>
        <v>43</v>
      </c>
    </row>
    <row r="378" spans="1:8" s="13" customFormat="1" ht="24.75" customHeight="1">
      <c r="A378" s="9">
        <v>376</v>
      </c>
      <c r="B378" s="9" t="str">
        <f>"高智慧"</f>
        <v>高智慧</v>
      </c>
      <c r="C378" s="9" t="str">
        <f t="shared" si="25"/>
        <v>女</v>
      </c>
      <c r="D378" s="9" t="str">
        <f t="shared" si="29"/>
        <v>汉族</v>
      </c>
      <c r="E378" s="9" t="str">
        <f>"20220011316"</f>
        <v>20220011316</v>
      </c>
      <c r="F378" s="9">
        <v>51</v>
      </c>
      <c r="G378" s="9"/>
      <c r="H378" s="9">
        <f t="shared" si="26"/>
        <v>51</v>
      </c>
    </row>
    <row r="379" spans="1:8" s="13" customFormat="1" ht="24.75" customHeight="1">
      <c r="A379" s="9">
        <v>377</v>
      </c>
      <c r="B379" s="9" t="str">
        <f>"侯小燕"</f>
        <v>侯小燕</v>
      </c>
      <c r="C379" s="9" t="str">
        <f t="shared" si="25"/>
        <v>女</v>
      </c>
      <c r="D379" s="9" t="str">
        <f t="shared" si="29"/>
        <v>汉族</v>
      </c>
      <c r="E379" s="9" t="str">
        <f>"20220011317"</f>
        <v>20220011317</v>
      </c>
      <c r="F379" s="9">
        <v>54</v>
      </c>
      <c r="G379" s="9"/>
      <c r="H379" s="9">
        <f t="shared" si="26"/>
        <v>54</v>
      </c>
    </row>
    <row r="380" spans="1:8" s="13" customFormat="1" ht="24.75" customHeight="1">
      <c r="A380" s="9">
        <v>378</v>
      </c>
      <c r="B380" s="9" t="str">
        <f>"任圆"</f>
        <v>任圆</v>
      </c>
      <c r="C380" s="9" t="str">
        <f t="shared" si="25"/>
        <v>女</v>
      </c>
      <c r="D380" s="9" t="str">
        <f t="shared" si="29"/>
        <v>汉族</v>
      </c>
      <c r="E380" s="9" t="str">
        <f>"20220011318"</f>
        <v>20220011318</v>
      </c>
      <c r="F380" s="9">
        <v>48</v>
      </c>
      <c r="G380" s="9"/>
      <c r="H380" s="9">
        <f t="shared" si="26"/>
        <v>48</v>
      </c>
    </row>
    <row r="381" spans="1:8" s="13" customFormat="1" ht="24.75" customHeight="1">
      <c r="A381" s="9">
        <v>379</v>
      </c>
      <c r="B381" s="9" t="str">
        <f>"苗晓甜"</f>
        <v>苗晓甜</v>
      </c>
      <c r="C381" s="9" t="str">
        <f t="shared" si="25"/>
        <v>女</v>
      </c>
      <c r="D381" s="9" t="str">
        <f t="shared" si="29"/>
        <v>汉族</v>
      </c>
      <c r="E381" s="9" t="str">
        <f>"20220011319"</f>
        <v>20220011319</v>
      </c>
      <c r="F381" s="9">
        <v>0</v>
      </c>
      <c r="G381" s="9"/>
      <c r="H381" s="9">
        <f t="shared" si="26"/>
        <v>0</v>
      </c>
    </row>
    <row r="382" spans="1:8" s="13" customFormat="1" ht="24.75" customHeight="1">
      <c r="A382" s="9">
        <v>380</v>
      </c>
      <c r="B382" s="9" t="str">
        <f>"刘菊"</f>
        <v>刘菊</v>
      </c>
      <c r="C382" s="9" t="str">
        <f t="shared" si="25"/>
        <v>女</v>
      </c>
      <c r="D382" s="9" t="str">
        <f t="shared" si="29"/>
        <v>汉族</v>
      </c>
      <c r="E382" s="9" t="str">
        <f>"20220011320"</f>
        <v>20220011320</v>
      </c>
      <c r="F382" s="9">
        <v>24</v>
      </c>
      <c r="G382" s="9"/>
      <c r="H382" s="9">
        <f t="shared" si="26"/>
        <v>24</v>
      </c>
    </row>
    <row r="383" spans="1:8" s="13" customFormat="1" ht="24.75" customHeight="1">
      <c r="A383" s="9">
        <v>381</v>
      </c>
      <c r="B383" s="9" t="str">
        <f>"龚旭梅"</f>
        <v>龚旭梅</v>
      </c>
      <c r="C383" s="9" t="str">
        <f t="shared" si="25"/>
        <v>女</v>
      </c>
      <c r="D383" s="9" t="str">
        <f t="shared" si="29"/>
        <v>汉族</v>
      </c>
      <c r="E383" s="9" t="str">
        <f>"20220011321"</f>
        <v>20220011321</v>
      </c>
      <c r="F383" s="9">
        <v>39</v>
      </c>
      <c r="G383" s="9"/>
      <c r="H383" s="9">
        <f t="shared" si="26"/>
        <v>39</v>
      </c>
    </row>
    <row r="384" spans="1:8" s="13" customFormat="1" ht="24.75" customHeight="1">
      <c r="A384" s="9">
        <v>382</v>
      </c>
      <c r="B384" s="9" t="str">
        <f>"郭硕"</f>
        <v>郭硕</v>
      </c>
      <c r="C384" s="9" t="str">
        <f t="shared" si="25"/>
        <v>女</v>
      </c>
      <c r="D384" s="9" t="str">
        <f t="shared" si="29"/>
        <v>汉族</v>
      </c>
      <c r="E384" s="9" t="str">
        <f>"20220011322"</f>
        <v>20220011322</v>
      </c>
      <c r="F384" s="9">
        <v>45</v>
      </c>
      <c r="G384" s="9"/>
      <c r="H384" s="9">
        <f t="shared" si="26"/>
        <v>45</v>
      </c>
    </row>
    <row r="385" spans="1:8" s="13" customFormat="1" ht="24.75" customHeight="1">
      <c r="A385" s="9">
        <v>383</v>
      </c>
      <c r="B385" s="9" t="str">
        <f>"阿力雅"</f>
        <v>阿力雅</v>
      </c>
      <c r="C385" s="9" t="str">
        <f t="shared" si="25"/>
        <v>女</v>
      </c>
      <c r="D385" s="9" t="str">
        <f>"蒙古族"</f>
        <v>蒙古族</v>
      </c>
      <c r="E385" s="9" t="str">
        <f>"20220011323"</f>
        <v>20220011323</v>
      </c>
      <c r="F385" s="9">
        <v>0</v>
      </c>
      <c r="G385" s="9">
        <v>2.5</v>
      </c>
      <c r="H385" s="9">
        <f t="shared" si="26"/>
        <v>2.5</v>
      </c>
    </row>
    <row r="386" spans="1:8" s="13" customFormat="1" ht="24.75" customHeight="1">
      <c r="A386" s="9">
        <v>384</v>
      </c>
      <c r="B386" s="9" t="str">
        <f>"徐雨彤"</f>
        <v>徐雨彤</v>
      </c>
      <c r="C386" s="9" t="str">
        <f t="shared" si="25"/>
        <v>女</v>
      </c>
      <c r="D386" s="9" t="str">
        <f aca="true" t="shared" si="30" ref="D386:D399">"汉族"</f>
        <v>汉族</v>
      </c>
      <c r="E386" s="9" t="str">
        <f>"20220011324"</f>
        <v>20220011324</v>
      </c>
      <c r="F386" s="9">
        <v>29</v>
      </c>
      <c r="G386" s="9"/>
      <c r="H386" s="9">
        <f t="shared" si="26"/>
        <v>29</v>
      </c>
    </row>
    <row r="387" spans="1:8" s="13" customFormat="1" ht="24.75" customHeight="1">
      <c r="A387" s="9">
        <v>385</v>
      </c>
      <c r="B387" s="9" t="str">
        <f>"苏敏"</f>
        <v>苏敏</v>
      </c>
      <c r="C387" s="9" t="str">
        <f aca="true" t="shared" si="31" ref="C387:C450">"女"</f>
        <v>女</v>
      </c>
      <c r="D387" s="9" t="str">
        <f t="shared" si="30"/>
        <v>汉族</v>
      </c>
      <c r="E387" s="9" t="str">
        <f>"20220011325"</f>
        <v>20220011325</v>
      </c>
      <c r="F387" s="9">
        <v>57</v>
      </c>
      <c r="G387" s="9"/>
      <c r="H387" s="9">
        <f aca="true" t="shared" si="32" ref="H387:H450">F387+G387</f>
        <v>57</v>
      </c>
    </row>
    <row r="388" spans="1:8" s="13" customFormat="1" ht="24.75" customHeight="1">
      <c r="A388" s="9">
        <v>386</v>
      </c>
      <c r="B388" s="9" t="str">
        <f>"胡晓轩"</f>
        <v>胡晓轩</v>
      </c>
      <c r="C388" s="9" t="str">
        <f t="shared" si="31"/>
        <v>女</v>
      </c>
      <c r="D388" s="9" t="str">
        <f t="shared" si="30"/>
        <v>汉族</v>
      </c>
      <c r="E388" s="9" t="str">
        <f>"20220011326"</f>
        <v>20220011326</v>
      </c>
      <c r="F388" s="9">
        <v>50</v>
      </c>
      <c r="G388" s="9"/>
      <c r="H388" s="9">
        <f t="shared" si="32"/>
        <v>50</v>
      </c>
    </row>
    <row r="389" spans="1:8" s="13" customFormat="1" ht="24.75" customHeight="1">
      <c r="A389" s="9">
        <v>387</v>
      </c>
      <c r="B389" s="9" t="str">
        <f>"田亚南"</f>
        <v>田亚南</v>
      </c>
      <c r="C389" s="9" t="str">
        <f t="shared" si="31"/>
        <v>女</v>
      </c>
      <c r="D389" s="9" t="str">
        <f t="shared" si="30"/>
        <v>汉族</v>
      </c>
      <c r="E389" s="9" t="str">
        <f>"20220011327"</f>
        <v>20220011327</v>
      </c>
      <c r="F389" s="9">
        <v>48</v>
      </c>
      <c r="G389" s="9"/>
      <c r="H389" s="9">
        <f t="shared" si="32"/>
        <v>48</v>
      </c>
    </row>
    <row r="390" spans="1:8" s="13" customFormat="1" ht="24.75" customHeight="1">
      <c r="A390" s="9">
        <v>388</v>
      </c>
      <c r="B390" s="9" t="str">
        <f>"张晓怡"</f>
        <v>张晓怡</v>
      </c>
      <c r="C390" s="9" t="str">
        <f t="shared" si="31"/>
        <v>女</v>
      </c>
      <c r="D390" s="9" t="str">
        <f t="shared" si="30"/>
        <v>汉族</v>
      </c>
      <c r="E390" s="9" t="str">
        <f>"20220011328"</f>
        <v>20220011328</v>
      </c>
      <c r="F390" s="9">
        <v>43</v>
      </c>
      <c r="G390" s="9"/>
      <c r="H390" s="9">
        <f t="shared" si="32"/>
        <v>43</v>
      </c>
    </row>
    <row r="391" spans="1:8" s="13" customFormat="1" ht="24.75" customHeight="1">
      <c r="A391" s="9">
        <v>389</v>
      </c>
      <c r="B391" s="9" t="str">
        <f>"李金月"</f>
        <v>李金月</v>
      </c>
      <c r="C391" s="9" t="str">
        <f t="shared" si="31"/>
        <v>女</v>
      </c>
      <c r="D391" s="9" t="str">
        <f t="shared" si="30"/>
        <v>汉族</v>
      </c>
      <c r="E391" s="9" t="str">
        <f>"20220011329"</f>
        <v>20220011329</v>
      </c>
      <c r="F391" s="9">
        <v>44</v>
      </c>
      <c r="G391" s="9"/>
      <c r="H391" s="9">
        <f t="shared" si="32"/>
        <v>44</v>
      </c>
    </row>
    <row r="392" spans="1:8" s="13" customFormat="1" ht="24.75" customHeight="1">
      <c r="A392" s="9">
        <v>390</v>
      </c>
      <c r="B392" s="9" t="str">
        <f>"王筠嘉"</f>
        <v>王筠嘉</v>
      </c>
      <c r="C392" s="9" t="str">
        <f t="shared" si="31"/>
        <v>女</v>
      </c>
      <c r="D392" s="9" t="str">
        <f t="shared" si="30"/>
        <v>汉族</v>
      </c>
      <c r="E392" s="9" t="str">
        <f>"20220011330"</f>
        <v>20220011330</v>
      </c>
      <c r="F392" s="9">
        <v>61</v>
      </c>
      <c r="G392" s="9"/>
      <c r="H392" s="9">
        <f t="shared" si="32"/>
        <v>61</v>
      </c>
    </row>
    <row r="393" spans="1:8" s="13" customFormat="1" ht="24.75" customHeight="1">
      <c r="A393" s="9">
        <v>391</v>
      </c>
      <c r="B393" s="9" t="str">
        <f>"李映璇"</f>
        <v>李映璇</v>
      </c>
      <c r="C393" s="9" t="str">
        <f t="shared" si="31"/>
        <v>女</v>
      </c>
      <c r="D393" s="9" t="str">
        <f t="shared" si="30"/>
        <v>汉族</v>
      </c>
      <c r="E393" s="9" t="str">
        <f>"20220011401"</f>
        <v>20220011401</v>
      </c>
      <c r="F393" s="9">
        <v>52</v>
      </c>
      <c r="G393" s="9"/>
      <c r="H393" s="9">
        <f t="shared" si="32"/>
        <v>52</v>
      </c>
    </row>
    <row r="394" spans="1:8" s="13" customFormat="1" ht="24.75" customHeight="1">
      <c r="A394" s="9">
        <v>392</v>
      </c>
      <c r="B394" s="9" t="str">
        <f>"贺小轩"</f>
        <v>贺小轩</v>
      </c>
      <c r="C394" s="9" t="str">
        <f t="shared" si="31"/>
        <v>女</v>
      </c>
      <c r="D394" s="9" t="str">
        <f t="shared" si="30"/>
        <v>汉族</v>
      </c>
      <c r="E394" s="9" t="str">
        <f>"20220011402"</f>
        <v>20220011402</v>
      </c>
      <c r="F394" s="9">
        <v>37</v>
      </c>
      <c r="G394" s="9"/>
      <c r="H394" s="9">
        <f t="shared" si="32"/>
        <v>37</v>
      </c>
    </row>
    <row r="395" spans="1:8" s="13" customFormat="1" ht="24.75" customHeight="1">
      <c r="A395" s="9">
        <v>393</v>
      </c>
      <c r="B395" s="9" t="str">
        <f>"葛朕菲"</f>
        <v>葛朕菲</v>
      </c>
      <c r="C395" s="9" t="str">
        <f t="shared" si="31"/>
        <v>女</v>
      </c>
      <c r="D395" s="9" t="str">
        <f t="shared" si="30"/>
        <v>汉族</v>
      </c>
      <c r="E395" s="9" t="str">
        <f>"20220011403"</f>
        <v>20220011403</v>
      </c>
      <c r="F395" s="9">
        <v>74</v>
      </c>
      <c r="G395" s="9"/>
      <c r="H395" s="9">
        <f t="shared" si="32"/>
        <v>74</v>
      </c>
    </row>
    <row r="396" spans="1:8" s="13" customFormat="1" ht="24.75" customHeight="1">
      <c r="A396" s="9">
        <v>394</v>
      </c>
      <c r="B396" s="9" t="str">
        <f>"耿婕"</f>
        <v>耿婕</v>
      </c>
      <c r="C396" s="9" t="str">
        <f t="shared" si="31"/>
        <v>女</v>
      </c>
      <c r="D396" s="9" t="str">
        <f t="shared" si="30"/>
        <v>汉族</v>
      </c>
      <c r="E396" s="9" t="str">
        <f>"20220011404"</f>
        <v>20220011404</v>
      </c>
      <c r="F396" s="9">
        <v>50</v>
      </c>
      <c r="G396" s="9"/>
      <c r="H396" s="9">
        <f t="shared" si="32"/>
        <v>50</v>
      </c>
    </row>
    <row r="397" spans="1:8" s="13" customFormat="1" ht="24.75" customHeight="1">
      <c r="A397" s="9">
        <v>395</v>
      </c>
      <c r="B397" s="9" t="str">
        <f>"李尚花"</f>
        <v>李尚花</v>
      </c>
      <c r="C397" s="9" t="str">
        <f t="shared" si="31"/>
        <v>女</v>
      </c>
      <c r="D397" s="9" t="str">
        <f t="shared" si="30"/>
        <v>汉族</v>
      </c>
      <c r="E397" s="9" t="str">
        <f>"20220011405"</f>
        <v>20220011405</v>
      </c>
      <c r="F397" s="9">
        <v>41</v>
      </c>
      <c r="G397" s="9"/>
      <c r="H397" s="9">
        <f t="shared" si="32"/>
        <v>41</v>
      </c>
    </row>
    <row r="398" spans="1:8" s="13" customFormat="1" ht="24.75" customHeight="1">
      <c r="A398" s="9">
        <v>396</v>
      </c>
      <c r="B398" s="9" t="str">
        <f>"张之瑶"</f>
        <v>张之瑶</v>
      </c>
      <c r="C398" s="9" t="str">
        <f t="shared" si="31"/>
        <v>女</v>
      </c>
      <c r="D398" s="9" t="str">
        <f t="shared" si="30"/>
        <v>汉族</v>
      </c>
      <c r="E398" s="9" t="str">
        <f>"20220011406"</f>
        <v>20220011406</v>
      </c>
      <c r="F398" s="9">
        <v>75</v>
      </c>
      <c r="G398" s="9"/>
      <c r="H398" s="9">
        <f t="shared" si="32"/>
        <v>75</v>
      </c>
    </row>
    <row r="399" spans="1:8" s="13" customFormat="1" ht="24.75" customHeight="1">
      <c r="A399" s="9">
        <v>397</v>
      </c>
      <c r="B399" s="9" t="str">
        <f>"贾敏"</f>
        <v>贾敏</v>
      </c>
      <c r="C399" s="9" t="str">
        <f t="shared" si="31"/>
        <v>女</v>
      </c>
      <c r="D399" s="9" t="str">
        <f t="shared" si="30"/>
        <v>汉族</v>
      </c>
      <c r="E399" s="9" t="str">
        <f>"20220011407"</f>
        <v>20220011407</v>
      </c>
      <c r="F399" s="9">
        <v>28</v>
      </c>
      <c r="G399" s="9"/>
      <c r="H399" s="9">
        <f t="shared" si="32"/>
        <v>28</v>
      </c>
    </row>
    <row r="400" spans="1:8" s="13" customFormat="1" ht="24.75" customHeight="1">
      <c r="A400" s="9">
        <v>398</v>
      </c>
      <c r="B400" s="9" t="str">
        <f>"钱润"</f>
        <v>钱润</v>
      </c>
      <c r="C400" s="9" t="str">
        <f t="shared" si="31"/>
        <v>女</v>
      </c>
      <c r="D400" s="9" t="str">
        <f>"蒙古族"</f>
        <v>蒙古族</v>
      </c>
      <c r="E400" s="9" t="str">
        <f>"20220011408"</f>
        <v>20220011408</v>
      </c>
      <c r="F400" s="9">
        <v>39</v>
      </c>
      <c r="G400" s="9">
        <v>2.5</v>
      </c>
      <c r="H400" s="9">
        <f t="shared" si="32"/>
        <v>41.5</v>
      </c>
    </row>
    <row r="401" spans="1:8" s="13" customFormat="1" ht="24.75" customHeight="1">
      <c r="A401" s="9">
        <v>399</v>
      </c>
      <c r="B401" s="9" t="str">
        <f>"杨雅琦"</f>
        <v>杨雅琦</v>
      </c>
      <c r="C401" s="9" t="str">
        <f t="shared" si="31"/>
        <v>女</v>
      </c>
      <c r="D401" s="9" t="str">
        <f>"蒙古族"</f>
        <v>蒙古族</v>
      </c>
      <c r="E401" s="9" t="str">
        <f>"20220011409"</f>
        <v>20220011409</v>
      </c>
      <c r="F401" s="9">
        <v>0</v>
      </c>
      <c r="G401" s="9">
        <v>2.5</v>
      </c>
      <c r="H401" s="9">
        <f t="shared" si="32"/>
        <v>2.5</v>
      </c>
    </row>
    <row r="402" spans="1:8" s="13" customFormat="1" ht="24.75" customHeight="1">
      <c r="A402" s="9">
        <v>400</v>
      </c>
      <c r="B402" s="9" t="str">
        <f>"刘珂玥"</f>
        <v>刘珂玥</v>
      </c>
      <c r="C402" s="9" t="str">
        <f t="shared" si="31"/>
        <v>女</v>
      </c>
      <c r="D402" s="9" t="str">
        <f>"汉族"</f>
        <v>汉族</v>
      </c>
      <c r="E402" s="9" t="str">
        <f>"20220011410"</f>
        <v>20220011410</v>
      </c>
      <c r="F402" s="9">
        <v>61</v>
      </c>
      <c r="G402" s="9"/>
      <c r="H402" s="9">
        <f t="shared" si="32"/>
        <v>61</v>
      </c>
    </row>
    <row r="403" spans="1:8" s="13" customFormat="1" ht="24.75" customHeight="1">
      <c r="A403" s="9">
        <v>401</v>
      </c>
      <c r="B403" s="9" t="str">
        <f>"赵瑞"</f>
        <v>赵瑞</v>
      </c>
      <c r="C403" s="9" t="str">
        <f t="shared" si="31"/>
        <v>女</v>
      </c>
      <c r="D403" s="9" t="str">
        <f>"汉族"</f>
        <v>汉族</v>
      </c>
      <c r="E403" s="9" t="str">
        <f>"20220011411"</f>
        <v>20220011411</v>
      </c>
      <c r="F403" s="9">
        <v>54</v>
      </c>
      <c r="G403" s="9"/>
      <c r="H403" s="9">
        <f t="shared" si="32"/>
        <v>54</v>
      </c>
    </row>
    <row r="404" spans="1:8" s="13" customFormat="1" ht="24.75" customHeight="1">
      <c r="A404" s="9">
        <v>402</v>
      </c>
      <c r="B404" s="9" t="str">
        <f>"吕欣志"</f>
        <v>吕欣志</v>
      </c>
      <c r="C404" s="9" t="str">
        <f t="shared" si="31"/>
        <v>女</v>
      </c>
      <c r="D404" s="9" t="str">
        <f>"汉族"</f>
        <v>汉族</v>
      </c>
      <c r="E404" s="9" t="str">
        <f>"20220011412"</f>
        <v>20220011412</v>
      </c>
      <c r="F404" s="9">
        <v>0</v>
      </c>
      <c r="G404" s="9"/>
      <c r="H404" s="9">
        <f t="shared" si="32"/>
        <v>0</v>
      </c>
    </row>
    <row r="405" spans="1:8" s="13" customFormat="1" ht="24.75" customHeight="1">
      <c r="A405" s="9">
        <v>403</v>
      </c>
      <c r="B405" s="9" t="str">
        <f>"孙瑞丽"</f>
        <v>孙瑞丽</v>
      </c>
      <c r="C405" s="9" t="str">
        <f t="shared" si="31"/>
        <v>女</v>
      </c>
      <c r="D405" s="9" t="str">
        <f>"汉族"</f>
        <v>汉族</v>
      </c>
      <c r="E405" s="9" t="str">
        <f>"20220011413"</f>
        <v>20220011413</v>
      </c>
      <c r="F405" s="9">
        <v>62</v>
      </c>
      <c r="G405" s="9"/>
      <c r="H405" s="9">
        <f t="shared" si="32"/>
        <v>62</v>
      </c>
    </row>
    <row r="406" spans="1:8" s="13" customFormat="1" ht="24.75" customHeight="1">
      <c r="A406" s="9">
        <v>404</v>
      </c>
      <c r="B406" s="9" t="str">
        <f>"王丹"</f>
        <v>王丹</v>
      </c>
      <c r="C406" s="9" t="str">
        <f t="shared" si="31"/>
        <v>女</v>
      </c>
      <c r="D406" s="9" t="str">
        <f>"汉族"</f>
        <v>汉族</v>
      </c>
      <c r="E406" s="9" t="str">
        <f>"20220011414"</f>
        <v>20220011414</v>
      </c>
      <c r="F406" s="9">
        <v>56</v>
      </c>
      <c r="G406" s="9"/>
      <c r="H406" s="9">
        <f t="shared" si="32"/>
        <v>56</v>
      </c>
    </row>
    <row r="407" spans="1:8" s="13" customFormat="1" ht="24.75" customHeight="1">
      <c r="A407" s="9">
        <v>405</v>
      </c>
      <c r="B407" s="9" t="str">
        <f>"边聿婷"</f>
        <v>边聿婷</v>
      </c>
      <c r="C407" s="9" t="str">
        <f t="shared" si="31"/>
        <v>女</v>
      </c>
      <c r="D407" s="9" t="str">
        <f>"蒙古族"</f>
        <v>蒙古族</v>
      </c>
      <c r="E407" s="9" t="str">
        <f>"20220011415"</f>
        <v>20220011415</v>
      </c>
      <c r="F407" s="9">
        <v>24</v>
      </c>
      <c r="G407" s="9">
        <v>2.5</v>
      </c>
      <c r="H407" s="9">
        <f t="shared" si="32"/>
        <v>26.5</v>
      </c>
    </row>
    <row r="408" spans="1:8" s="13" customFormat="1" ht="24.75" customHeight="1">
      <c r="A408" s="9">
        <v>406</v>
      </c>
      <c r="B408" s="9" t="str">
        <f>"韩珍"</f>
        <v>韩珍</v>
      </c>
      <c r="C408" s="9" t="str">
        <f t="shared" si="31"/>
        <v>女</v>
      </c>
      <c r="D408" s="9" t="str">
        <f>"汉族"</f>
        <v>汉族</v>
      </c>
      <c r="E408" s="9" t="str">
        <f>"20220011416"</f>
        <v>20220011416</v>
      </c>
      <c r="F408" s="9">
        <v>53</v>
      </c>
      <c r="G408" s="9"/>
      <c r="H408" s="9">
        <f t="shared" si="32"/>
        <v>53</v>
      </c>
    </row>
    <row r="409" spans="1:8" s="13" customFormat="1" ht="24.75" customHeight="1">
      <c r="A409" s="9">
        <v>407</v>
      </c>
      <c r="B409" s="9" t="str">
        <f>"孟冉"</f>
        <v>孟冉</v>
      </c>
      <c r="C409" s="9" t="str">
        <f t="shared" si="31"/>
        <v>女</v>
      </c>
      <c r="D409" s="9" t="str">
        <f>"汉族"</f>
        <v>汉族</v>
      </c>
      <c r="E409" s="9" t="str">
        <f>"20220011417"</f>
        <v>20220011417</v>
      </c>
      <c r="F409" s="9">
        <v>55</v>
      </c>
      <c r="G409" s="9"/>
      <c r="H409" s="9">
        <f t="shared" si="32"/>
        <v>55</v>
      </c>
    </row>
    <row r="410" spans="1:8" s="13" customFormat="1" ht="24.75" customHeight="1">
      <c r="A410" s="9">
        <v>408</v>
      </c>
      <c r="B410" s="9" t="str">
        <f>"单雅楠"</f>
        <v>单雅楠</v>
      </c>
      <c r="C410" s="9" t="str">
        <f t="shared" si="31"/>
        <v>女</v>
      </c>
      <c r="D410" s="9" t="str">
        <f>"汉族"</f>
        <v>汉族</v>
      </c>
      <c r="E410" s="9" t="str">
        <f>"20220011418"</f>
        <v>20220011418</v>
      </c>
      <c r="F410" s="9">
        <v>61</v>
      </c>
      <c r="G410" s="9"/>
      <c r="H410" s="9">
        <f t="shared" si="32"/>
        <v>61</v>
      </c>
    </row>
    <row r="411" spans="1:8" s="13" customFormat="1" ht="24.75" customHeight="1">
      <c r="A411" s="9">
        <v>409</v>
      </c>
      <c r="B411" s="9" t="str">
        <f>"王思鉴"</f>
        <v>王思鉴</v>
      </c>
      <c r="C411" s="9" t="str">
        <f t="shared" si="31"/>
        <v>女</v>
      </c>
      <c r="D411" s="9" t="str">
        <f>"蒙古族"</f>
        <v>蒙古族</v>
      </c>
      <c r="E411" s="9" t="str">
        <f>"20220011419"</f>
        <v>20220011419</v>
      </c>
      <c r="F411" s="9">
        <v>63</v>
      </c>
      <c r="G411" s="9">
        <v>2.5</v>
      </c>
      <c r="H411" s="9">
        <f t="shared" si="32"/>
        <v>65.5</v>
      </c>
    </row>
    <row r="412" spans="1:8" s="13" customFormat="1" ht="24.75" customHeight="1">
      <c r="A412" s="9">
        <v>410</v>
      </c>
      <c r="B412" s="9" t="str">
        <f>"王雨珂"</f>
        <v>王雨珂</v>
      </c>
      <c r="C412" s="9" t="str">
        <f t="shared" si="31"/>
        <v>女</v>
      </c>
      <c r="D412" s="9" t="str">
        <f>"汉族"</f>
        <v>汉族</v>
      </c>
      <c r="E412" s="9" t="str">
        <f>"20220011420"</f>
        <v>20220011420</v>
      </c>
      <c r="F412" s="9">
        <v>0</v>
      </c>
      <c r="G412" s="9"/>
      <c r="H412" s="9">
        <f t="shared" si="32"/>
        <v>0</v>
      </c>
    </row>
    <row r="413" spans="1:8" s="13" customFormat="1" ht="24.75" customHeight="1">
      <c r="A413" s="9">
        <v>411</v>
      </c>
      <c r="B413" s="9" t="str">
        <f>"王绘"</f>
        <v>王绘</v>
      </c>
      <c r="C413" s="9" t="str">
        <f t="shared" si="31"/>
        <v>女</v>
      </c>
      <c r="D413" s="9" t="str">
        <f>"蒙古族"</f>
        <v>蒙古族</v>
      </c>
      <c r="E413" s="9" t="str">
        <f>"20220011421"</f>
        <v>20220011421</v>
      </c>
      <c r="F413" s="9">
        <v>45</v>
      </c>
      <c r="G413" s="9">
        <v>2.5</v>
      </c>
      <c r="H413" s="9">
        <f t="shared" si="32"/>
        <v>47.5</v>
      </c>
    </row>
    <row r="414" spans="1:8" s="13" customFormat="1" ht="24.75" customHeight="1">
      <c r="A414" s="9">
        <v>412</v>
      </c>
      <c r="B414" s="9" t="str">
        <f>"高梦露"</f>
        <v>高梦露</v>
      </c>
      <c r="C414" s="9" t="str">
        <f t="shared" si="31"/>
        <v>女</v>
      </c>
      <c r="D414" s="9" t="str">
        <f>"汉族"</f>
        <v>汉族</v>
      </c>
      <c r="E414" s="9" t="str">
        <f>"20220011422"</f>
        <v>20220011422</v>
      </c>
      <c r="F414" s="9">
        <v>58</v>
      </c>
      <c r="G414" s="9"/>
      <c r="H414" s="9">
        <f t="shared" si="32"/>
        <v>58</v>
      </c>
    </row>
    <row r="415" spans="1:8" s="13" customFormat="1" ht="24.75" customHeight="1">
      <c r="A415" s="9">
        <v>413</v>
      </c>
      <c r="B415" s="9" t="str">
        <f>"王璐"</f>
        <v>王璐</v>
      </c>
      <c r="C415" s="9" t="str">
        <f t="shared" si="31"/>
        <v>女</v>
      </c>
      <c r="D415" s="9" t="str">
        <f>"汉族"</f>
        <v>汉族</v>
      </c>
      <c r="E415" s="9" t="str">
        <f>"20220011423"</f>
        <v>20220011423</v>
      </c>
      <c r="F415" s="9">
        <v>64</v>
      </c>
      <c r="G415" s="9"/>
      <c r="H415" s="9">
        <f t="shared" si="32"/>
        <v>64</v>
      </c>
    </row>
    <row r="416" spans="1:8" s="13" customFormat="1" ht="24.75" customHeight="1">
      <c r="A416" s="9">
        <v>414</v>
      </c>
      <c r="B416" s="9" t="str">
        <f>"刘娜"</f>
        <v>刘娜</v>
      </c>
      <c r="C416" s="9" t="str">
        <f t="shared" si="31"/>
        <v>女</v>
      </c>
      <c r="D416" s="9" t="str">
        <f>"汉族"</f>
        <v>汉族</v>
      </c>
      <c r="E416" s="9" t="str">
        <f>"20220011424"</f>
        <v>20220011424</v>
      </c>
      <c r="F416" s="9">
        <v>60</v>
      </c>
      <c r="G416" s="9"/>
      <c r="H416" s="9">
        <f t="shared" si="32"/>
        <v>60</v>
      </c>
    </row>
    <row r="417" spans="1:8" s="13" customFormat="1" ht="24.75" customHeight="1">
      <c r="A417" s="9">
        <v>415</v>
      </c>
      <c r="B417" s="9" t="str">
        <f>"张效瑜"</f>
        <v>张效瑜</v>
      </c>
      <c r="C417" s="9" t="str">
        <f t="shared" si="31"/>
        <v>女</v>
      </c>
      <c r="D417" s="9" t="str">
        <f>"汉族"</f>
        <v>汉族</v>
      </c>
      <c r="E417" s="9" t="str">
        <f>"20220011425"</f>
        <v>20220011425</v>
      </c>
      <c r="F417" s="9">
        <v>64</v>
      </c>
      <c r="G417" s="9"/>
      <c r="H417" s="9">
        <f t="shared" si="32"/>
        <v>64</v>
      </c>
    </row>
    <row r="418" spans="1:8" s="13" customFormat="1" ht="24.75" customHeight="1">
      <c r="A418" s="9">
        <v>416</v>
      </c>
      <c r="B418" s="9" t="str">
        <f>"薛延瑾"</f>
        <v>薛延瑾</v>
      </c>
      <c r="C418" s="9" t="str">
        <f t="shared" si="31"/>
        <v>女</v>
      </c>
      <c r="D418" s="9" t="str">
        <f>"汉族"</f>
        <v>汉族</v>
      </c>
      <c r="E418" s="9" t="str">
        <f>"20220011426"</f>
        <v>20220011426</v>
      </c>
      <c r="F418" s="9">
        <v>53</v>
      </c>
      <c r="G418" s="9"/>
      <c r="H418" s="9">
        <f t="shared" si="32"/>
        <v>53</v>
      </c>
    </row>
    <row r="419" spans="1:8" s="13" customFormat="1" ht="24.75" customHeight="1">
      <c r="A419" s="9">
        <v>417</v>
      </c>
      <c r="B419" s="9" t="str">
        <f>"珠娜"</f>
        <v>珠娜</v>
      </c>
      <c r="C419" s="9" t="str">
        <f t="shared" si="31"/>
        <v>女</v>
      </c>
      <c r="D419" s="9" t="str">
        <f>"蒙古族"</f>
        <v>蒙古族</v>
      </c>
      <c r="E419" s="9" t="str">
        <f>"20220011427"</f>
        <v>20220011427</v>
      </c>
      <c r="F419" s="9">
        <v>30</v>
      </c>
      <c r="G419" s="9">
        <v>2.5</v>
      </c>
      <c r="H419" s="9">
        <f t="shared" si="32"/>
        <v>32.5</v>
      </c>
    </row>
    <row r="420" spans="1:8" s="13" customFormat="1" ht="24.75" customHeight="1">
      <c r="A420" s="9">
        <v>418</v>
      </c>
      <c r="B420" s="9" t="str">
        <f>"王厅"</f>
        <v>王厅</v>
      </c>
      <c r="C420" s="9" t="str">
        <f t="shared" si="31"/>
        <v>女</v>
      </c>
      <c r="D420" s="9" t="str">
        <f>"汉族"</f>
        <v>汉族</v>
      </c>
      <c r="E420" s="9" t="str">
        <f>"20220011428"</f>
        <v>20220011428</v>
      </c>
      <c r="F420" s="9">
        <v>25</v>
      </c>
      <c r="G420" s="9"/>
      <c r="H420" s="9">
        <f t="shared" si="32"/>
        <v>25</v>
      </c>
    </row>
    <row r="421" spans="1:8" s="13" customFormat="1" ht="24.75" customHeight="1">
      <c r="A421" s="9">
        <v>419</v>
      </c>
      <c r="B421" s="9" t="str">
        <f>"尚雅洁"</f>
        <v>尚雅洁</v>
      </c>
      <c r="C421" s="9" t="str">
        <f t="shared" si="31"/>
        <v>女</v>
      </c>
      <c r="D421" s="9" t="str">
        <f>"蒙古族"</f>
        <v>蒙古族</v>
      </c>
      <c r="E421" s="9" t="str">
        <f>"20220011429"</f>
        <v>20220011429</v>
      </c>
      <c r="F421" s="9">
        <v>0</v>
      </c>
      <c r="G421" s="9">
        <v>2.5</v>
      </c>
      <c r="H421" s="9">
        <f t="shared" si="32"/>
        <v>2.5</v>
      </c>
    </row>
    <row r="422" spans="1:8" s="13" customFormat="1" ht="24.75" customHeight="1">
      <c r="A422" s="9">
        <v>420</v>
      </c>
      <c r="B422" s="9" t="str">
        <f>"张千慧"</f>
        <v>张千慧</v>
      </c>
      <c r="C422" s="9" t="str">
        <f t="shared" si="31"/>
        <v>女</v>
      </c>
      <c r="D422" s="9" t="str">
        <f aca="true" t="shared" si="33" ref="D422:D429">"汉族"</f>
        <v>汉族</v>
      </c>
      <c r="E422" s="9" t="str">
        <f>"20220011430"</f>
        <v>20220011430</v>
      </c>
      <c r="F422" s="9">
        <v>49</v>
      </c>
      <c r="G422" s="9"/>
      <c r="H422" s="9">
        <f t="shared" si="32"/>
        <v>49</v>
      </c>
    </row>
    <row r="423" spans="1:8" s="13" customFormat="1" ht="24.75" customHeight="1">
      <c r="A423" s="9">
        <v>421</v>
      </c>
      <c r="B423" s="9" t="str">
        <f>"王丹丹"</f>
        <v>王丹丹</v>
      </c>
      <c r="C423" s="9" t="str">
        <f t="shared" si="31"/>
        <v>女</v>
      </c>
      <c r="D423" s="9" t="str">
        <f t="shared" si="33"/>
        <v>汉族</v>
      </c>
      <c r="E423" s="9" t="str">
        <f>"20220011501"</f>
        <v>20220011501</v>
      </c>
      <c r="F423" s="9">
        <v>55</v>
      </c>
      <c r="G423" s="9"/>
      <c r="H423" s="9">
        <f t="shared" si="32"/>
        <v>55</v>
      </c>
    </row>
    <row r="424" spans="1:8" s="13" customFormat="1" ht="24.75" customHeight="1">
      <c r="A424" s="9">
        <v>422</v>
      </c>
      <c r="B424" s="9" t="str">
        <f>"刘娜"</f>
        <v>刘娜</v>
      </c>
      <c r="C424" s="9" t="str">
        <f t="shared" si="31"/>
        <v>女</v>
      </c>
      <c r="D424" s="9" t="str">
        <f t="shared" si="33"/>
        <v>汉族</v>
      </c>
      <c r="E424" s="9" t="str">
        <f>"20220011502"</f>
        <v>20220011502</v>
      </c>
      <c r="F424" s="9">
        <v>43</v>
      </c>
      <c r="G424" s="9"/>
      <c r="H424" s="9">
        <f t="shared" si="32"/>
        <v>43</v>
      </c>
    </row>
    <row r="425" spans="1:8" s="13" customFormat="1" ht="24.75" customHeight="1">
      <c r="A425" s="9">
        <v>423</v>
      </c>
      <c r="B425" s="9" t="str">
        <f>"王春艳"</f>
        <v>王春艳</v>
      </c>
      <c r="C425" s="9" t="str">
        <f t="shared" si="31"/>
        <v>女</v>
      </c>
      <c r="D425" s="9" t="str">
        <f t="shared" si="33"/>
        <v>汉族</v>
      </c>
      <c r="E425" s="9" t="str">
        <f>"20220011503"</f>
        <v>20220011503</v>
      </c>
      <c r="F425" s="9">
        <v>31</v>
      </c>
      <c r="G425" s="9"/>
      <c r="H425" s="9">
        <f t="shared" si="32"/>
        <v>31</v>
      </c>
    </row>
    <row r="426" spans="1:8" s="13" customFormat="1" ht="24.75" customHeight="1">
      <c r="A426" s="9">
        <v>424</v>
      </c>
      <c r="B426" s="9" t="str">
        <f>"焦景暄"</f>
        <v>焦景暄</v>
      </c>
      <c r="C426" s="9" t="str">
        <f t="shared" si="31"/>
        <v>女</v>
      </c>
      <c r="D426" s="9" t="str">
        <f t="shared" si="33"/>
        <v>汉族</v>
      </c>
      <c r="E426" s="9" t="str">
        <f>"20220011504"</f>
        <v>20220011504</v>
      </c>
      <c r="F426" s="9">
        <v>43</v>
      </c>
      <c r="G426" s="9"/>
      <c r="H426" s="9">
        <f t="shared" si="32"/>
        <v>43</v>
      </c>
    </row>
    <row r="427" spans="1:8" s="13" customFormat="1" ht="24.75" customHeight="1">
      <c r="A427" s="9">
        <v>425</v>
      </c>
      <c r="B427" s="9" t="str">
        <f>"郭帆琛"</f>
        <v>郭帆琛</v>
      </c>
      <c r="C427" s="9" t="str">
        <f t="shared" si="31"/>
        <v>女</v>
      </c>
      <c r="D427" s="9" t="str">
        <f t="shared" si="33"/>
        <v>汉族</v>
      </c>
      <c r="E427" s="9" t="str">
        <f>"20220011505"</f>
        <v>20220011505</v>
      </c>
      <c r="F427" s="9">
        <v>66</v>
      </c>
      <c r="G427" s="9"/>
      <c r="H427" s="9">
        <f t="shared" si="32"/>
        <v>66</v>
      </c>
    </row>
    <row r="428" spans="1:8" s="13" customFormat="1" ht="24.75" customHeight="1">
      <c r="A428" s="9">
        <v>426</v>
      </c>
      <c r="B428" s="9" t="str">
        <f>"张洁"</f>
        <v>张洁</v>
      </c>
      <c r="C428" s="9" t="str">
        <f t="shared" si="31"/>
        <v>女</v>
      </c>
      <c r="D428" s="9" t="str">
        <f t="shared" si="33"/>
        <v>汉族</v>
      </c>
      <c r="E428" s="9" t="str">
        <f>"20220011506"</f>
        <v>20220011506</v>
      </c>
      <c r="F428" s="9">
        <v>50</v>
      </c>
      <c r="G428" s="9"/>
      <c r="H428" s="9">
        <f t="shared" si="32"/>
        <v>50</v>
      </c>
    </row>
    <row r="429" spans="1:8" s="13" customFormat="1" ht="24.75" customHeight="1">
      <c r="A429" s="9">
        <v>427</v>
      </c>
      <c r="B429" s="9" t="str">
        <f>"燕美蓉"</f>
        <v>燕美蓉</v>
      </c>
      <c r="C429" s="9" t="str">
        <f t="shared" si="31"/>
        <v>女</v>
      </c>
      <c r="D429" s="9" t="str">
        <f t="shared" si="33"/>
        <v>汉族</v>
      </c>
      <c r="E429" s="9" t="str">
        <f>"20220011507"</f>
        <v>20220011507</v>
      </c>
      <c r="F429" s="9">
        <v>40</v>
      </c>
      <c r="G429" s="9"/>
      <c r="H429" s="9">
        <f t="shared" si="32"/>
        <v>40</v>
      </c>
    </row>
    <row r="430" spans="1:8" s="13" customFormat="1" ht="24.75" customHeight="1">
      <c r="A430" s="9">
        <v>428</v>
      </c>
      <c r="B430" s="9" t="str">
        <f>"杨嬿臻"</f>
        <v>杨嬿臻</v>
      </c>
      <c r="C430" s="9" t="str">
        <f t="shared" si="31"/>
        <v>女</v>
      </c>
      <c r="D430" s="9" t="str">
        <f>"蒙古族"</f>
        <v>蒙古族</v>
      </c>
      <c r="E430" s="9" t="str">
        <f>"20220011508"</f>
        <v>20220011508</v>
      </c>
      <c r="F430" s="9">
        <v>0</v>
      </c>
      <c r="G430" s="9">
        <v>2.5</v>
      </c>
      <c r="H430" s="9">
        <f t="shared" si="32"/>
        <v>2.5</v>
      </c>
    </row>
    <row r="431" spans="1:8" s="13" customFormat="1" ht="24.75" customHeight="1">
      <c r="A431" s="9">
        <v>429</v>
      </c>
      <c r="B431" s="9" t="str">
        <f>"常佳"</f>
        <v>常佳</v>
      </c>
      <c r="C431" s="9" t="str">
        <f t="shared" si="31"/>
        <v>女</v>
      </c>
      <c r="D431" s="9" t="str">
        <f>"汉族"</f>
        <v>汉族</v>
      </c>
      <c r="E431" s="9" t="str">
        <f>"20220011509"</f>
        <v>20220011509</v>
      </c>
      <c r="F431" s="9">
        <v>55</v>
      </c>
      <c r="G431" s="9"/>
      <c r="H431" s="9">
        <f t="shared" si="32"/>
        <v>55</v>
      </c>
    </row>
    <row r="432" spans="1:8" s="13" customFormat="1" ht="24.75" customHeight="1">
      <c r="A432" s="9">
        <v>430</v>
      </c>
      <c r="B432" s="9" t="str">
        <f>"常超"</f>
        <v>常超</v>
      </c>
      <c r="C432" s="9" t="str">
        <f t="shared" si="31"/>
        <v>女</v>
      </c>
      <c r="D432" s="9" t="str">
        <f>"汉族"</f>
        <v>汉族</v>
      </c>
      <c r="E432" s="9" t="str">
        <f>"20220011510"</f>
        <v>20220011510</v>
      </c>
      <c r="F432" s="9">
        <v>55</v>
      </c>
      <c r="G432" s="9"/>
      <c r="H432" s="9">
        <f t="shared" si="32"/>
        <v>55</v>
      </c>
    </row>
    <row r="433" spans="1:8" s="13" customFormat="1" ht="24.75" customHeight="1">
      <c r="A433" s="9">
        <v>431</v>
      </c>
      <c r="B433" s="9" t="str">
        <f>"郝姝婷"</f>
        <v>郝姝婷</v>
      </c>
      <c r="C433" s="9" t="str">
        <f t="shared" si="31"/>
        <v>女</v>
      </c>
      <c r="D433" s="9" t="str">
        <f>"汉族"</f>
        <v>汉族</v>
      </c>
      <c r="E433" s="9" t="str">
        <f>"20220011511"</f>
        <v>20220011511</v>
      </c>
      <c r="F433" s="9">
        <v>41</v>
      </c>
      <c r="G433" s="9"/>
      <c r="H433" s="9">
        <f t="shared" si="32"/>
        <v>41</v>
      </c>
    </row>
    <row r="434" spans="1:8" s="13" customFormat="1" ht="24.75" customHeight="1">
      <c r="A434" s="9">
        <v>432</v>
      </c>
      <c r="B434" s="9" t="str">
        <f>"樊晓宇"</f>
        <v>樊晓宇</v>
      </c>
      <c r="C434" s="9" t="str">
        <f t="shared" si="31"/>
        <v>女</v>
      </c>
      <c r="D434" s="9" t="str">
        <f>"汉族"</f>
        <v>汉族</v>
      </c>
      <c r="E434" s="9" t="str">
        <f>"20220011512"</f>
        <v>20220011512</v>
      </c>
      <c r="F434" s="9">
        <v>0</v>
      </c>
      <c r="G434" s="9"/>
      <c r="H434" s="9">
        <f t="shared" si="32"/>
        <v>0</v>
      </c>
    </row>
    <row r="435" spans="1:8" s="13" customFormat="1" ht="24.75" customHeight="1">
      <c r="A435" s="9">
        <v>433</v>
      </c>
      <c r="B435" s="9" t="str">
        <f>"塔娜"</f>
        <v>塔娜</v>
      </c>
      <c r="C435" s="9" t="str">
        <f t="shared" si="31"/>
        <v>女</v>
      </c>
      <c r="D435" s="9" t="str">
        <f>"蒙古族"</f>
        <v>蒙古族</v>
      </c>
      <c r="E435" s="9" t="str">
        <f>"20220011513"</f>
        <v>20220011513</v>
      </c>
      <c r="F435" s="9">
        <v>63</v>
      </c>
      <c r="G435" s="9">
        <v>2.5</v>
      </c>
      <c r="H435" s="9">
        <f t="shared" si="32"/>
        <v>65.5</v>
      </c>
    </row>
    <row r="436" spans="1:8" s="13" customFormat="1" ht="24.75" customHeight="1">
      <c r="A436" s="9">
        <v>434</v>
      </c>
      <c r="B436" s="9" t="str">
        <f>"孙宇"</f>
        <v>孙宇</v>
      </c>
      <c r="C436" s="9" t="str">
        <f t="shared" si="31"/>
        <v>女</v>
      </c>
      <c r="D436" s="9" t="str">
        <f aca="true" t="shared" si="34" ref="D436:D441">"汉族"</f>
        <v>汉族</v>
      </c>
      <c r="E436" s="9" t="str">
        <f>"20220011514"</f>
        <v>20220011514</v>
      </c>
      <c r="F436" s="9">
        <v>0</v>
      </c>
      <c r="G436" s="9"/>
      <c r="H436" s="9">
        <f t="shared" si="32"/>
        <v>0</v>
      </c>
    </row>
    <row r="437" spans="1:8" s="13" customFormat="1" ht="24.75" customHeight="1">
      <c r="A437" s="9">
        <v>435</v>
      </c>
      <c r="B437" s="9" t="str">
        <f>"王倩"</f>
        <v>王倩</v>
      </c>
      <c r="C437" s="9" t="str">
        <f t="shared" si="31"/>
        <v>女</v>
      </c>
      <c r="D437" s="9" t="str">
        <f t="shared" si="34"/>
        <v>汉族</v>
      </c>
      <c r="E437" s="9" t="str">
        <f>"20220011515"</f>
        <v>20220011515</v>
      </c>
      <c r="F437" s="9">
        <v>35</v>
      </c>
      <c r="G437" s="9"/>
      <c r="H437" s="9">
        <f t="shared" si="32"/>
        <v>35</v>
      </c>
    </row>
    <row r="438" spans="1:8" s="13" customFormat="1" ht="24.75" customHeight="1">
      <c r="A438" s="9">
        <v>436</v>
      </c>
      <c r="B438" s="9" t="str">
        <f>"杨燕"</f>
        <v>杨燕</v>
      </c>
      <c r="C438" s="9" t="str">
        <f t="shared" si="31"/>
        <v>女</v>
      </c>
      <c r="D438" s="9" t="str">
        <f t="shared" si="34"/>
        <v>汉族</v>
      </c>
      <c r="E438" s="9" t="str">
        <f>"20220011516"</f>
        <v>20220011516</v>
      </c>
      <c r="F438" s="9">
        <v>44</v>
      </c>
      <c r="G438" s="9"/>
      <c r="H438" s="9">
        <f t="shared" si="32"/>
        <v>44</v>
      </c>
    </row>
    <row r="439" spans="1:8" s="13" customFormat="1" ht="24.75" customHeight="1">
      <c r="A439" s="9">
        <v>437</v>
      </c>
      <c r="B439" s="9" t="str">
        <f>"贾舒雯"</f>
        <v>贾舒雯</v>
      </c>
      <c r="C439" s="9" t="str">
        <f t="shared" si="31"/>
        <v>女</v>
      </c>
      <c r="D439" s="9" t="str">
        <f t="shared" si="34"/>
        <v>汉族</v>
      </c>
      <c r="E439" s="9" t="str">
        <f>"20220011517"</f>
        <v>20220011517</v>
      </c>
      <c r="F439" s="9">
        <v>66</v>
      </c>
      <c r="G439" s="9"/>
      <c r="H439" s="9">
        <f t="shared" si="32"/>
        <v>66</v>
      </c>
    </row>
    <row r="440" spans="1:8" s="13" customFormat="1" ht="24.75" customHeight="1">
      <c r="A440" s="9">
        <v>438</v>
      </c>
      <c r="B440" s="9" t="str">
        <f>"曹露"</f>
        <v>曹露</v>
      </c>
      <c r="C440" s="9" t="str">
        <f t="shared" si="31"/>
        <v>女</v>
      </c>
      <c r="D440" s="9" t="str">
        <f t="shared" si="34"/>
        <v>汉族</v>
      </c>
      <c r="E440" s="9" t="str">
        <f>"20220011518"</f>
        <v>20220011518</v>
      </c>
      <c r="F440" s="9">
        <v>56</v>
      </c>
      <c r="G440" s="9"/>
      <c r="H440" s="9">
        <f t="shared" si="32"/>
        <v>56</v>
      </c>
    </row>
    <row r="441" spans="1:8" s="13" customFormat="1" ht="24.75" customHeight="1">
      <c r="A441" s="9">
        <v>439</v>
      </c>
      <c r="B441" s="9" t="str">
        <f>"任笑奇"</f>
        <v>任笑奇</v>
      </c>
      <c r="C441" s="9" t="str">
        <f t="shared" si="31"/>
        <v>女</v>
      </c>
      <c r="D441" s="9" t="str">
        <f t="shared" si="34"/>
        <v>汉族</v>
      </c>
      <c r="E441" s="9" t="str">
        <f>"20220011519"</f>
        <v>20220011519</v>
      </c>
      <c r="F441" s="9">
        <v>49</v>
      </c>
      <c r="G441" s="9"/>
      <c r="H441" s="9">
        <f t="shared" si="32"/>
        <v>49</v>
      </c>
    </row>
    <row r="442" spans="1:8" s="13" customFormat="1" ht="24.75" customHeight="1">
      <c r="A442" s="9">
        <v>440</v>
      </c>
      <c r="B442" s="9" t="str">
        <f>"王睿晗"</f>
        <v>王睿晗</v>
      </c>
      <c r="C442" s="9" t="str">
        <f t="shared" si="31"/>
        <v>女</v>
      </c>
      <c r="D442" s="9" t="str">
        <f>"蒙古族"</f>
        <v>蒙古族</v>
      </c>
      <c r="E442" s="9" t="str">
        <f>"20220011520"</f>
        <v>20220011520</v>
      </c>
      <c r="F442" s="9">
        <v>56</v>
      </c>
      <c r="G442" s="9">
        <v>2.5</v>
      </c>
      <c r="H442" s="9">
        <f t="shared" si="32"/>
        <v>58.5</v>
      </c>
    </row>
    <row r="443" spans="1:8" s="13" customFormat="1" ht="24.75" customHeight="1">
      <c r="A443" s="9">
        <v>441</v>
      </c>
      <c r="B443" s="9" t="str">
        <f>"郑春叶"</f>
        <v>郑春叶</v>
      </c>
      <c r="C443" s="9" t="str">
        <f t="shared" si="31"/>
        <v>女</v>
      </c>
      <c r="D443" s="9" t="str">
        <f>"汉族"</f>
        <v>汉族</v>
      </c>
      <c r="E443" s="9" t="str">
        <f>"20220011521"</f>
        <v>20220011521</v>
      </c>
      <c r="F443" s="9">
        <v>71</v>
      </c>
      <c r="G443" s="9"/>
      <c r="H443" s="9">
        <f t="shared" si="32"/>
        <v>71</v>
      </c>
    </row>
    <row r="444" spans="1:8" s="13" customFormat="1" ht="24.75" customHeight="1">
      <c r="A444" s="9">
        <v>442</v>
      </c>
      <c r="B444" s="9" t="str">
        <f>"高佳慧"</f>
        <v>高佳慧</v>
      </c>
      <c r="C444" s="9" t="str">
        <f t="shared" si="31"/>
        <v>女</v>
      </c>
      <c r="D444" s="9" t="str">
        <f>"汉族"</f>
        <v>汉族</v>
      </c>
      <c r="E444" s="9" t="str">
        <f>"20220011522"</f>
        <v>20220011522</v>
      </c>
      <c r="F444" s="9">
        <v>0</v>
      </c>
      <c r="G444" s="9"/>
      <c r="H444" s="9">
        <f t="shared" si="32"/>
        <v>0</v>
      </c>
    </row>
    <row r="445" spans="1:8" s="13" customFormat="1" ht="24.75" customHeight="1">
      <c r="A445" s="9">
        <v>443</v>
      </c>
      <c r="B445" s="9" t="str">
        <f>"郭慧"</f>
        <v>郭慧</v>
      </c>
      <c r="C445" s="9" t="str">
        <f t="shared" si="31"/>
        <v>女</v>
      </c>
      <c r="D445" s="9" t="str">
        <f>"汉族"</f>
        <v>汉族</v>
      </c>
      <c r="E445" s="9" t="str">
        <f>"20220011523"</f>
        <v>20220011523</v>
      </c>
      <c r="F445" s="9">
        <v>42</v>
      </c>
      <c r="G445" s="9"/>
      <c r="H445" s="9">
        <f t="shared" si="32"/>
        <v>42</v>
      </c>
    </row>
    <row r="446" spans="1:8" s="13" customFormat="1" ht="24.75" customHeight="1">
      <c r="A446" s="9">
        <v>444</v>
      </c>
      <c r="B446" s="9" t="str">
        <f>"王园"</f>
        <v>王园</v>
      </c>
      <c r="C446" s="9" t="str">
        <f t="shared" si="31"/>
        <v>女</v>
      </c>
      <c r="D446" s="9" t="str">
        <f>"汉族"</f>
        <v>汉族</v>
      </c>
      <c r="E446" s="9" t="str">
        <f>"20220011524"</f>
        <v>20220011524</v>
      </c>
      <c r="F446" s="9">
        <v>56</v>
      </c>
      <c r="G446" s="9"/>
      <c r="H446" s="9">
        <f t="shared" si="32"/>
        <v>56</v>
      </c>
    </row>
    <row r="447" spans="1:8" s="13" customFormat="1" ht="24.75" customHeight="1">
      <c r="A447" s="9">
        <v>445</v>
      </c>
      <c r="B447" s="9" t="str">
        <f>"张宇雁"</f>
        <v>张宇雁</v>
      </c>
      <c r="C447" s="9" t="str">
        <f t="shared" si="31"/>
        <v>女</v>
      </c>
      <c r="D447" s="9" t="str">
        <f>"汉族"</f>
        <v>汉族</v>
      </c>
      <c r="E447" s="9" t="str">
        <f>"20220011525"</f>
        <v>20220011525</v>
      </c>
      <c r="F447" s="9">
        <v>67</v>
      </c>
      <c r="G447" s="9"/>
      <c r="H447" s="9">
        <f t="shared" si="32"/>
        <v>67</v>
      </c>
    </row>
    <row r="448" spans="1:8" s="13" customFormat="1" ht="24.75" customHeight="1">
      <c r="A448" s="9">
        <v>446</v>
      </c>
      <c r="B448" s="9" t="str">
        <f>"田贺"</f>
        <v>田贺</v>
      </c>
      <c r="C448" s="9" t="str">
        <f t="shared" si="31"/>
        <v>女</v>
      </c>
      <c r="D448" s="9" t="str">
        <f>"蒙古族"</f>
        <v>蒙古族</v>
      </c>
      <c r="E448" s="9" t="str">
        <f>"20220011526"</f>
        <v>20220011526</v>
      </c>
      <c r="F448" s="9">
        <v>60</v>
      </c>
      <c r="G448" s="9">
        <v>2.5</v>
      </c>
      <c r="H448" s="9">
        <f t="shared" si="32"/>
        <v>62.5</v>
      </c>
    </row>
    <row r="449" spans="1:8" s="13" customFormat="1" ht="24.75" customHeight="1">
      <c r="A449" s="9">
        <v>447</v>
      </c>
      <c r="B449" s="9" t="str">
        <f>"池昱贤"</f>
        <v>池昱贤</v>
      </c>
      <c r="C449" s="9" t="str">
        <f t="shared" si="31"/>
        <v>女</v>
      </c>
      <c r="D449" s="9" t="str">
        <f aca="true" t="shared" si="35" ref="D449:D470">"汉族"</f>
        <v>汉族</v>
      </c>
      <c r="E449" s="9" t="str">
        <f>"20220011527"</f>
        <v>20220011527</v>
      </c>
      <c r="F449" s="9">
        <v>0</v>
      </c>
      <c r="G449" s="9"/>
      <c r="H449" s="9">
        <f t="shared" si="32"/>
        <v>0</v>
      </c>
    </row>
    <row r="450" spans="1:8" s="13" customFormat="1" ht="24.75" customHeight="1">
      <c r="A450" s="9">
        <v>448</v>
      </c>
      <c r="B450" s="9" t="str">
        <f>"王璐"</f>
        <v>王璐</v>
      </c>
      <c r="C450" s="9" t="str">
        <f t="shared" si="31"/>
        <v>女</v>
      </c>
      <c r="D450" s="9" t="str">
        <f t="shared" si="35"/>
        <v>汉族</v>
      </c>
      <c r="E450" s="9" t="str">
        <f>"20220011528"</f>
        <v>20220011528</v>
      </c>
      <c r="F450" s="9">
        <v>20</v>
      </c>
      <c r="G450" s="9"/>
      <c r="H450" s="9">
        <f t="shared" si="32"/>
        <v>20</v>
      </c>
    </row>
    <row r="451" spans="1:8" s="13" customFormat="1" ht="24.75" customHeight="1">
      <c r="A451" s="9">
        <v>449</v>
      </c>
      <c r="B451" s="9" t="str">
        <f>"石欢欢"</f>
        <v>石欢欢</v>
      </c>
      <c r="C451" s="9" t="str">
        <f aca="true" t="shared" si="36" ref="C451:C514">"女"</f>
        <v>女</v>
      </c>
      <c r="D451" s="9" t="str">
        <f t="shared" si="35"/>
        <v>汉族</v>
      </c>
      <c r="E451" s="9" t="str">
        <f>"20220011529"</f>
        <v>20220011529</v>
      </c>
      <c r="F451" s="9">
        <v>67</v>
      </c>
      <c r="G451" s="9"/>
      <c r="H451" s="9">
        <f aca="true" t="shared" si="37" ref="H451:H514">F451+G451</f>
        <v>67</v>
      </c>
    </row>
    <row r="452" spans="1:8" s="13" customFormat="1" ht="24.75" customHeight="1">
      <c r="A452" s="9">
        <v>450</v>
      </c>
      <c r="B452" s="9" t="str">
        <f>"李燕茹"</f>
        <v>李燕茹</v>
      </c>
      <c r="C452" s="9" t="str">
        <f t="shared" si="36"/>
        <v>女</v>
      </c>
      <c r="D452" s="9" t="str">
        <f t="shared" si="35"/>
        <v>汉族</v>
      </c>
      <c r="E452" s="9" t="str">
        <f>"20220011530"</f>
        <v>20220011530</v>
      </c>
      <c r="F452" s="9">
        <v>60</v>
      </c>
      <c r="G452" s="9"/>
      <c r="H452" s="9">
        <f t="shared" si="37"/>
        <v>60</v>
      </c>
    </row>
    <row r="453" spans="1:8" s="13" customFormat="1" ht="24.75" customHeight="1">
      <c r="A453" s="9">
        <v>451</v>
      </c>
      <c r="B453" s="9" t="str">
        <f>"尉红艳"</f>
        <v>尉红艳</v>
      </c>
      <c r="C453" s="9" t="str">
        <f t="shared" si="36"/>
        <v>女</v>
      </c>
      <c r="D453" s="9" t="str">
        <f t="shared" si="35"/>
        <v>汉族</v>
      </c>
      <c r="E453" s="9" t="str">
        <f>"20220011601"</f>
        <v>20220011601</v>
      </c>
      <c r="F453" s="9">
        <v>31</v>
      </c>
      <c r="G453" s="9"/>
      <c r="H453" s="9">
        <f t="shared" si="37"/>
        <v>31</v>
      </c>
    </row>
    <row r="454" spans="1:8" s="13" customFormat="1" ht="24.75" customHeight="1">
      <c r="A454" s="9">
        <v>452</v>
      </c>
      <c r="B454" s="9" t="str">
        <f>"杨阳"</f>
        <v>杨阳</v>
      </c>
      <c r="C454" s="9" t="str">
        <f t="shared" si="36"/>
        <v>女</v>
      </c>
      <c r="D454" s="9" t="str">
        <f t="shared" si="35"/>
        <v>汉族</v>
      </c>
      <c r="E454" s="9" t="str">
        <f>"20220011602"</f>
        <v>20220011602</v>
      </c>
      <c r="F454" s="9">
        <v>46</v>
      </c>
      <c r="G454" s="9"/>
      <c r="H454" s="9">
        <f t="shared" si="37"/>
        <v>46</v>
      </c>
    </row>
    <row r="455" spans="1:8" s="13" customFormat="1" ht="24.75" customHeight="1">
      <c r="A455" s="9">
        <v>453</v>
      </c>
      <c r="B455" s="9" t="str">
        <f>"李小杰"</f>
        <v>李小杰</v>
      </c>
      <c r="C455" s="9" t="str">
        <f t="shared" si="36"/>
        <v>女</v>
      </c>
      <c r="D455" s="9" t="str">
        <f t="shared" si="35"/>
        <v>汉族</v>
      </c>
      <c r="E455" s="9" t="str">
        <f>"20220011603"</f>
        <v>20220011603</v>
      </c>
      <c r="F455" s="9">
        <v>39</v>
      </c>
      <c r="G455" s="9"/>
      <c r="H455" s="9">
        <f t="shared" si="37"/>
        <v>39</v>
      </c>
    </row>
    <row r="456" spans="1:8" s="13" customFormat="1" ht="24.75" customHeight="1">
      <c r="A456" s="9">
        <v>454</v>
      </c>
      <c r="B456" s="9" t="str">
        <f>"闫锐芳"</f>
        <v>闫锐芳</v>
      </c>
      <c r="C456" s="9" t="str">
        <f t="shared" si="36"/>
        <v>女</v>
      </c>
      <c r="D456" s="9" t="str">
        <f t="shared" si="35"/>
        <v>汉族</v>
      </c>
      <c r="E456" s="9" t="str">
        <f>"20220011604"</f>
        <v>20220011604</v>
      </c>
      <c r="F456" s="9">
        <v>55</v>
      </c>
      <c r="G456" s="9"/>
      <c r="H456" s="9">
        <f t="shared" si="37"/>
        <v>55</v>
      </c>
    </row>
    <row r="457" spans="1:8" s="13" customFormat="1" ht="24.75" customHeight="1">
      <c r="A457" s="9">
        <v>455</v>
      </c>
      <c r="B457" s="9" t="str">
        <f>"戴慧"</f>
        <v>戴慧</v>
      </c>
      <c r="C457" s="9" t="str">
        <f t="shared" si="36"/>
        <v>女</v>
      </c>
      <c r="D457" s="9" t="str">
        <f t="shared" si="35"/>
        <v>汉族</v>
      </c>
      <c r="E457" s="9" t="str">
        <f>"20220011605"</f>
        <v>20220011605</v>
      </c>
      <c r="F457" s="9">
        <v>69</v>
      </c>
      <c r="G457" s="9"/>
      <c r="H457" s="9">
        <f t="shared" si="37"/>
        <v>69</v>
      </c>
    </row>
    <row r="458" spans="1:8" s="13" customFormat="1" ht="24.75" customHeight="1">
      <c r="A458" s="9">
        <v>456</v>
      </c>
      <c r="B458" s="9" t="str">
        <f>"段采风"</f>
        <v>段采风</v>
      </c>
      <c r="C458" s="9" t="str">
        <f t="shared" si="36"/>
        <v>女</v>
      </c>
      <c r="D458" s="9" t="str">
        <f t="shared" si="35"/>
        <v>汉族</v>
      </c>
      <c r="E458" s="9" t="str">
        <f>"20220011606"</f>
        <v>20220011606</v>
      </c>
      <c r="F458" s="9">
        <v>55</v>
      </c>
      <c r="G458" s="9"/>
      <c r="H458" s="9">
        <f t="shared" si="37"/>
        <v>55</v>
      </c>
    </row>
    <row r="459" spans="1:8" s="13" customFormat="1" ht="24.75" customHeight="1">
      <c r="A459" s="9">
        <v>457</v>
      </c>
      <c r="B459" s="9" t="str">
        <f>"崔莹"</f>
        <v>崔莹</v>
      </c>
      <c r="C459" s="9" t="str">
        <f t="shared" si="36"/>
        <v>女</v>
      </c>
      <c r="D459" s="9" t="str">
        <f t="shared" si="35"/>
        <v>汉族</v>
      </c>
      <c r="E459" s="9" t="str">
        <f>"20220011607"</f>
        <v>20220011607</v>
      </c>
      <c r="F459" s="9">
        <v>29</v>
      </c>
      <c r="G459" s="9"/>
      <c r="H459" s="9">
        <f t="shared" si="37"/>
        <v>29</v>
      </c>
    </row>
    <row r="460" spans="1:8" s="13" customFormat="1" ht="24.75" customHeight="1">
      <c r="A460" s="9">
        <v>458</v>
      </c>
      <c r="B460" s="9" t="str">
        <f>"燕艺欣"</f>
        <v>燕艺欣</v>
      </c>
      <c r="C460" s="9" t="str">
        <f t="shared" si="36"/>
        <v>女</v>
      </c>
      <c r="D460" s="9" t="str">
        <f t="shared" si="35"/>
        <v>汉族</v>
      </c>
      <c r="E460" s="9" t="str">
        <f>"20220011608"</f>
        <v>20220011608</v>
      </c>
      <c r="F460" s="9">
        <v>41</v>
      </c>
      <c r="G460" s="9"/>
      <c r="H460" s="9">
        <f t="shared" si="37"/>
        <v>41</v>
      </c>
    </row>
    <row r="461" spans="1:8" s="13" customFormat="1" ht="24.75" customHeight="1">
      <c r="A461" s="9">
        <v>459</v>
      </c>
      <c r="B461" s="9" t="str">
        <f>"赵雅渊"</f>
        <v>赵雅渊</v>
      </c>
      <c r="C461" s="9" t="str">
        <f t="shared" si="36"/>
        <v>女</v>
      </c>
      <c r="D461" s="9" t="str">
        <f t="shared" si="35"/>
        <v>汉族</v>
      </c>
      <c r="E461" s="9" t="str">
        <f>"20220011609"</f>
        <v>20220011609</v>
      </c>
      <c r="F461" s="9">
        <v>54</v>
      </c>
      <c r="G461" s="9"/>
      <c r="H461" s="9">
        <f t="shared" si="37"/>
        <v>54</v>
      </c>
    </row>
    <row r="462" spans="1:8" s="13" customFormat="1" ht="24.75" customHeight="1">
      <c r="A462" s="9">
        <v>460</v>
      </c>
      <c r="B462" s="9" t="str">
        <f>"郗姝婷"</f>
        <v>郗姝婷</v>
      </c>
      <c r="C462" s="9" t="str">
        <f t="shared" si="36"/>
        <v>女</v>
      </c>
      <c r="D462" s="9" t="str">
        <f t="shared" si="35"/>
        <v>汉族</v>
      </c>
      <c r="E462" s="9" t="str">
        <f>"20220011610"</f>
        <v>20220011610</v>
      </c>
      <c r="F462" s="9">
        <v>37</v>
      </c>
      <c r="G462" s="9"/>
      <c r="H462" s="9">
        <f t="shared" si="37"/>
        <v>37</v>
      </c>
    </row>
    <row r="463" spans="1:8" s="13" customFormat="1" ht="24.75" customHeight="1">
      <c r="A463" s="9">
        <v>461</v>
      </c>
      <c r="B463" s="9" t="str">
        <f>"孙小娜"</f>
        <v>孙小娜</v>
      </c>
      <c r="C463" s="9" t="str">
        <f t="shared" si="36"/>
        <v>女</v>
      </c>
      <c r="D463" s="9" t="str">
        <f t="shared" si="35"/>
        <v>汉族</v>
      </c>
      <c r="E463" s="9" t="str">
        <f>"20220011611"</f>
        <v>20220011611</v>
      </c>
      <c r="F463" s="9">
        <v>62</v>
      </c>
      <c r="G463" s="9"/>
      <c r="H463" s="9">
        <f t="shared" si="37"/>
        <v>62</v>
      </c>
    </row>
    <row r="464" spans="1:8" s="13" customFormat="1" ht="24.75" customHeight="1">
      <c r="A464" s="9">
        <v>462</v>
      </c>
      <c r="B464" s="9" t="str">
        <f>"刘然"</f>
        <v>刘然</v>
      </c>
      <c r="C464" s="9" t="str">
        <f t="shared" si="36"/>
        <v>女</v>
      </c>
      <c r="D464" s="9" t="str">
        <f t="shared" si="35"/>
        <v>汉族</v>
      </c>
      <c r="E464" s="9" t="str">
        <f>"20220011612"</f>
        <v>20220011612</v>
      </c>
      <c r="F464" s="9">
        <v>60</v>
      </c>
      <c r="G464" s="9"/>
      <c r="H464" s="9">
        <f t="shared" si="37"/>
        <v>60</v>
      </c>
    </row>
    <row r="465" spans="1:8" s="13" customFormat="1" ht="24.75" customHeight="1">
      <c r="A465" s="9">
        <v>463</v>
      </c>
      <c r="B465" s="9" t="str">
        <f>"李娜"</f>
        <v>李娜</v>
      </c>
      <c r="C465" s="9" t="str">
        <f t="shared" si="36"/>
        <v>女</v>
      </c>
      <c r="D465" s="9" t="str">
        <f t="shared" si="35"/>
        <v>汉族</v>
      </c>
      <c r="E465" s="9" t="str">
        <f>"20220011613"</f>
        <v>20220011613</v>
      </c>
      <c r="F465" s="9">
        <v>55</v>
      </c>
      <c r="G465" s="9"/>
      <c r="H465" s="9">
        <f t="shared" si="37"/>
        <v>55</v>
      </c>
    </row>
    <row r="466" spans="1:8" s="13" customFormat="1" ht="24.75" customHeight="1">
      <c r="A466" s="9">
        <v>464</v>
      </c>
      <c r="B466" s="9" t="str">
        <f>"李娜"</f>
        <v>李娜</v>
      </c>
      <c r="C466" s="9" t="str">
        <f t="shared" si="36"/>
        <v>女</v>
      </c>
      <c r="D466" s="9" t="str">
        <f t="shared" si="35"/>
        <v>汉族</v>
      </c>
      <c r="E466" s="9" t="str">
        <f>"20220011614"</f>
        <v>20220011614</v>
      </c>
      <c r="F466" s="9">
        <v>42</v>
      </c>
      <c r="G466" s="9"/>
      <c r="H466" s="9">
        <f t="shared" si="37"/>
        <v>42</v>
      </c>
    </row>
    <row r="467" spans="1:8" s="13" customFormat="1" ht="24.75" customHeight="1">
      <c r="A467" s="9">
        <v>465</v>
      </c>
      <c r="B467" s="9" t="str">
        <f>"李抒珉"</f>
        <v>李抒珉</v>
      </c>
      <c r="C467" s="9" t="str">
        <f t="shared" si="36"/>
        <v>女</v>
      </c>
      <c r="D467" s="9" t="str">
        <f t="shared" si="35"/>
        <v>汉族</v>
      </c>
      <c r="E467" s="9" t="str">
        <f>"20220011615"</f>
        <v>20220011615</v>
      </c>
      <c r="F467" s="9">
        <v>48</v>
      </c>
      <c r="G467" s="9"/>
      <c r="H467" s="9">
        <f t="shared" si="37"/>
        <v>48</v>
      </c>
    </row>
    <row r="468" spans="1:8" s="13" customFormat="1" ht="24.75" customHeight="1">
      <c r="A468" s="9">
        <v>466</v>
      </c>
      <c r="B468" s="9" t="str">
        <f>"丁媛"</f>
        <v>丁媛</v>
      </c>
      <c r="C468" s="9" t="str">
        <f t="shared" si="36"/>
        <v>女</v>
      </c>
      <c r="D468" s="9" t="str">
        <f t="shared" si="35"/>
        <v>汉族</v>
      </c>
      <c r="E468" s="9" t="str">
        <f>"20220011616"</f>
        <v>20220011616</v>
      </c>
      <c r="F468" s="9">
        <v>35</v>
      </c>
      <c r="G468" s="9"/>
      <c r="H468" s="9">
        <f t="shared" si="37"/>
        <v>35</v>
      </c>
    </row>
    <row r="469" spans="1:8" s="13" customFormat="1" ht="24.75" customHeight="1">
      <c r="A469" s="9">
        <v>467</v>
      </c>
      <c r="B469" s="9" t="str">
        <f>"刘淑荣"</f>
        <v>刘淑荣</v>
      </c>
      <c r="C469" s="9" t="str">
        <f t="shared" si="36"/>
        <v>女</v>
      </c>
      <c r="D469" s="9" t="str">
        <f t="shared" si="35"/>
        <v>汉族</v>
      </c>
      <c r="E469" s="9" t="str">
        <f>"20220011617"</f>
        <v>20220011617</v>
      </c>
      <c r="F469" s="9">
        <v>39</v>
      </c>
      <c r="G469" s="9"/>
      <c r="H469" s="9">
        <f t="shared" si="37"/>
        <v>39</v>
      </c>
    </row>
    <row r="470" spans="1:8" s="13" customFormat="1" ht="24.75" customHeight="1">
      <c r="A470" s="9">
        <v>468</v>
      </c>
      <c r="B470" s="9" t="str">
        <f>"韩引儿"</f>
        <v>韩引儿</v>
      </c>
      <c r="C470" s="9" t="str">
        <f t="shared" si="36"/>
        <v>女</v>
      </c>
      <c r="D470" s="9" t="str">
        <f t="shared" si="35"/>
        <v>汉族</v>
      </c>
      <c r="E470" s="9" t="str">
        <f>"20220011618"</f>
        <v>20220011618</v>
      </c>
      <c r="F470" s="9">
        <v>46</v>
      </c>
      <c r="G470" s="9"/>
      <c r="H470" s="9">
        <f t="shared" si="37"/>
        <v>46</v>
      </c>
    </row>
    <row r="471" spans="1:8" s="13" customFormat="1" ht="24.75" customHeight="1">
      <c r="A471" s="9">
        <v>469</v>
      </c>
      <c r="B471" s="9" t="str">
        <f>"赵佳新"</f>
        <v>赵佳新</v>
      </c>
      <c r="C471" s="9" t="str">
        <f t="shared" si="36"/>
        <v>女</v>
      </c>
      <c r="D471" s="9" t="str">
        <f>"蒙古族"</f>
        <v>蒙古族</v>
      </c>
      <c r="E471" s="9" t="str">
        <f>"20220011619"</f>
        <v>20220011619</v>
      </c>
      <c r="F471" s="9">
        <v>0</v>
      </c>
      <c r="G471" s="9">
        <v>2.5</v>
      </c>
      <c r="H471" s="9">
        <f t="shared" si="37"/>
        <v>2.5</v>
      </c>
    </row>
    <row r="472" spans="1:8" s="13" customFormat="1" ht="24.75" customHeight="1">
      <c r="A472" s="9">
        <v>470</v>
      </c>
      <c r="B472" s="9" t="str">
        <f>"李佳欣"</f>
        <v>李佳欣</v>
      </c>
      <c r="C472" s="9" t="str">
        <f t="shared" si="36"/>
        <v>女</v>
      </c>
      <c r="D472" s="9" t="str">
        <f aca="true" t="shared" si="38" ref="D472:D487">"汉族"</f>
        <v>汉族</v>
      </c>
      <c r="E472" s="9" t="str">
        <f>"20220011620"</f>
        <v>20220011620</v>
      </c>
      <c r="F472" s="9">
        <v>0</v>
      </c>
      <c r="G472" s="9"/>
      <c r="H472" s="9">
        <f t="shared" si="37"/>
        <v>0</v>
      </c>
    </row>
    <row r="473" spans="1:8" s="13" customFormat="1" ht="24.75" customHeight="1">
      <c r="A473" s="9">
        <v>471</v>
      </c>
      <c r="B473" s="9" t="str">
        <f>"王晓凤"</f>
        <v>王晓凤</v>
      </c>
      <c r="C473" s="9" t="str">
        <f t="shared" si="36"/>
        <v>女</v>
      </c>
      <c r="D473" s="9" t="str">
        <f t="shared" si="38"/>
        <v>汉族</v>
      </c>
      <c r="E473" s="9" t="str">
        <f>"20220011621"</f>
        <v>20220011621</v>
      </c>
      <c r="F473" s="9">
        <v>58</v>
      </c>
      <c r="G473" s="9"/>
      <c r="H473" s="9">
        <f t="shared" si="37"/>
        <v>58</v>
      </c>
    </row>
    <row r="474" spans="1:8" s="13" customFormat="1" ht="24.75" customHeight="1">
      <c r="A474" s="9">
        <v>472</v>
      </c>
      <c r="B474" s="9" t="str">
        <f>"张敏"</f>
        <v>张敏</v>
      </c>
      <c r="C474" s="9" t="str">
        <f t="shared" si="36"/>
        <v>女</v>
      </c>
      <c r="D474" s="9" t="str">
        <f t="shared" si="38"/>
        <v>汉族</v>
      </c>
      <c r="E474" s="9" t="str">
        <f>"20220011622"</f>
        <v>20220011622</v>
      </c>
      <c r="F474" s="9">
        <v>0</v>
      </c>
      <c r="G474" s="9"/>
      <c r="H474" s="9">
        <f t="shared" si="37"/>
        <v>0</v>
      </c>
    </row>
    <row r="475" spans="1:8" s="13" customFormat="1" ht="24.75" customHeight="1">
      <c r="A475" s="9">
        <v>473</v>
      </c>
      <c r="B475" s="9" t="str">
        <f>"张畹奇"</f>
        <v>张畹奇</v>
      </c>
      <c r="C475" s="9" t="str">
        <f t="shared" si="36"/>
        <v>女</v>
      </c>
      <c r="D475" s="9" t="str">
        <f t="shared" si="38"/>
        <v>汉族</v>
      </c>
      <c r="E475" s="9" t="str">
        <f>"20220011623"</f>
        <v>20220011623</v>
      </c>
      <c r="F475" s="9">
        <v>34</v>
      </c>
      <c r="G475" s="9"/>
      <c r="H475" s="9">
        <f t="shared" si="37"/>
        <v>34</v>
      </c>
    </row>
    <row r="476" spans="1:8" s="13" customFormat="1" ht="24.75" customHeight="1">
      <c r="A476" s="9">
        <v>474</v>
      </c>
      <c r="B476" s="9" t="str">
        <f>"王鑫"</f>
        <v>王鑫</v>
      </c>
      <c r="C476" s="9" t="str">
        <f t="shared" si="36"/>
        <v>女</v>
      </c>
      <c r="D476" s="9" t="str">
        <f t="shared" si="38"/>
        <v>汉族</v>
      </c>
      <c r="E476" s="9" t="str">
        <f>"20220011624"</f>
        <v>20220011624</v>
      </c>
      <c r="F476" s="9">
        <v>0</v>
      </c>
      <c r="G476" s="9"/>
      <c r="H476" s="9">
        <f t="shared" si="37"/>
        <v>0</v>
      </c>
    </row>
    <row r="477" spans="1:8" s="13" customFormat="1" ht="24.75" customHeight="1">
      <c r="A477" s="9">
        <v>475</v>
      </c>
      <c r="B477" s="9" t="str">
        <f>"庞智慧"</f>
        <v>庞智慧</v>
      </c>
      <c r="C477" s="9" t="str">
        <f t="shared" si="36"/>
        <v>女</v>
      </c>
      <c r="D477" s="9" t="str">
        <f t="shared" si="38"/>
        <v>汉族</v>
      </c>
      <c r="E477" s="9" t="str">
        <f>"20220011625"</f>
        <v>20220011625</v>
      </c>
      <c r="F477" s="9">
        <v>26</v>
      </c>
      <c r="G477" s="9"/>
      <c r="H477" s="9">
        <f t="shared" si="37"/>
        <v>26</v>
      </c>
    </row>
    <row r="478" spans="1:8" s="13" customFormat="1" ht="24.75" customHeight="1">
      <c r="A478" s="9">
        <v>476</v>
      </c>
      <c r="B478" s="9" t="str">
        <f>"武瑞"</f>
        <v>武瑞</v>
      </c>
      <c r="C478" s="9" t="str">
        <f t="shared" si="36"/>
        <v>女</v>
      </c>
      <c r="D478" s="9" t="str">
        <f t="shared" si="38"/>
        <v>汉族</v>
      </c>
      <c r="E478" s="9" t="str">
        <f>"20220011626"</f>
        <v>20220011626</v>
      </c>
      <c r="F478" s="9">
        <v>0</v>
      </c>
      <c r="G478" s="9"/>
      <c r="H478" s="9">
        <f t="shared" si="37"/>
        <v>0</v>
      </c>
    </row>
    <row r="479" spans="1:8" s="13" customFormat="1" ht="24.75" customHeight="1">
      <c r="A479" s="9">
        <v>477</v>
      </c>
      <c r="B479" s="9" t="str">
        <f>"李彦茹"</f>
        <v>李彦茹</v>
      </c>
      <c r="C479" s="9" t="str">
        <f t="shared" si="36"/>
        <v>女</v>
      </c>
      <c r="D479" s="9" t="str">
        <f t="shared" si="38"/>
        <v>汉族</v>
      </c>
      <c r="E479" s="9" t="str">
        <f>"20220011627"</f>
        <v>20220011627</v>
      </c>
      <c r="F479" s="9">
        <v>0</v>
      </c>
      <c r="G479" s="9"/>
      <c r="H479" s="9">
        <f t="shared" si="37"/>
        <v>0</v>
      </c>
    </row>
    <row r="480" spans="1:8" s="13" customFormat="1" ht="24.75" customHeight="1">
      <c r="A480" s="9">
        <v>478</v>
      </c>
      <c r="B480" s="9" t="str">
        <f>"周迅"</f>
        <v>周迅</v>
      </c>
      <c r="C480" s="9" t="str">
        <f t="shared" si="36"/>
        <v>女</v>
      </c>
      <c r="D480" s="9" t="str">
        <f t="shared" si="38"/>
        <v>汉族</v>
      </c>
      <c r="E480" s="9" t="str">
        <f>"20220011628"</f>
        <v>20220011628</v>
      </c>
      <c r="F480" s="9">
        <v>0</v>
      </c>
      <c r="G480" s="9"/>
      <c r="H480" s="9">
        <f t="shared" si="37"/>
        <v>0</v>
      </c>
    </row>
    <row r="481" spans="1:8" s="13" customFormat="1" ht="24.75" customHeight="1">
      <c r="A481" s="9">
        <v>479</v>
      </c>
      <c r="B481" s="9" t="str">
        <f>"李乐"</f>
        <v>李乐</v>
      </c>
      <c r="C481" s="9" t="str">
        <f t="shared" si="36"/>
        <v>女</v>
      </c>
      <c r="D481" s="9" t="str">
        <f t="shared" si="38"/>
        <v>汉族</v>
      </c>
      <c r="E481" s="9" t="str">
        <f>"20220011629"</f>
        <v>20220011629</v>
      </c>
      <c r="F481" s="9">
        <v>64</v>
      </c>
      <c r="G481" s="9"/>
      <c r="H481" s="9">
        <f t="shared" si="37"/>
        <v>64</v>
      </c>
    </row>
    <row r="482" spans="1:8" s="13" customFormat="1" ht="24.75" customHeight="1">
      <c r="A482" s="9">
        <v>480</v>
      </c>
      <c r="B482" s="9" t="str">
        <f>"白雅熙"</f>
        <v>白雅熙</v>
      </c>
      <c r="C482" s="9" t="str">
        <f t="shared" si="36"/>
        <v>女</v>
      </c>
      <c r="D482" s="9" t="str">
        <f t="shared" si="38"/>
        <v>汉族</v>
      </c>
      <c r="E482" s="9" t="str">
        <f>"20220011630"</f>
        <v>20220011630</v>
      </c>
      <c r="F482" s="9">
        <v>39</v>
      </c>
      <c r="G482" s="9"/>
      <c r="H482" s="9">
        <f t="shared" si="37"/>
        <v>39</v>
      </c>
    </row>
    <row r="483" spans="1:8" s="13" customFormat="1" ht="24.75" customHeight="1">
      <c r="A483" s="9">
        <v>481</v>
      </c>
      <c r="B483" s="9" t="str">
        <f>"杜雪婷"</f>
        <v>杜雪婷</v>
      </c>
      <c r="C483" s="9" t="str">
        <f t="shared" si="36"/>
        <v>女</v>
      </c>
      <c r="D483" s="9" t="str">
        <f t="shared" si="38"/>
        <v>汉族</v>
      </c>
      <c r="E483" s="9" t="str">
        <f>"20220011701"</f>
        <v>20220011701</v>
      </c>
      <c r="F483" s="9">
        <v>0</v>
      </c>
      <c r="G483" s="9"/>
      <c r="H483" s="9">
        <f t="shared" si="37"/>
        <v>0</v>
      </c>
    </row>
    <row r="484" spans="1:8" s="13" customFormat="1" ht="24.75" customHeight="1">
      <c r="A484" s="9">
        <v>482</v>
      </c>
      <c r="B484" s="9" t="str">
        <f>"王晓艳"</f>
        <v>王晓艳</v>
      </c>
      <c r="C484" s="9" t="str">
        <f t="shared" si="36"/>
        <v>女</v>
      </c>
      <c r="D484" s="9" t="str">
        <f t="shared" si="38"/>
        <v>汉族</v>
      </c>
      <c r="E484" s="9" t="str">
        <f>"20220011702"</f>
        <v>20220011702</v>
      </c>
      <c r="F484" s="9">
        <v>42</v>
      </c>
      <c r="G484" s="9"/>
      <c r="H484" s="9">
        <f t="shared" si="37"/>
        <v>42</v>
      </c>
    </row>
    <row r="485" spans="1:8" s="13" customFormat="1" ht="24.75" customHeight="1">
      <c r="A485" s="9">
        <v>483</v>
      </c>
      <c r="B485" s="9" t="str">
        <f>"吴艳萍"</f>
        <v>吴艳萍</v>
      </c>
      <c r="C485" s="9" t="str">
        <f t="shared" si="36"/>
        <v>女</v>
      </c>
      <c r="D485" s="9" t="str">
        <f t="shared" si="38"/>
        <v>汉族</v>
      </c>
      <c r="E485" s="9" t="str">
        <f>"20220011703"</f>
        <v>20220011703</v>
      </c>
      <c r="F485" s="9">
        <v>0</v>
      </c>
      <c r="G485" s="9"/>
      <c r="H485" s="9">
        <f t="shared" si="37"/>
        <v>0</v>
      </c>
    </row>
    <row r="486" spans="1:8" s="13" customFormat="1" ht="24.75" customHeight="1">
      <c r="A486" s="9">
        <v>484</v>
      </c>
      <c r="B486" s="9" t="str">
        <f>"高伊锐"</f>
        <v>高伊锐</v>
      </c>
      <c r="C486" s="9" t="str">
        <f t="shared" si="36"/>
        <v>女</v>
      </c>
      <c r="D486" s="9" t="str">
        <f t="shared" si="38"/>
        <v>汉族</v>
      </c>
      <c r="E486" s="9" t="str">
        <f>"20220011704"</f>
        <v>20220011704</v>
      </c>
      <c r="F486" s="9">
        <v>64</v>
      </c>
      <c r="G486" s="9"/>
      <c r="H486" s="9">
        <f t="shared" si="37"/>
        <v>64</v>
      </c>
    </row>
    <row r="487" spans="1:8" s="13" customFormat="1" ht="24.75" customHeight="1">
      <c r="A487" s="9">
        <v>485</v>
      </c>
      <c r="B487" s="9" t="str">
        <f>"李宇欣"</f>
        <v>李宇欣</v>
      </c>
      <c r="C487" s="9" t="str">
        <f t="shared" si="36"/>
        <v>女</v>
      </c>
      <c r="D487" s="9" t="str">
        <f t="shared" si="38"/>
        <v>汉族</v>
      </c>
      <c r="E487" s="9" t="str">
        <f>"20220011705"</f>
        <v>20220011705</v>
      </c>
      <c r="F487" s="9">
        <v>59</v>
      </c>
      <c r="G487" s="9"/>
      <c r="H487" s="9">
        <f t="shared" si="37"/>
        <v>59</v>
      </c>
    </row>
    <row r="488" spans="1:8" s="13" customFormat="1" ht="24.75" customHeight="1">
      <c r="A488" s="9">
        <v>486</v>
      </c>
      <c r="B488" s="9" t="str">
        <f>"吕亚楠"</f>
        <v>吕亚楠</v>
      </c>
      <c r="C488" s="9" t="str">
        <f t="shared" si="36"/>
        <v>女</v>
      </c>
      <c r="D488" s="9" t="str">
        <f>"回族"</f>
        <v>回族</v>
      </c>
      <c r="E488" s="9" t="str">
        <f>"20220011706"</f>
        <v>20220011706</v>
      </c>
      <c r="F488" s="9">
        <v>0</v>
      </c>
      <c r="G488" s="9"/>
      <c r="H488" s="9">
        <f t="shared" si="37"/>
        <v>0</v>
      </c>
    </row>
    <row r="489" spans="1:8" s="13" customFormat="1" ht="24.75" customHeight="1">
      <c r="A489" s="9">
        <v>487</v>
      </c>
      <c r="B489" s="9" t="str">
        <f>"赵丽蓉"</f>
        <v>赵丽蓉</v>
      </c>
      <c r="C489" s="9" t="str">
        <f t="shared" si="36"/>
        <v>女</v>
      </c>
      <c r="D489" s="9" t="str">
        <f aca="true" t="shared" si="39" ref="D489:D498">"汉族"</f>
        <v>汉族</v>
      </c>
      <c r="E489" s="9" t="str">
        <f>"20220011707"</f>
        <v>20220011707</v>
      </c>
      <c r="F489" s="9">
        <v>0</v>
      </c>
      <c r="G489" s="9"/>
      <c r="H489" s="9">
        <f t="shared" si="37"/>
        <v>0</v>
      </c>
    </row>
    <row r="490" spans="1:8" s="13" customFormat="1" ht="24.75" customHeight="1">
      <c r="A490" s="9">
        <v>488</v>
      </c>
      <c r="B490" s="9" t="str">
        <f>"谷丽"</f>
        <v>谷丽</v>
      </c>
      <c r="C490" s="9" t="str">
        <f t="shared" si="36"/>
        <v>女</v>
      </c>
      <c r="D490" s="9" t="str">
        <f t="shared" si="39"/>
        <v>汉族</v>
      </c>
      <c r="E490" s="9" t="str">
        <f>"20220011708"</f>
        <v>20220011708</v>
      </c>
      <c r="F490" s="9">
        <v>0</v>
      </c>
      <c r="G490" s="9"/>
      <c r="H490" s="9">
        <f t="shared" si="37"/>
        <v>0</v>
      </c>
    </row>
    <row r="491" spans="1:8" s="13" customFormat="1" ht="24.75" customHeight="1">
      <c r="A491" s="9">
        <v>489</v>
      </c>
      <c r="B491" s="9" t="str">
        <f>"王启迪"</f>
        <v>王启迪</v>
      </c>
      <c r="C491" s="9" t="str">
        <f t="shared" si="36"/>
        <v>女</v>
      </c>
      <c r="D491" s="9" t="str">
        <f t="shared" si="39"/>
        <v>汉族</v>
      </c>
      <c r="E491" s="9" t="str">
        <f>"20220011709"</f>
        <v>20220011709</v>
      </c>
      <c r="F491" s="9">
        <v>45</v>
      </c>
      <c r="G491" s="9"/>
      <c r="H491" s="9">
        <f t="shared" si="37"/>
        <v>45</v>
      </c>
    </row>
    <row r="492" spans="1:8" s="13" customFormat="1" ht="24.75" customHeight="1">
      <c r="A492" s="9">
        <v>490</v>
      </c>
      <c r="B492" s="9" t="str">
        <f>"梁婕妤"</f>
        <v>梁婕妤</v>
      </c>
      <c r="C492" s="9" t="str">
        <f t="shared" si="36"/>
        <v>女</v>
      </c>
      <c r="D492" s="9" t="str">
        <f t="shared" si="39"/>
        <v>汉族</v>
      </c>
      <c r="E492" s="9" t="str">
        <f>"20220011710"</f>
        <v>20220011710</v>
      </c>
      <c r="F492" s="9">
        <v>38</v>
      </c>
      <c r="G492" s="9"/>
      <c r="H492" s="9">
        <f t="shared" si="37"/>
        <v>38</v>
      </c>
    </row>
    <row r="493" spans="1:8" s="13" customFormat="1" ht="24.75" customHeight="1">
      <c r="A493" s="9">
        <v>491</v>
      </c>
      <c r="B493" s="9" t="str">
        <f>"王欣悦"</f>
        <v>王欣悦</v>
      </c>
      <c r="C493" s="9" t="str">
        <f t="shared" si="36"/>
        <v>女</v>
      </c>
      <c r="D493" s="9" t="str">
        <f t="shared" si="39"/>
        <v>汉族</v>
      </c>
      <c r="E493" s="9" t="str">
        <f>"20220011711"</f>
        <v>20220011711</v>
      </c>
      <c r="F493" s="9">
        <v>51</v>
      </c>
      <c r="G493" s="9"/>
      <c r="H493" s="9">
        <f t="shared" si="37"/>
        <v>51</v>
      </c>
    </row>
    <row r="494" spans="1:8" s="13" customFormat="1" ht="24.75" customHeight="1">
      <c r="A494" s="9">
        <v>492</v>
      </c>
      <c r="B494" s="9" t="str">
        <f>"刘慧茹"</f>
        <v>刘慧茹</v>
      </c>
      <c r="C494" s="9" t="str">
        <f t="shared" si="36"/>
        <v>女</v>
      </c>
      <c r="D494" s="9" t="str">
        <f t="shared" si="39"/>
        <v>汉族</v>
      </c>
      <c r="E494" s="9" t="str">
        <f>"20220011712"</f>
        <v>20220011712</v>
      </c>
      <c r="F494" s="9">
        <v>40</v>
      </c>
      <c r="G494" s="9"/>
      <c r="H494" s="9">
        <f t="shared" si="37"/>
        <v>40</v>
      </c>
    </row>
    <row r="495" spans="1:8" s="13" customFormat="1" ht="24.75" customHeight="1">
      <c r="A495" s="9">
        <v>493</v>
      </c>
      <c r="B495" s="9" t="str">
        <f>"邸萌"</f>
        <v>邸萌</v>
      </c>
      <c r="C495" s="9" t="str">
        <f t="shared" si="36"/>
        <v>女</v>
      </c>
      <c r="D495" s="9" t="str">
        <f t="shared" si="39"/>
        <v>汉族</v>
      </c>
      <c r="E495" s="9" t="str">
        <f>"20220011713"</f>
        <v>20220011713</v>
      </c>
      <c r="F495" s="9">
        <v>43</v>
      </c>
      <c r="G495" s="9"/>
      <c r="H495" s="9">
        <f t="shared" si="37"/>
        <v>43</v>
      </c>
    </row>
    <row r="496" spans="1:8" s="13" customFormat="1" ht="24.75" customHeight="1">
      <c r="A496" s="9">
        <v>494</v>
      </c>
      <c r="B496" s="9" t="str">
        <f>"丁学娇"</f>
        <v>丁学娇</v>
      </c>
      <c r="C496" s="9" t="str">
        <f t="shared" si="36"/>
        <v>女</v>
      </c>
      <c r="D496" s="9" t="str">
        <f t="shared" si="39"/>
        <v>汉族</v>
      </c>
      <c r="E496" s="9" t="str">
        <f>"20220011714"</f>
        <v>20220011714</v>
      </c>
      <c r="F496" s="9">
        <v>0</v>
      </c>
      <c r="G496" s="9"/>
      <c r="H496" s="9">
        <f t="shared" si="37"/>
        <v>0</v>
      </c>
    </row>
    <row r="497" spans="1:8" s="13" customFormat="1" ht="24.75" customHeight="1">
      <c r="A497" s="9">
        <v>495</v>
      </c>
      <c r="B497" s="9" t="str">
        <f>"高田田"</f>
        <v>高田田</v>
      </c>
      <c r="C497" s="9" t="str">
        <f t="shared" si="36"/>
        <v>女</v>
      </c>
      <c r="D497" s="9" t="str">
        <f t="shared" si="39"/>
        <v>汉族</v>
      </c>
      <c r="E497" s="9" t="str">
        <f>"20220011715"</f>
        <v>20220011715</v>
      </c>
      <c r="F497" s="9">
        <v>37</v>
      </c>
      <c r="G497" s="9"/>
      <c r="H497" s="9">
        <f t="shared" si="37"/>
        <v>37</v>
      </c>
    </row>
    <row r="498" spans="1:8" s="13" customFormat="1" ht="24.75" customHeight="1">
      <c r="A498" s="9">
        <v>496</v>
      </c>
      <c r="B498" s="9" t="str">
        <f>"苏雨婷"</f>
        <v>苏雨婷</v>
      </c>
      <c r="C498" s="9" t="str">
        <f t="shared" si="36"/>
        <v>女</v>
      </c>
      <c r="D498" s="9" t="str">
        <f t="shared" si="39"/>
        <v>汉族</v>
      </c>
      <c r="E498" s="9" t="str">
        <f>"20220011716"</f>
        <v>20220011716</v>
      </c>
      <c r="F498" s="9">
        <v>0</v>
      </c>
      <c r="G498" s="9"/>
      <c r="H498" s="9">
        <f t="shared" si="37"/>
        <v>0</v>
      </c>
    </row>
    <row r="499" spans="1:8" s="13" customFormat="1" ht="24.75" customHeight="1">
      <c r="A499" s="9">
        <v>497</v>
      </c>
      <c r="B499" s="9" t="str">
        <f>"杨洋"</f>
        <v>杨洋</v>
      </c>
      <c r="C499" s="9" t="str">
        <f t="shared" si="36"/>
        <v>女</v>
      </c>
      <c r="D499" s="9" t="str">
        <f>"蒙古族"</f>
        <v>蒙古族</v>
      </c>
      <c r="E499" s="9" t="str">
        <f>"20220011717"</f>
        <v>20220011717</v>
      </c>
      <c r="F499" s="9">
        <v>61</v>
      </c>
      <c r="G499" s="9">
        <v>2.5</v>
      </c>
      <c r="H499" s="9">
        <f t="shared" si="37"/>
        <v>63.5</v>
      </c>
    </row>
    <row r="500" spans="1:8" s="13" customFormat="1" ht="24.75" customHeight="1">
      <c r="A500" s="9">
        <v>498</v>
      </c>
      <c r="B500" s="9" t="str">
        <f>"张瑞"</f>
        <v>张瑞</v>
      </c>
      <c r="C500" s="9" t="str">
        <f t="shared" si="36"/>
        <v>女</v>
      </c>
      <c r="D500" s="9" t="str">
        <f>"汉族"</f>
        <v>汉族</v>
      </c>
      <c r="E500" s="9" t="str">
        <f>"20220011718"</f>
        <v>20220011718</v>
      </c>
      <c r="F500" s="9">
        <v>37</v>
      </c>
      <c r="G500" s="9"/>
      <c r="H500" s="9">
        <f t="shared" si="37"/>
        <v>37</v>
      </c>
    </row>
    <row r="501" spans="1:8" s="13" customFormat="1" ht="24.75" customHeight="1">
      <c r="A501" s="9">
        <v>499</v>
      </c>
      <c r="B501" s="9" t="str">
        <f>"马丽娜"</f>
        <v>马丽娜</v>
      </c>
      <c r="C501" s="9" t="str">
        <f t="shared" si="36"/>
        <v>女</v>
      </c>
      <c r="D501" s="9" t="str">
        <f>"蒙古族"</f>
        <v>蒙古族</v>
      </c>
      <c r="E501" s="9" t="str">
        <f>"20220011719"</f>
        <v>20220011719</v>
      </c>
      <c r="F501" s="9">
        <v>40</v>
      </c>
      <c r="G501" s="9">
        <v>2.5</v>
      </c>
      <c r="H501" s="9">
        <f t="shared" si="37"/>
        <v>42.5</v>
      </c>
    </row>
    <row r="502" spans="1:8" s="13" customFormat="1" ht="24.75" customHeight="1">
      <c r="A502" s="9">
        <v>500</v>
      </c>
      <c r="B502" s="9" t="str">
        <f>"刘璐"</f>
        <v>刘璐</v>
      </c>
      <c r="C502" s="9" t="str">
        <f t="shared" si="36"/>
        <v>女</v>
      </c>
      <c r="D502" s="9" t="str">
        <f>"汉族"</f>
        <v>汉族</v>
      </c>
      <c r="E502" s="9" t="str">
        <f>"20220011720"</f>
        <v>20220011720</v>
      </c>
      <c r="F502" s="9">
        <v>0</v>
      </c>
      <c r="G502" s="9"/>
      <c r="H502" s="9">
        <f t="shared" si="37"/>
        <v>0</v>
      </c>
    </row>
    <row r="503" spans="1:8" s="13" customFormat="1" ht="24.75" customHeight="1">
      <c r="A503" s="9">
        <v>501</v>
      </c>
      <c r="B503" s="9" t="str">
        <f>"杨慧"</f>
        <v>杨慧</v>
      </c>
      <c r="C503" s="9" t="str">
        <f t="shared" si="36"/>
        <v>女</v>
      </c>
      <c r="D503" s="9" t="str">
        <f>"汉族"</f>
        <v>汉族</v>
      </c>
      <c r="E503" s="9" t="str">
        <f>"20220011721"</f>
        <v>20220011721</v>
      </c>
      <c r="F503" s="9">
        <v>47</v>
      </c>
      <c r="G503" s="9"/>
      <c r="H503" s="9">
        <f t="shared" si="37"/>
        <v>47</v>
      </c>
    </row>
    <row r="504" spans="1:8" s="13" customFormat="1" ht="24.75" customHeight="1">
      <c r="A504" s="9">
        <v>502</v>
      </c>
      <c r="B504" s="9" t="str">
        <f>"王丽"</f>
        <v>王丽</v>
      </c>
      <c r="C504" s="9" t="str">
        <f t="shared" si="36"/>
        <v>女</v>
      </c>
      <c r="D504" s="9" t="str">
        <f>"汉族"</f>
        <v>汉族</v>
      </c>
      <c r="E504" s="9" t="str">
        <f>"20220011722"</f>
        <v>20220011722</v>
      </c>
      <c r="F504" s="9">
        <v>53</v>
      </c>
      <c r="G504" s="9"/>
      <c r="H504" s="9">
        <f t="shared" si="37"/>
        <v>53</v>
      </c>
    </row>
    <row r="505" spans="1:8" s="13" customFormat="1" ht="24.75" customHeight="1">
      <c r="A505" s="9">
        <v>503</v>
      </c>
      <c r="B505" s="9" t="str">
        <f>"秦露桐"</f>
        <v>秦露桐</v>
      </c>
      <c r="C505" s="9" t="str">
        <f t="shared" si="36"/>
        <v>女</v>
      </c>
      <c r="D505" s="9" t="str">
        <f>"汉族"</f>
        <v>汉族</v>
      </c>
      <c r="E505" s="9" t="str">
        <f>"20220011723"</f>
        <v>20220011723</v>
      </c>
      <c r="F505" s="9">
        <v>56</v>
      </c>
      <c r="G505" s="9"/>
      <c r="H505" s="9">
        <f t="shared" si="37"/>
        <v>56</v>
      </c>
    </row>
    <row r="506" spans="1:8" s="13" customFormat="1" ht="24.75" customHeight="1">
      <c r="A506" s="9">
        <v>504</v>
      </c>
      <c r="B506" s="9" t="str">
        <f>"韩雪"</f>
        <v>韩雪</v>
      </c>
      <c r="C506" s="9" t="str">
        <f t="shared" si="36"/>
        <v>女</v>
      </c>
      <c r="D506" s="9" t="str">
        <f>"蒙古族"</f>
        <v>蒙古族</v>
      </c>
      <c r="E506" s="9" t="str">
        <f>"20220011724"</f>
        <v>20220011724</v>
      </c>
      <c r="F506" s="9">
        <v>0</v>
      </c>
      <c r="G506" s="9">
        <v>2.5</v>
      </c>
      <c r="H506" s="9">
        <f t="shared" si="37"/>
        <v>2.5</v>
      </c>
    </row>
    <row r="507" spans="1:8" s="13" customFormat="1" ht="24.75" customHeight="1">
      <c r="A507" s="9">
        <v>505</v>
      </c>
      <c r="B507" s="9" t="str">
        <f>"孙敏"</f>
        <v>孙敏</v>
      </c>
      <c r="C507" s="9" t="str">
        <f t="shared" si="36"/>
        <v>女</v>
      </c>
      <c r="D507" s="9" t="str">
        <f aca="true" t="shared" si="40" ref="D507:D518">"汉族"</f>
        <v>汉族</v>
      </c>
      <c r="E507" s="9" t="str">
        <f>"20220011725"</f>
        <v>20220011725</v>
      </c>
      <c r="F507" s="9">
        <v>63</v>
      </c>
      <c r="G507" s="9"/>
      <c r="H507" s="9">
        <f t="shared" si="37"/>
        <v>63</v>
      </c>
    </row>
    <row r="508" spans="1:8" s="13" customFormat="1" ht="24.75" customHeight="1">
      <c r="A508" s="9">
        <v>506</v>
      </c>
      <c r="B508" s="9" t="str">
        <f>"温洁芳"</f>
        <v>温洁芳</v>
      </c>
      <c r="C508" s="9" t="str">
        <f t="shared" si="36"/>
        <v>女</v>
      </c>
      <c r="D508" s="9" t="str">
        <f t="shared" si="40"/>
        <v>汉族</v>
      </c>
      <c r="E508" s="9" t="str">
        <f>"20220011726"</f>
        <v>20220011726</v>
      </c>
      <c r="F508" s="9">
        <v>51</v>
      </c>
      <c r="G508" s="9"/>
      <c r="H508" s="9">
        <f t="shared" si="37"/>
        <v>51</v>
      </c>
    </row>
    <row r="509" spans="1:8" s="13" customFormat="1" ht="24.75" customHeight="1">
      <c r="A509" s="9">
        <v>507</v>
      </c>
      <c r="B509" s="9" t="str">
        <f>"董晶晶"</f>
        <v>董晶晶</v>
      </c>
      <c r="C509" s="9" t="str">
        <f t="shared" si="36"/>
        <v>女</v>
      </c>
      <c r="D509" s="9" t="str">
        <f t="shared" si="40"/>
        <v>汉族</v>
      </c>
      <c r="E509" s="9" t="str">
        <f>"20220011727"</f>
        <v>20220011727</v>
      </c>
      <c r="F509" s="9">
        <v>32</v>
      </c>
      <c r="G509" s="9"/>
      <c r="H509" s="9">
        <f t="shared" si="37"/>
        <v>32</v>
      </c>
    </row>
    <row r="510" spans="1:8" s="13" customFormat="1" ht="24.75" customHeight="1">
      <c r="A510" s="9">
        <v>508</v>
      </c>
      <c r="B510" s="9" t="str">
        <f>"孙晨超"</f>
        <v>孙晨超</v>
      </c>
      <c r="C510" s="9" t="str">
        <f t="shared" si="36"/>
        <v>女</v>
      </c>
      <c r="D510" s="9" t="str">
        <f t="shared" si="40"/>
        <v>汉族</v>
      </c>
      <c r="E510" s="9" t="str">
        <f>"20220011728"</f>
        <v>20220011728</v>
      </c>
      <c r="F510" s="9">
        <v>54</v>
      </c>
      <c r="G510" s="9"/>
      <c r="H510" s="9">
        <f t="shared" si="37"/>
        <v>54</v>
      </c>
    </row>
    <row r="511" spans="1:8" s="13" customFormat="1" ht="24.75" customHeight="1">
      <c r="A511" s="9">
        <v>509</v>
      </c>
      <c r="B511" s="9" t="str">
        <f>"杭梦轲"</f>
        <v>杭梦轲</v>
      </c>
      <c r="C511" s="9" t="str">
        <f t="shared" si="36"/>
        <v>女</v>
      </c>
      <c r="D511" s="9" t="str">
        <f t="shared" si="40"/>
        <v>汉族</v>
      </c>
      <c r="E511" s="9" t="str">
        <f>"20220011729"</f>
        <v>20220011729</v>
      </c>
      <c r="F511" s="9">
        <v>58</v>
      </c>
      <c r="G511" s="9"/>
      <c r="H511" s="9">
        <f t="shared" si="37"/>
        <v>58</v>
      </c>
    </row>
    <row r="512" spans="1:8" s="13" customFormat="1" ht="24.75" customHeight="1">
      <c r="A512" s="9">
        <v>510</v>
      </c>
      <c r="B512" s="9" t="str">
        <f>"苏敏"</f>
        <v>苏敏</v>
      </c>
      <c r="C512" s="9" t="str">
        <f t="shared" si="36"/>
        <v>女</v>
      </c>
      <c r="D512" s="9" t="str">
        <f t="shared" si="40"/>
        <v>汉族</v>
      </c>
      <c r="E512" s="9" t="str">
        <f>"20220011730"</f>
        <v>20220011730</v>
      </c>
      <c r="F512" s="9">
        <v>43</v>
      </c>
      <c r="G512" s="9"/>
      <c r="H512" s="9">
        <f t="shared" si="37"/>
        <v>43</v>
      </c>
    </row>
    <row r="513" spans="1:8" s="13" customFormat="1" ht="24.75" customHeight="1">
      <c r="A513" s="9">
        <v>511</v>
      </c>
      <c r="B513" s="9" t="str">
        <f>"徐宇思"</f>
        <v>徐宇思</v>
      </c>
      <c r="C513" s="9" t="str">
        <f t="shared" si="36"/>
        <v>女</v>
      </c>
      <c r="D513" s="9" t="str">
        <f t="shared" si="40"/>
        <v>汉族</v>
      </c>
      <c r="E513" s="9" t="str">
        <f>"20220011801"</f>
        <v>20220011801</v>
      </c>
      <c r="F513" s="9">
        <v>56</v>
      </c>
      <c r="G513" s="9"/>
      <c r="H513" s="9">
        <f t="shared" si="37"/>
        <v>56</v>
      </c>
    </row>
    <row r="514" spans="1:8" s="13" customFormat="1" ht="24.75" customHeight="1">
      <c r="A514" s="9">
        <v>512</v>
      </c>
      <c r="B514" s="9" t="str">
        <f>"王娇艳"</f>
        <v>王娇艳</v>
      </c>
      <c r="C514" s="9" t="str">
        <f t="shared" si="36"/>
        <v>女</v>
      </c>
      <c r="D514" s="9" t="str">
        <f t="shared" si="40"/>
        <v>汉族</v>
      </c>
      <c r="E514" s="9" t="str">
        <f>"20220011802"</f>
        <v>20220011802</v>
      </c>
      <c r="F514" s="9">
        <v>56</v>
      </c>
      <c r="G514" s="9"/>
      <c r="H514" s="9">
        <f t="shared" si="37"/>
        <v>56</v>
      </c>
    </row>
    <row r="515" spans="1:8" s="13" customFormat="1" ht="24.75" customHeight="1">
      <c r="A515" s="9">
        <v>513</v>
      </c>
      <c r="B515" s="9" t="str">
        <f>"苏荣"</f>
        <v>苏荣</v>
      </c>
      <c r="C515" s="9" t="str">
        <f aca="true" t="shared" si="41" ref="C515:C578">"女"</f>
        <v>女</v>
      </c>
      <c r="D515" s="9" t="str">
        <f t="shared" si="40"/>
        <v>汉族</v>
      </c>
      <c r="E515" s="9" t="str">
        <f>"20220011803"</f>
        <v>20220011803</v>
      </c>
      <c r="F515" s="9">
        <v>61</v>
      </c>
      <c r="G515" s="9"/>
      <c r="H515" s="9">
        <f aca="true" t="shared" si="42" ref="H515:H578">F515+G515</f>
        <v>61</v>
      </c>
    </row>
    <row r="516" spans="1:8" s="13" customFormat="1" ht="24.75" customHeight="1">
      <c r="A516" s="9">
        <v>514</v>
      </c>
      <c r="B516" s="9" t="str">
        <f>"黄鑫磊"</f>
        <v>黄鑫磊</v>
      </c>
      <c r="C516" s="9" t="str">
        <f t="shared" si="41"/>
        <v>女</v>
      </c>
      <c r="D516" s="9" t="str">
        <f t="shared" si="40"/>
        <v>汉族</v>
      </c>
      <c r="E516" s="9" t="str">
        <f>"20220011804"</f>
        <v>20220011804</v>
      </c>
      <c r="F516" s="9">
        <v>48</v>
      </c>
      <c r="G516" s="9"/>
      <c r="H516" s="9">
        <f t="shared" si="42"/>
        <v>48</v>
      </c>
    </row>
    <row r="517" spans="1:8" s="13" customFormat="1" ht="24.75" customHeight="1">
      <c r="A517" s="9">
        <v>515</v>
      </c>
      <c r="B517" s="9" t="str">
        <f>"高星月"</f>
        <v>高星月</v>
      </c>
      <c r="C517" s="9" t="str">
        <f t="shared" si="41"/>
        <v>女</v>
      </c>
      <c r="D517" s="9" t="str">
        <f t="shared" si="40"/>
        <v>汉族</v>
      </c>
      <c r="E517" s="9" t="str">
        <f>"20220011805"</f>
        <v>20220011805</v>
      </c>
      <c r="F517" s="9">
        <v>48</v>
      </c>
      <c r="G517" s="9"/>
      <c r="H517" s="9">
        <f t="shared" si="42"/>
        <v>48</v>
      </c>
    </row>
    <row r="518" spans="1:8" s="13" customFormat="1" ht="24.75" customHeight="1">
      <c r="A518" s="9">
        <v>516</v>
      </c>
      <c r="B518" s="9" t="str">
        <f>"张宇欣"</f>
        <v>张宇欣</v>
      </c>
      <c r="C518" s="9" t="str">
        <f t="shared" si="41"/>
        <v>女</v>
      </c>
      <c r="D518" s="9" t="str">
        <f t="shared" si="40"/>
        <v>汉族</v>
      </c>
      <c r="E518" s="9" t="str">
        <f>"20220011806"</f>
        <v>20220011806</v>
      </c>
      <c r="F518" s="9">
        <v>43</v>
      </c>
      <c r="G518" s="9"/>
      <c r="H518" s="9">
        <f t="shared" si="42"/>
        <v>43</v>
      </c>
    </row>
    <row r="519" spans="1:8" s="13" customFormat="1" ht="24.75" customHeight="1">
      <c r="A519" s="9">
        <v>517</v>
      </c>
      <c r="B519" s="9" t="str">
        <f>"李娟"</f>
        <v>李娟</v>
      </c>
      <c r="C519" s="9" t="str">
        <f t="shared" si="41"/>
        <v>女</v>
      </c>
      <c r="D519" s="9" t="str">
        <f>"蒙古族"</f>
        <v>蒙古族</v>
      </c>
      <c r="E519" s="9" t="str">
        <f>"20220011807"</f>
        <v>20220011807</v>
      </c>
      <c r="F519" s="9">
        <v>59</v>
      </c>
      <c r="G519" s="9">
        <v>2.5</v>
      </c>
      <c r="H519" s="9">
        <f t="shared" si="42"/>
        <v>61.5</v>
      </c>
    </row>
    <row r="520" spans="1:8" s="13" customFormat="1" ht="24.75" customHeight="1">
      <c r="A520" s="9">
        <v>518</v>
      </c>
      <c r="B520" s="9" t="str">
        <f>"罗素贞"</f>
        <v>罗素贞</v>
      </c>
      <c r="C520" s="9" t="str">
        <f t="shared" si="41"/>
        <v>女</v>
      </c>
      <c r="D520" s="9" t="str">
        <f aca="true" t="shared" si="43" ref="D520:D540">"汉族"</f>
        <v>汉族</v>
      </c>
      <c r="E520" s="9" t="str">
        <f>"20220011808"</f>
        <v>20220011808</v>
      </c>
      <c r="F520" s="9">
        <v>52</v>
      </c>
      <c r="G520" s="9"/>
      <c r="H520" s="9">
        <f t="shared" si="42"/>
        <v>52</v>
      </c>
    </row>
    <row r="521" spans="1:8" s="13" customFormat="1" ht="24.75" customHeight="1">
      <c r="A521" s="9">
        <v>519</v>
      </c>
      <c r="B521" s="9" t="str">
        <f>"王煜婷"</f>
        <v>王煜婷</v>
      </c>
      <c r="C521" s="9" t="str">
        <f t="shared" si="41"/>
        <v>女</v>
      </c>
      <c r="D521" s="9" t="str">
        <f t="shared" si="43"/>
        <v>汉族</v>
      </c>
      <c r="E521" s="9" t="str">
        <f>"20220011809"</f>
        <v>20220011809</v>
      </c>
      <c r="F521" s="9">
        <v>63</v>
      </c>
      <c r="G521" s="9"/>
      <c r="H521" s="9">
        <f t="shared" si="42"/>
        <v>63</v>
      </c>
    </row>
    <row r="522" spans="1:8" s="13" customFormat="1" ht="24.75" customHeight="1">
      <c r="A522" s="9">
        <v>520</v>
      </c>
      <c r="B522" s="9" t="str">
        <f>"贺琳雪"</f>
        <v>贺琳雪</v>
      </c>
      <c r="C522" s="9" t="str">
        <f t="shared" si="41"/>
        <v>女</v>
      </c>
      <c r="D522" s="9" t="str">
        <f t="shared" si="43"/>
        <v>汉族</v>
      </c>
      <c r="E522" s="9" t="str">
        <f>"20220011810"</f>
        <v>20220011810</v>
      </c>
      <c r="F522" s="9">
        <v>44</v>
      </c>
      <c r="G522" s="9"/>
      <c r="H522" s="9">
        <f t="shared" si="42"/>
        <v>44</v>
      </c>
    </row>
    <row r="523" spans="1:8" s="13" customFormat="1" ht="24.75" customHeight="1">
      <c r="A523" s="9">
        <v>521</v>
      </c>
      <c r="B523" s="9" t="str">
        <f>"吕娜"</f>
        <v>吕娜</v>
      </c>
      <c r="C523" s="9" t="str">
        <f t="shared" si="41"/>
        <v>女</v>
      </c>
      <c r="D523" s="9" t="str">
        <f t="shared" si="43"/>
        <v>汉族</v>
      </c>
      <c r="E523" s="9" t="str">
        <f>"20220011811"</f>
        <v>20220011811</v>
      </c>
      <c r="F523" s="9">
        <v>53</v>
      </c>
      <c r="G523" s="9"/>
      <c r="H523" s="9">
        <f t="shared" si="42"/>
        <v>53</v>
      </c>
    </row>
    <row r="524" spans="1:8" s="13" customFormat="1" ht="24.75" customHeight="1">
      <c r="A524" s="9">
        <v>522</v>
      </c>
      <c r="B524" s="9" t="str">
        <f>"段慧敏"</f>
        <v>段慧敏</v>
      </c>
      <c r="C524" s="9" t="str">
        <f t="shared" si="41"/>
        <v>女</v>
      </c>
      <c r="D524" s="9" t="str">
        <f t="shared" si="43"/>
        <v>汉族</v>
      </c>
      <c r="E524" s="9" t="str">
        <f>"20220011812"</f>
        <v>20220011812</v>
      </c>
      <c r="F524" s="9">
        <v>53</v>
      </c>
      <c r="G524" s="9"/>
      <c r="H524" s="9">
        <f t="shared" si="42"/>
        <v>53</v>
      </c>
    </row>
    <row r="525" spans="1:8" s="13" customFormat="1" ht="24.75" customHeight="1">
      <c r="A525" s="9">
        <v>523</v>
      </c>
      <c r="B525" s="9" t="str">
        <f>"周文嫒"</f>
        <v>周文嫒</v>
      </c>
      <c r="C525" s="9" t="str">
        <f t="shared" si="41"/>
        <v>女</v>
      </c>
      <c r="D525" s="9" t="str">
        <f t="shared" si="43"/>
        <v>汉族</v>
      </c>
      <c r="E525" s="9" t="str">
        <f>"20220011813"</f>
        <v>20220011813</v>
      </c>
      <c r="F525" s="9">
        <v>52</v>
      </c>
      <c r="G525" s="9"/>
      <c r="H525" s="9">
        <f t="shared" si="42"/>
        <v>52</v>
      </c>
    </row>
    <row r="526" spans="1:8" s="13" customFormat="1" ht="24.75" customHeight="1">
      <c r="A526" s="9">
        <v>524</v>
      </c>
      <c r="B526" s="9" t="str">
        <f>"王旭蓉"</f>
        <v>王旭蓉</v>
      </c>
      <c r="C526" s="9" t="str">
        <f t="shared" si="41"/>
        <v>女</v>
      </c>
      <c r="D526" s="9" t="str">
        <f t="shared" si="43"/>
        <v>汉族</v>
      </c>
      <c r="E526" s="9" t="str">
        <f>"20220011814"</f>
        <v>20220011814</v>
      </c>
      <c r="F526" s="9">
        <v>54</v>
      </c>
      <c r="G526" s="9"/>
      <c r="H526" s="9">
        <f t="shared" si="42"/>
        <v>54</v>
      </c>
    </row>
    <row r="527" spans="1:8" s="13" customFormat="1" ht="24.75" customHeight="1">
      <c r="A527" s="9">
        <v>525</v>
      </c>
      <c r="B527" s="9" t="str">
        <f>"王敏"</f>
        <v>王敏</v>
      </c>
      <c r="C527" s="9" t="str">
        <f t="shared" si="41"/>
        <v>女</v>
      </c>
      <c r="D527" s="9" t="str">
        <f t="shared" si="43"/>
        <v>汉族</v>
      </c>
      <c r="E527" s="9" t="str">
        <f>"20220011815"</f>
        <v>20220011815</v>
      </c>
      <c r="F527" s="9">
        <v>50</v>
      </c>
      <c r="G527" s="9"/>
      <c r="H527" s="9">
        <f t="shared" si="42"/>
        <v>50</v>
      </c>
    </row>
    <row r="528" spans="1:8" s="13" customFormat="1" ht="24.75" customHeight="1">
      <c r="A528" s="9">
        <v>526</v>
      </c>
      <c r="B528" s="9" t="str">
        <f>"郭佳乐"</f>
        <v>郭佳乐</v>
      </c>
      <c r="C528" s="9" t="str">
        <f t="shared" si="41"/>
        <v>女</v>
      </c>
      <c r="D528" s="9" t="str">
        <f t="shared" si="43"/>
        <v>汉族</v>
      </c>
      <c r="E528" s="9" t="str">
        <f>"20220011816"</f>
        <v>20220011816</v>
      </c>
      <c r="F528" s="9">
        <v>40</v>
      </c>
      <c r="G528" s="9"/>
      <c r="H528" s="9">
        <f t="shared" si="42"/>
        <v>40</v>
      </c>
    </row>
    <row r="529" spans="1:8" s="13" customFormat="1" ht="24.75" customHeight="1">
      <c r="A529" s="9">
        <v>527</v>
      </c>
      <c r="B529" s="9" t="str">
        <f>"孟馨蕊"</f>
        <v>孟馨蕊</v>
      </c>
      <c r="C529" s="9" t="str">
        <f t="shared" si="41"/>
        <v>女</v>
      </c>
      <c r="D529" s="9" t="str">
        <f t="shared" si="43"/>
        <v>汉族</v>
      </c>
      <c r="E529" s="9" t="str">
        <f>"20220011817"</f>
        <v>20220011817</v>
      </c>
      <c r="F529" s="9">
        <v>0</v>
      </c>
      <c r="G529" s="9"/>
      <c r="H529" s="9">
        <f t="shared" si="42"/>
        <v>0</v>
      </c>
    </row>
    <row r="530" spans="1:8" s="13" customFormat="1" ht="24.75" customHeight="1">
      <c r="A530" s="9">
        <v>528</v>
      </c>
      <c r="B530" s="9" t="str">
        <f>"薛茹毓"</f>
        <v>薛茹毓</v>
      </c>
      <c r="C530" s="9" t="str">
        <f t="shared" si="41"/>
        <v>女</v>
      </c>
      <c r="D530" s="9" t="str">
        <f t="shared" si="43"/>
        <v>汉族</v>
      </c>
      <c r="E530" s="9" t="str">
        <f>"20220011818"</f>
        <v>20220011818</v>
      </c>
      <c r="F530" s="9">
        <v>48</v>
      </c>
      <c r="G530" s="9"/>
      <c r="H530" s="9">
        <f t="shared" si="42"/>
        <v>48</v>
      </c>
    </row>
    <row r="531" spans="1:8" s="13" customFormat="1" ht="24.75" customHeight="1">
      <c r="A531" s="9">
        <v>529</v>
      </c>
      <c r="B531" s="9" t="str">
        <f>"王蕾"</f>
        <v>王蕾</v>
      </c>
      <c r="C531" s="9" t="str">
        <f t="shared" si="41"/>
        <v>女</v>
      </c>
      <c r="D531" s="9" t="str">
        <f t="shared" si="43"/>
        <v>汉族</v>
      </c>
      <c r="E531" s="9" t="str">
        <f>"20220011819"</f>
        <v>20220011819</v>
      </c>
      <c r="F531" s="9">
        <v>58</v>
      </c>
      <c r="G531" s="9"/>
      <c r="H531" s="9">
        <f t="shared" si="42"/>
        <v>58</v>
      </c>
    </row>
    <row r="532" spans="1:8" s="13" customFormat="1" ht="24.75" customHeight="1">
      <c r="A532" s="9">
        <v>530</v>
      </c>
      <c r="B532" s="9" t="str">
        <f>"袁佳熙"</f>
        <v>袁佳熙</v>
      </c>
      <c r="C532" s="9" t="str">
        <f t="shared" si="41"/>
        <v>女</v>
      </c>
      <c r="D532" s="9" t="str">
        <f t="shared" si="43"/>
        <v>汉族</v>
      </c>
      <c r="E532" s="9" t="str">
        <f>"20220011820"</f>
        <v>20220011820</v>
      </c>
      <c r="F532" s="9">
        <v>58</v>
      </c>
      <c r="G532" s="9"/>
      <c r="H532" s="9">
        <f t="shared" si="42"/>
        <v>58</v>
      </c>
    </row>
    <row r="533" spans="1:8" s="13" customFormat="1" ht="24.75" customHeight="1">
      <c r="A533" s="9">
        <v>531</v>
      </c>
      <c r="B533" s="9" t="str">
        <f>"付金霞"</f>
        <v>付金霞</v>
      </c>
      <c r="C533" s="9" t="str">
        <f t="shared" si="41"/>
        <v>女</v>
      </c>
      <c r="D533" s="9" t="str">
        <f t="shared" si="43"/>
        <v>汉族</v>
      </c>
      <c r="E533" s="9" t="str">
        <f>"20220011821"</f>
        <v>20220011821</v>
      </c>
      <c r="F533" s="9">
        <v>0</v>
      </c>
      <c r="G533" s="9"/>
      <c r="H533" s="9">
        <f t="shared" si="42"/>
        <v>0</v>
      </c>
    </row>
    <row r="534" spans="1:8" s="13" customFormat="1" ht="24.75" customHeight="1">
      <c r="A534" s="9">
        <v>532</v>
      </c>
      <c r="B534" s="9" t="str">
        <f>"史立莹"</f>
        <v>史立莹</v>
      </c>
      <c r="C534" s="9" t="str">
        <f t="shared" si="41"/>
        <v>女</v>
      </c>
      <c r="D534" s="9" t="str">
        <f t="shared" si="43"/>
        <v>汉族</v>
      </c>
      <c r="E534" s="9" t="str">
        <f>"20220011822"</f>
        <v>20220011822</v>
      </c>
      <c r="F534" s="9">
        <v>57</v>
      </c>
      <c r="G534" s="9"/>
      <c r="H534" s="9">
        <f t="shared" si="42"/>
        <v>57</v>
      </c>
    </row>
    <row r="535" spans="1:8" s="13" customFormat="1" ht="24.75" customHeight="1">
      <c r="A535" s="9">
        <v>533</v>
      </c>
      <c r="B535" s="9" t="str">
        <f>"李沂璇"</f>
        <v>李沂璇</v>
      </c>
      <c r="C535" s="9" t="str">
        <f t="shared" si="41"/>
        <v>女</v>
      </c>
      <c r="D535" s="9" t="str">
        <f t="shared" si="43"/>
        <v>汉族</v>
      </c>
      <c r="E535" s="9" t="str">
        <f>"20220011823"</f>
        <v>20220011823</v>
      </c>
      <c r="F535" s="9">
        <v>67</v>
      </c>
      <c r="G535" s="9"/>
      <c r="H535" s="9">
        <f t="shared" si="42"/>
        <v>67</v>
      </c>
    </row>
    <row r="536" spans="1:8" s="13" customFormat="1" ht="24.75" customHeight="1">
      <c r="A536" s="9">
        <v>534</v>
      </c>
      <c r="B536" s="9" t="str">
        <f>"刘琛婧"</f>
        <v>刘琛婧</v>
      </c>
      <c r="C536" s="9" t="str">
        <f t="shared" si="41"/>
        <v>女</v>
      </c>
      <c r="D536" s="9" t="str">
        <f t="shared" si="43"/>
        <v>汉族</v>
      </c>
      <c r="E536" s="9" t="str">
        <f>"20220011824"</f>
        <v>20220011824</v>
      </c>
      <c r="F536" s="9">
        <v>53</v>
      </c>
      <c r="G536" s="9"/>
      <c r="H536" s="9">
        <f t="shared" si="42"/>
        <v>53</v>
      </c>
    </row>
    <row r="537" spans="1:8" s="13" customFormat="1" ht="24.75" customHeight="1">
      <c r="A537" s="9">
        <v>535</v>
      </c>
      <c r="B537" s="9" t="str">
        <f>"徐瑜聆"</f>
        <v>徐瑜聆</v>
      </c>
      <c r="C537" s="9" t="str">
        <f t="shared" si="41"/>
        <v>女</v>
      </c>
      <c r="D537" s="9" t="str">
        <f t="shared" si="43"/>
        <v>汉族</v>
      </c>
      <c r="E537" s="9" t="str">
        <f>"20220011825"</f>
        <v>20220011825</v>
      </c>
      <c r="F537" s="9">
        <v>47</v>
      </c>
      <c r="G537" s="9"/>
      <c r="H537" s="9">
        <f t="shared" si="42"/>
        <v>47</v>
      </c>
    </row>
    <row r="538" spans="1:8" s="13" customFormat="1" ht="24.75" customHeight="1">
      <c r="A538" s="9">
        <v>536</v>
      </c>
      <c r="B538" s="9" t="str">
        <f>"高嘉妮"</f>
        <v>高嘉妮</v>
      </c>
      <c r="C538" s="9" t="str">
        <f t="shared" si="41"/>
        <v>女</v>
      </c>
      <c r="D538" s="9" t="str">
        <f t="shared" si="43"/>
        <v>汉族</v>
      </c>
      <c r="E538" s="9" t="str">
        <f>"20220011826"</f>
        <v>20220011826</v>
      </c>
      <c r="F538" s="9">
        <v>45</v>
      </c>
      <c r="G538" s="9"/>
      <c r="H538" s="9">
        <f t="shared" si="42"/>
        <v>45</v>
      </c>
    </row>
    <row r="539" spans="1:8" s="13" customFormat="1" ht="24.75" customHeight="1">
      <c r="A539" s="9">
        <v>537</v>
      </c>
      <c r="B539" s="9" t="str">
        <f>"赵娜"</f>
        <v>赵娜</v>
      </c>
      <c r="C539" s="9" t="str">
        <f t="shared" si="41"/>
        <v>女</v>
      </c>
      <c r="D539" s="9" t="str">
        <f t="shared" si="43"/>
        <v>汉族</v>
      </c>
      <c r="E539" s="9" t="str">
        <f>"20220011827"</f>
        <v>20220011827</v>
      </c>
      <c r="F539" s="9">
        <v>0</v>
      </c>
      <c r="G539" s="9"/>
      <c r="H539" s="9">
        <f t="shared" si="42"/>
        <v>0</v>
      </c>
    </row>
    <row r="540" spans="1:8" s="13" customFormat="1" ht="24.75" customHeight="1">
      <c r="A540" s="9">
        <v>538</v>
      </c>
      <c r="B540" s="9" t="str">
        <f>"尚婷"</f>
        <v>尚婷</v>
      </c>
      <c r="C540" s="9" t="str">
        <f t="shared" si="41"/>
        <v>女</v>
      </c>
      <c r="D540" s="9" t="str">
        <f t="shared" si="43"/>
        <v>汉族</v>
      </c>
      <c r="E540" s="9" t="str">
        <f>"20220011828"</f>
        <v>20220011828</v>
      </c>
      <c r="F540" s="9">
        <v>60</v>
      </c>
      <c r="G540" s="9"/>
      <c r="H540" s="9">
        <f t="shared" si="42"/>
        <v>60</v>
      </c>
    </row>
    <row r="541" spans="1:8" s="13" customFormat="1" ht="24.75" customHeight="1">
      <c r="A541" s="9">
        <v>539</v>
      </c>
      <c r="B541" s="9" t="str">
        <f>"白伊娜"</f>
        <v>白伊娜</v>
      </c>
      <c r="C541" s="9" t="str">
        <f t="shared" si="41"/>
        <v>女</v>
      </c>
      <c r="D541" s="9" t="str">
        <f>"蒙古族"</f>
        <v>蒙古族</v>
      </c>
      <c r="E541" s="9" t="str">
        <f>"20220011829"</f>
        <v>20220011829</v>
      </c>
      <c r="F541" s="9">
        <v>62</v>
      </c>
      <c r="G541" s="9">
        <v>2.5</v>
      </c>
      <c r="H541" s="9">
        <f t="shared" si="42"/>
        <v>64.5</v>
      </c>
    </row>
    <row r="542" spans="1:8" s="13" customFormat="1" ht="24.75" customHeight="1">
      <c r="A542" s="9">
        <v>540</v>
      </c>
      <c r="B542" s="9" t="str">
        <f>"马乐"</f>
        <v>马乐</v>
      </c>
      <c r="C542" s="9" t="str">
        <f t="shared" si="41"/>
        <v>女</v>
      </c>
      <c r="D542" s="9" t="str">
        <f>"汉族"</f>
        <v>汉族</v>
      </c>
      <c r="E542" s="9" t="str">
        <f>"20220011830"</f>
        <v>20220011830</v>
      </c>
      <c r="F542" s="9">
        <v>0</v>
      </c>
      <c r="G542" s="9"/>
      <c r="H542" s="9">
        <f t="shared" si="42"/>
        <v>0</v>
      </c>
    </row>
    <row r="543" spans="1:8" s="13" customFormat="1" ht="24.75" customHeight="1">
      <c r="A543" s="9">
        <v>541</v>
      </c>
      <c r="B543" s="9" t="str">
        <f>"郝艳波"</f>
        <v>郝艳波</v>
      </c>
      <c r="C543" s="9" t="str">
        <f t="shared" si="41"/>
        <v>女</v>
      </c>
      <c r="D543" s="9" t="str">
        <f>"汉族"</f>
        <v>汉族</v>
      </c>
      <c r="E543" s="9" t="str">
        <f>"20220011901"</f>
        <v>20220011901</v>
      </c>
      <c r="F543" s="9">
        <v>0</v>
      </c>
      <c r="G543" s="9"/>
      <c r="H543" s="9">
        <f t="shared" si="42"/>
        <v>0</v>
      </c>
    </row>
    <row r="544" spans="1:8" s="13" customFormat="1" ht="24.75" customHeight="1">
      <c r="A544" s="9">
        <v>542</v>
      </c>
      <c r="B544" s="9" t="str">
        <f>"秦怡"</f>
        <v>秦怡</v>
      </c>
      <c r="C544" s="9" t="str">
        <f t="shared" si="41"/>
        <v>女</v>
      </c>
      <c r="D544" s="9" t="str">
        <f>"汉族"</f>
        <v>汉族</v>
      </c>
      <c r="E544" s="9" t="str">
        <f>"20220011902"</f>
        <v>20220011902</v>
      </c>
      <c r="F544" s="9">
        <v>0</v>
      </c>
      <c r="G544" s="9"/>
      <c r="H544" s="9">
        <f t="shared" si="42"/>
        <v>0</v>
      </c>
    </row>
    <row r="545" spans="1:8" s="13" customFormat="1" ht="24.75" customHeight="1">
      <c r="A545" s="9">
        <v>543</v>
      </c>
      <c r="B545" s="9" t="str">
        <f>"特日格乐"</f>
        <v>特日格乐</v>
      </c>
      <c r="C545" s="9" t="str">
        <f t="shared" si="41"/>
        <v>女</v>
      </c>
      <c r="D545" s="9" t="str">
        <f>"蒙古族"</f>
        <v>蒙古族</v>
      </c>
      <c r="E545" s="9" t="str">
        <f>"20220011903"</f>
        <v>20220011903</v>
      </c>
      <c r="F545" s="9">
        <v>0</v>
      </c>
      <c r="G545" s="9">
        <v>2.5</v>
      </c>
      <c r="H545" s="9">
        <f t="shared" si="42"/>
        <v>2.5</v>
      </c>
    </row>
    <row r="546" spans="1:8" s="13" customFormat="1" ht="24.75" customHeight="1">
      <c r="A546" s="9">
        <v>544</v>
      </c>
      <c r="B546" s="9" t="str">
        <f>"贾和豫"</f>
        <v>贾和豫</v>
      </c>
      <c r="C546" s="9" t="str">
        <f t="shared" si="41"/>
        <v>女</v>
      </c>
      <c r="D546" s="9" t="str">
        <f>"汉族"</f>
        <v>汉族</v>
      </c>
      <c r="E546" s="9" t="str">
        <f>"20220011904"</f>
        <v>20220011904</v>
      </c>
      <c r="F546" s="9">
        <v>0</v>
      </c>
      <c r="G546" s="9"/>
      <c r="H546" s="9">
        <f t="shared" si="42"/>
        <v>0</v>
      </c>
    </row>
    <row r="547" spans="1:8" s="13" customFormat="1" ht="24.75" customHeight="1">
      <c r="A547" s="9">
        <v>545</v>
      </c>
      <c r="B547" s="9" t="str">
        <f>"代文杰"</f>
        <v>代文杰</v>
      </c>
      <c r="C547" s="9" t="str">
        <f t="shared" si="41"/>
        <v>女</v>
      </c>
      <c r="D547" s="9" t="str">
        <f>"蒙古族"</f>
        <v>蒙古族</v>
      </c>
      <c r="E547" s="9" t="str">
        <f>"20220011905"</f>
        <v>20220011905</v>
      </c>
      <c r="F547" s="9">
        <v>0</v>
      </c>
      <c r="G547" s="9">
        <v>2.5</v>
      </c>
      <c r="H547" s="9">
        <f t="shared" si="42"/>
        <v>2.5</v>
      </c>
    </row>
    <row r="548" spans="1:8" s="13" customFormat="1" ht="24.75" customHeight="1">
      <c r="A548" s="9">
        <v>546</v>
      </c>
      <c r="B548" s="9" t="str">
        <f>"李婧语"</f>
        <v>李婧语</v>
      </c>
      <c r="C548" s="9" t="str">
        <f t="shared" si="41"/>
        <v>女</v>
      </c>
      <c r="D548" s="9" t="str">
        <f aca="true" t="shared" si="44" ref="D548:D563">"汉族"</f>
        <v>汉族</v>
      </c>
      <c r="E548" s="9" t="str">
        <f>"20220011906"</f>
        <v>20220011906</v>
      </c>
      <c r="F548" s="9">
        <v>38</v>
      </c>
      <c r="G548" s="9"/>
      <c r="H548" s="9">
        <f t="shared" si="42"/>
        <v>38</v>
      </c>
    </row>
    <row r="549" spans="1:8" s="13" customFormat="1" ht="24.75" customHeight="1">
      <c r="A549" s="9">
        <v>547</v>
      </c>
      <c r="B549" s="9" t="str">
        <f>"屈欣宇"</f>
        <v>屈欣宇</v>
      </c>
      <c r="C549" s="9" t="str">
        <f t="shared" si="41"/>
        <v>女</v>
      </c>
      <c r="D549" s="9" t="str">
        <f t="shared" si="44"/>
        <v>汉族</v>
      </c>
      <c r="E549" s="9" t="str">
        <f>"20220011907"</f>
        <v>20220011907</v>
      </c>
      <c r="F549" s="9">
        <v>62</v>
      </c>
      <c r="G549" s="9"/>
      <c r="H549" s="9">
        <f t="shared" si="42"/>
        <v>62</v>
      </c>
    </row>
    <row r="550" spans="1:8" s="13" customFormat="1" ht="24.75" customHeight="1">
      <c r="A550" s="9">
        <v>548</v>
      </c>
      <c r="B550" s="9" t="str">
        <f>"刘甜密"</f>
        <v>刘甜密</v>
      </c>
      <c r="C550" s="9" t="str">
        <f t="shared" si="41"/>
        <v>女</v>
      </c>
      <c r="D550" s="9" t="str">
        <f t="shared" si="44"/>
        <v>汉族</v>
      </c>
      <c r="E550" s="9" t="str">
        <f>"20220011908"</f>
        <v>20220011908</v>
      </c>
      <c r="F550" s="9">
        <v>74</v>
      </c>
      <c r="G550" s="9"/>
      <c r="H550" s="9">
        <f t="shared" si="42"/>
        <v>74</v>
      </c>
    </row>
    <row r="551" spans="1:8" s="13" customFormat="1" ht="24.75" customHeight="1">
      <c r="A551" s="9">
        <v>549</v>
      </c>
      <c r="B551" s="9" t="str">
        <f>"黄殷泽"</f>
        <v>黄殷泽</v>
      </c>
      <c r="C551" s="9" t="str">
        <f t="shared" si="41"/>
        <v>女</v>
      </c>
      <c r="D551" s="9" t="str">
        <f t="shared" si="44"/>
        <v>汉族</v>
      </c>
      <c r="E551" s="9" t="str">
        <f>"20220011909"</f>
        <v>20220011909</v>
      </c>
      <c r="F551" s="9">
        <v>0</v>
      </c>
      <c r="G551" s="9"/>
      <c r="H551" s="9">
        <f t="shared" si="42"/>
        <v>0</v>
      </c>
    </row>
    <row r="552" spans="1:8" s="13" customFormat="1" ht="24.75" customHeight="1">
      <c r="A552" s="9">
        <v>550</v>
      </c>
      <c r="B552" s="9" t="str">
        <f>"云欣"</f>
        <v>云欣</v>
      </c>
      <c r="C552" s="9" t="str">
        <f t="shared" si="41"/>
        <v>女</v>
      </c>
      <c r="D552" s="9" t="str">
        <f t="shared" si="44"/>
        <v>汉族</v>
      </c>
      <c r="E552" s="9" t="str">
        <f>"20220011910"</f>
        <v>20220011910</v>
      </c>
      <c r="F552" s="9">
        <v>48</v>
      </c>
      <c r="G552" s="9"/>
      <c r="H552" s="9">
        <f t="shared" si="42"/>
        <v>48</v>
      </c>
    </row>
    <row r="553" spans="1:8" s="13" customFormat="1" ht="24.75" customHeight="1">
      <c r="A553" s="9">
        <v>551</v>
      </c>
      <c r="B553" s="9" t="str">
        <f>"李娜"</f>
        <v>李娜</v>
      </c>
      <c r="C553" s="9" t="str">
        <f t="shared" si="41"/>
        <v>女</v>
      </c>
      <c r="D553" s="9" t="str">
        <f t="shared" si="44"/>
        <v>汉族</v>
      </c>
      <c r="E553" s="9" t="str">
        <f>"20220011911"</f>
        <v>20220011911</v>
      </c>
      <c r="F553" s="9">
        <v>0</v>
      </c>
      <c r="G553" s="9"/>
      <c r="H553" s="9">
        <f t="shared" si="42"/>
        <v>0</v>
      </c>
    </row>
    <row r="554" spans="1:8" s="13" customFormat="1" ht="24.75" customHeight="1">
      <c r="A554" s="9">
        <v>552</v>
      </c>
      <c r="B554" s="9" t="str">
        <f>"郝锐敏"</f>
        <v>郝锐敏</v>
      </c>
      <c r="C554" s="9" t="str">
        <f t="shared" si="41"/>
        <v>女</v>
      </c>
      <c r="D554" s="9" t="str">
        <f t="shared" si="44"/>
        <v>汉族</v>
      </c>
      <c r="E554" s="9" t="str">
        <f>"20220011912"</f>
        <v>20220011912</v>
      </c>
      <c r="F554" s="9">
        <v>45</v>
      </c>
      <c r="G554" s="9"/>
      <c r="H554" s="9">
        <f t="shared" si="42"/>
        <v>45</v>
      </c>
    </row>
    <row r="555" spans="1:8" s="13" customFormat="1" ht="24.75" customHeight="1">
      <c r="A555" s="9">
        <v>553</v>
      </c>
      <c r="B555" s="9" t="str">
        <f>"云改弟"</f>
        <v>云改弟</v>
      </c>
      <c r="C555" s="9" t="str">
        <f t="shared" si="41"/>
        <v>女</v>
      </c>
      <c r="D555" s="9" t="str">
        <f t="shared" si="44"/>
        <v>汉族</v>
      </c>
      <c r="E555" s="9" t="str">
        <f>"20220011913"</f>
        <v>20220011913</v>
      </c>
      <c r="F555" s="9">
        <v>57</v>
      </c>
      <c r="G555" s="9"/>
      <c r="H555" s="9">
        <f t="shared" si="42"/>
        <v>57</v>
      </c>
    </row>
    <row r="556" spans="1:8" s="13" customFormat="1" ht="24.75" customHeight="1">
      <c r="A556" s="9">
        <v>554</v>
      </c>
      <c r="B556" s="9" t="str">
        <f>"吴玲玲"</f>
        <v>吴玲玲</v>
      </c>
      <c r="C556" s="9" t="str">
        <f t="shared" si="41"/>
        <v>女</v>
      </c>
      <c r="D556" s="9" t="str">
        <f t="shared" si="44"/>
        <v>汉族</v>
      </c>
      <c r="E556" s="9" t="str">
        <f>"20220011914"</f>
        <v>20220011914</v>
      </c>
      <c r="F556" s="9">
        <v>71</v>
      </c>
      <c r="G556" s="9"/>
      <c r="H556" s="9">
        <f t="shared" si="42"/>
        <v>71</v>
      </c>
    </row>
    <row r="557" spans="1:8" s="13" customFormat="1" ht="24.75" customHeight="1">
      <c r="A557" s="9">
        <v>555</v>
      </c>
      <c r="B557" s="9" t="str">
        <f>"乔慧"</f>
        <v>乔慧</v>
      </c>
      <c r="C557" s="9" t="str">
        <f t="shared" si="41"/>
        <v>女</v>
      </c>
      <c r="D557" s="9" t="str">
        <f t="shared" si="44"/>
        <v>汉族</v>
      </c>
      <c r="E557" s="9" t="str">
        <f>"20220011915"</f>
        <v>20220011915</v>
      </c>
      <c r="F557" s="9">
        <v>40</v>
      </c>
      <c r="G557" s="9"/>
      <c r="H557" s="9">
        <f t="shared" si="42"/>
        <v>40</v>
      </c>
    </row>
    <row r="558" spans="1:8" s="13" customFormat="1" ht="24.75" customHeight="1">
      <c r="A558" s="9">
        <v>556</v>
      </c>
      <c r="B558" s="9" t="str">
        <f>"李婷"</f>
        <v>李婷</v>
      </c>
      <c r="C558" s="9" t="str">
        <f t="shared" si="41"/>
        <v>女</v>
      </c>
      <c r="D558" s="9" t="str">
        <f t="shared" si="44"/>
        <v>汉族</v>
      </c>
      <c r="E558" s="9" t="str">
        <f>"20220011916"</f>
        <v>20220011916</v>
      </c>
      <c r="F558" s="9">
        <v>26</v>
      </c>
      <c r="G558" s="9"/>
      <c r="H558" s="9">
        <f t="shared" si="42"/>
        <v>26</v>
      </c>
    </row>
    <row r="559" spans="1:8" s="13" customFormat="1" ht="24.75" customHeight="1">
      <c r="A559" s="9">
        <v>557</v>
      </c>
      <c r="B559" s="9" t="str">
        <f>"程鸶媛"</f>
        <v>程鸶媛</v>
      </c>
      <c r="C559" s="9" t="str">
        <f t="shared" si="41"/>
        <v>女</v>
      </c>
      <c r="D559" s="9" t="str">
        <f t="shared" si="44"/>
        <v>汉族</v>
      </c>
      <c r="E559" s="9" t="str">
        <f>"20220011917"</f>
        <v>20220011917</v>
      </c>
      <c r="F559" s="9">
        <v>68</v>
      </c>
      <c r="G559" s="9"/>
      <c r="H559" s="9">
        <f t="shared" si="42"/>
        <v>68</v>
      </c>
    </row>
    <row r="560" spans="1:8" s="13" customFormat="1" ht="24.75" customHeight="1">
      <c r="A560" s="9">
        <v>558</v>
      </c>
      <c r="B560" s="9" t="str">
        <f>"贾小慧"</f>
        <v>贾小慧</v>
      </c>
      <c r="C560" s="9" t="str">
        <f t="shared" si="41"/>
        <v>女</v>
      </c>
      <c r="D560" s="9" t="str">
        <f t="shared" si="44"/>
        <v>汉族</v>
      </c>
      <c r="E560" s="9" t="str">
        <f>"20220011918"</f>
        <v>20220011918</v>
      </c>
      <c r="F560" s="9">
        <v>48</v>
      </c>
      <c r="G560" s="9"/>
      <c r="H560" s="9">
        <f t="shared" si="42"/>
        <v>48</v>
      </c>
    </row>
    <row r="561" spans="1:8" s="13" customFormat="1" ht="24.75" customHeight="1">
      <c r="A561" s="9">
        <v>559</v>
      </c>
      <c r="B561" s="9" t="str">
        <f>"姚慧"</f>
        <v>姚慧</v>
      </c>
      <c r="C561" s="9" t="str">
        <f t="shared" si="41"/>
        <v>女</v>
      </c>
      <c r="D561" s="9" t="str">
        <f t="shared" si="44"/>
        <v>汉族</v>
      </c>
      <c r="E561" s="9" t="str">
        <f>"20220011919"</f>
        <v>20220011919</v>
      </c>
      <c r="F561" s="9">
        <v>31</v>
      </c>
      <c r="G561" s="9"/>
      <c r="H561" s="9">
        <f t="shared" si="42"/>
        <v>31</v>
      </c>
    </row>
    <row r="562" spans="1:8" s="13" customFormat="1" ht="24.75" customHeight="1">
      <c r="A562" s="9">
        <v>560</v>
      </c>
      <c r="B562" s="9" t="str">
        <f>"康荣"</f>
        <v>康荣</v>
      </c>
      <c r="C562" s="9" t="str">
        <f t="shared" si="41"/>
        <v>女</v>
      </c>
      <c r="D562" s="9" t="str">
        <f t="shared" si="44"/>
        <v>汉族</v>
      </c>
      <c r="E562" s="9" t="str">
        <f>"20220011920"</f>
        <v>20220011920</v>
      </c>
      <c r="F562" s="9">
        <v>0</v>
      </c>
      <c r="G562" s="9"/>
      <c r="H562" s="9">
        <f t="shared" si="42"/>
        <v>0</v>
      </c>
    </row>
    <row r="563" spans="1:8" s="13" customFormat="1" ht="24.75" customHeight="1">
      <c r="A563" s="9">
        <v>561</v>
      </c>
      <c r="B563" s="9" t="str">
        <f>"胡欣"</f>
        <v>胡欣</v>
      </c>
      <c r="C563" s="9" t="str">
        <f t="shared" si="41"/>
        <v>女</v>
      </c>
      <c r="D563" s="9" t="str">
        <f t="shared" si="44"/>
        <v>汉族</v>
      </c>
      <c r="E563" s="9" t="str">
        <f>"20220011921"</f>
        <v>20220011921</v>
      </c>
      <c r="F563" s="9">
        <v>45</v>
      </c>
      <c r="G563" s="9"/>
      <c r="H563" s="9">
        <f t="shared" si="42"/>
        <v>45</v>
      </c>
    </row>
    <row r="564" spans="1:8" s="13" customFormat="1" ht="24.75" customHeight="1">
      <c r="A564" s="9">
        <v>562</v>
      </c>
      <c r="B564" s="9" t="str">
        <f>"金孟"</f>
        <v>金孟</v>
      </c>
      <c r="C564" s="9" t="str">
        <f t="shared" si="41"/>
        <v>女</v>
      </c>
      <c r="D564" s="9" t="str">
        <f>"蒙古族"</f>
        <v>蒙古族</v>
      </c>
      <c r="E564" s="9" t="str">
        <f>"20220011922"</f>
        <v>20220011922</v>
      </c>
      <c r="F564" s="9">
        <v>36</v>
      </c>
      <c r="G564" s="9">
        <v>2.5</v>
      </c>
      <c r="H564" s="9">
        <f t="shared" si="42"/>
        <v>38.5</v>
      </c>
    </row>
    <row r="565" spans="1:8" s="13" customFormat="1" ht="24.75" customHeight="1">
      <c r="A565" s="9">
        <v>563</v>
      </c>
      <c r="B565" s="9" t="str">
        <f>"王秀琳"</f>
        <v>王秀琳</v>
      </c>
      <c r="C565" s="9" t="str">
        <f t="shared" si="41"/>
        <v>女</v>
      </c>
      <c r="D565" s="9" t="str">
        <f>"汉族"</f>
        <v>汉族</v>
      </c>
      <c r="E565" s="9" t="str">
        <f>"20220011923"</f>
        <v>20220011923</v>
      </c>
      <c r="F565" s="9">
        <v>44</v>
      </c>
      <c r="G565" s="9"/>
      <c r="H565" s="9">
        <f t="shared" si="42"/>
        <v>44</v>
      </c>
    </row>
    <row r="566" spans="1:8" s="13" customFormat="1" ht="24.75" customHeight="1">
      <c r="A566" s="9">
        <v>564</v>
      </c>
      <c r="B566" s="9" t="str">
        <f>"吕贇珂"</f>
        <v>吕贇珂</v>
      </c>
      <c r="C566" s="9" t="str">
        <f t="shared" si="41"/>
        <v>女</v>
      </c>
      <c r="D566" s="9" t="str">
        <f>"汉族"</f>
        <v>汉族</v>
      </c>
      <c r="E566" s="9" t="str">
        <f>"20220011924"</f>
        <v>20220011924</v>
      </c>
      <c r="F566" s="9">
        <v>69</v>
      </c>
      <c r="G566" s="9"/>
      <c r="H566" s="9">
        <f t="shared" si="42"/>
        <v>69</v>
      </c>
    </row>
    <row r="567" spans="1:8" s="13" customFormat="1" ht="24.75" customHeight="1">
      <c r="A567" s="9">
        <v>565</v>
      </c>
      <c r="B567" s="9" t="str">
        <f>"张春雨"</f>
        <v>张春雨</v>
      </c>
      <c r="C567" s="9" t="str">
        <f t="shared" si="41"/>
        <v>女</v>
      </c>
      <c r="D567" s="9" t="str">
        <f>"汉族"</f>
        <v>汉族</v>
      </c>
      <c r="E567" s="9" t="str">
        <f>"20220011925"</f>
        <v>20220011925</v>
      </c>
      <c r="F567" s="9">
        <v>37</v>
      </c>
      <c r="G567" s="9"/>
      <c r="H567" s="9">
        <f t="shared" si="42"/>
        <v>37</v>
      </c>
    </row>
    <row r="568" spans="1:8" s="13" customFormat="1" ht="24.75" customHeight="1">
      <c r="A568" s="9">
        <v>566</v>
      </c>
      <c r="B568" s="9" t="str">
        <f>"张玉荣"</f>
        <v>张玉荣</v>
      </c>
      <c r="C568" s="9" t="str">
        <f t="shared" si="41"/>
        <v>女</v>
      </c>
      <c r="D568" s="9" t="str">
        <f>"蒙古族"</f>
        <v>蒙古族</v>
      </c>
      <c r="E568" s="9" t="str">
        <f>"20220011926"</f>
        <v>20220011926</v>
      </c>
      <c r="F568" s="9">
        <v>41</v>
      </c>
      <c r="G568" s="9">
        <v>2.5</v>
      </c>
      <c r="H568" s="9">
        <f t="shared" si="42"/>
        <v>43.5</v>
      </c>
    </row>
    <row r="569" spans="1:8" s="13" customFormat="1" ht="24.75" customHeight="1">
      <c r="A569" s="9">
        <v>567</v>
      </c>
      <c r="B569" s="9" t="str">
        <f>"路娇"</f>
        <v>路娇</v>
      </c>
      <c r="C569" s="9" t="str">
        <f t="shared" si="41"/>
        <v>女</v>
      </c>
      <c r="D569" s="9" t="str">
        <f aca="true" t="shared" si="45" ref="D569:D580">"汉族"</f>
        <v>汉族</v>
      </c>
      <c r="E569" s="9" t="str">
        <f>"20220011927"</f>
        <v>20220011927</v>
      </c>
      <c r="F569" s="9">
        <v>67</v>
      </c>
      <c r="G569" s="9"/>
      <c r="H569" s="9">
        <f t="shared" si="42"/>
        <v>67</v>
      </c>
    </row>
    <row r="570" spans="1:8" s="13" customFormat="1" ht="24.75" customHeight="1">
      <c r="A570" s="9">
        <v>568</v>
      </c>
      <c r="B570" s="9" t="str">
        <f>"王璇"</f>
        <v>王璇</v>
      </c>
      <c r="C570" s="9" t="str">
        <f t="shared" si="41"/>
        <v>女</v>
      </c>
      <c r="D570" s="9" t="str">
        <f t="shared" si="45"/>
        <v>汉族</v>
      </c>
      <c r="E570" s="9" t="str">
        <f>"20220011928"</f>
        <v>20220011928</v>
      </c>
      <c r="F570" s="9">
        <v>0</v>
      </c>
      <c r="G570" s="9"/>
      <c r="H570" s="9">
        <f t="shared" si="42"/>
        <v>0</v>
      </c>
    </row>
    <row r="571" spans="1:8" s="13" customFormat="1" ht="24.75" customHeight="1">
      <c r="A571" s="9">
        <v>569</v>
      </c>
      <c r="B571" s="9" t="str">
        <f>"张铭洁"</f>
        <v>张铭洁</v>
      </c>
      <c r="C571" s="9" t="str">
        <f t="shared" si="41"/>
        <v>女</v>
      </c>
      <c r="D571" s="9" t="str">
        <f t="shared" si="45"/>
        <v>汉族</v>
      </c>
      <c r="E571" s="9" t="str">
        <f>"20220011929"</f>
        <v>20220011929</v>
      </c>
      <c r="F571" s="9">
        <v>44</v>
      </c>
      <c r="G571" s="9"/>
      <c r="H571" s="9">
        <f t="shared" si="42"/>
        <v>44</v>
      </c>
    </row>
    <row r="572" spans="1:8" s="13" customFormat="1" ht="24.75" customHeight="1">
      <c r="A572" s="9">
        <v>570</v>
      </c>
      <c r="B572" s="9" t="str">
        <f>"赵雅楠"</f>
        <v>赵雅楠</v>
      </c>
      <c r="C572" s="9" t="str">
        <f t="shared" si="41"/>
        <v>女</v>
      </c>
      <c r="D572" s="9" t="str">
        <f t="shared" si="45"/>
        <v>汉族</v>
      </c>
      <c r="E572" s="9" t="str">
        <f>"20220011930"</f>
        <v>20220011930</v>
      </c>
      <c r="F572" s="9">
        <v>42</v>
      </c>
      <c r="G572" s="9"/>
      <c r="H572" s="9">
        <f t="shared" si="42"/>
        <v>42</v>
      </c>
    </row>
    <row r="573" spans="1:8" s="13" customFormat="1" ht="24.75" customHeight="1">
      <c r="A573" s="9">
        <v>571</v>
      </c>
      <c r="B573" s="9" t="str">
        <f>"李娜"</f>
        <v>李娜</v>
      </c>
      <c r="C573" s="9" t="str">
        <f t="shared" si="41"/>
        <v>女</v>
      </c>
      <c r="D573" s="9" t="str">
        <f t="shared" si="45"/>
        <v>汉族</v>
      </c>
      <c r="E573" s="9" t="str">
        <f>"20220012001"</f>
        <v>20220012001</v>
      </c>
      <c r="F573" s="9">
        <v>0</v>
      </c>
      <c r="G573" s="9"/>
      <c r="H573" s="9">
        <f t="shared" si="42"/>
        <v>0</v>
      </c>
    </row>
    <row r="574" spans="1:8" s="13" customFormat="1" ht="24.75" customHeight="1">
      <c r="A574" s="9">
        <v>572</v>
      </c>
      <c r="B574" s="9" t="str">
        <f>"任艳芬"</f>
        <v>任艳芬</v>
      </c>
      <c r="C574" s="9" t="str">
        <f t="shared" si="41"/>
        <v>女</v>
      </c>
      <c r="D574" s="9" t="str">
        <f t="shared" si="45"/>
        <v>汉族</v>
      </c>
      <c r="E574" s="9" t="str">
        <f>"20220012002"</f>
        <v>20220012002</v>
      </c>
      <c r="F574" s="9">
        <v>54</v>
      </c>
      <c r="G574" s="9"/>
      <c r="H574" s="9">
        <f t="shared" si="42"/>
        <v>54</v>
      </c>
    </row>
    <row r="575" spans="1:8" s="13" customFormat="1" ht="24.75" customHeight="1">
      <c r="A575" s="9">
        <v>573</v>
      </c>
      <c r="B575" s="9" t="str">
        <f>"张会佳"</f>
        <v>张会佳</v>
      </c>
      <c r="C575" s="9" t="str">
        <f t="shared" si="41"/>
        <v>女</v>
      </c>
      <c r="D575" s="9" t="str">
        <f t="shared" si="45"/>
        <v>汉族</v>
      </c>
      <c r="E575" s="9" t="str">
        <f>"20220012003"</f>
        <v>20220012003</v>
      </c>
      <c r="F575" s="9">
        <v>49</v>
      </c>
      <c r="G575" s="9"/>
      <c r="H575" s="9">
        <f t="shared" si="42"/>
        <v>49</v>
      </c>
    </row>
    <row r="576" spans="1:8" s="13" customFormat="1" ht="24.75" customHeight="1">
      <c r="A576" s="9">
        <v>574</v>
      </c>
      <c r="B576" s="9" t="str">
        <f>"邱佳慧"</f>
        <v>邱佳慧</v>
      </c>
      <c r="C576" s="9" t="str">
        <f t="shared" si="41"/>
        <v>女</v>
      </c>
      <c r="D576" s="9" t="str">
        <f t="shared" si="45"/>
        <v>汉族</v>
      </c>
      <c r="E576" s="9" t="str">
        <f>"20220012004"</f>
        <v>20220012004</v>
      </c>
      <c r="F576" s="9">
        <v>46</v>
      </c>
      <c r="G576" s="9"/>
      <c r="H576" s="9">
        <f t="shared" si="42"/>
        <v>46</v>
      </c>
    </row>
    <row r="577" spans="1:8" s="13" customFormat="1" ht="24.75" customHeight="1">
      <c r="A577" s="9">
        <v>575</v>
      </c>
      <c r="B577" s="9" t="str">
        <f>"宋宁"</f>
        <v>宋宁</v>
      </c>
      <c r="C577" s="9" t="str">
        <f t="shared" si="41"/>
        <v>女</v>
      </c>
      <c r="D577" s="9" t="str">
        <f t="shared" si="45"/>
        <v>汉族</v>
      </c>
      <c r="E577" s="9" t="str">
        <f>"20220012005"</f>
        <v>20220012005</v>
      </c>
      <c r="F577" s="9">
        <v>78</v>
      </c>
      <c r="G577" s="9"/>
      <c r="H577" s="9">
        <f t="shared" si="42"/>
        <v>78</v>
      </c>
    </row>
    <row r="578" spans="1:8" s="13" customFormat="1" ht="24.75" customHeight="1">
      <c r="A578" s="9">
        <v>576</v>
      </c>
      <c r="B578" s="9" t="str">
        <f>"高碧晗"</f>
        <v>高碧晗</v>
      </c>
      <c r="C578" s="9" t="str">
        <f t="shared" si="41"/>
        <v>女</v>
      </c>
      <c r="D578" s="9" t="str">
        <f t="shared" si="45"/>
        <v>汉族</v>
      </c>
      <c r="E578" s="9" t="str">
        <f>"20220012006"</f>
        <v>20220012006</v>
      </c>
      <c r="F578" s="9">
        <v>56</v>
      </c>
      <c r="G578" s="9"/>
      <c r="H578" s="9">
        <f t="shared" si="42"/>
        <v>56</v>
      </c>
    </row>
    <row r="579" spans="1:8" s="13" customFormat="1" ht="24.75" customHeight="1">
      <c r="A579" s="9">
        <v>577</v>
      </c>
      <c r="B579" s="9" t="str">
        <f>"秦嘉慧"</f>
        <v>秦嘉慧</v>
      </c>
      <c r="C579" s="9" t="str">
        <f aca="true" t="shared" si="46" ref="C579:C642">"女"</f>
        <v>女</v>
      </c>
      <c r="D579" s="9" t="str">
        <f t="shared" si="45"/>
        <v>汉族</v>
      </c>
      <c r="E579" s="9" t="str">
        <f>"20220012007"</f>
        <v>20220012007</v>
      </c>
      <c r="F579" s="9">
        <v>0</v>
      </c>
      <c r="G579" s="9"/>
      <c r="H579" s="9">
        <f aca="true" t="shared" si="47" ref="H579:H642">F579+G579</f>
        <v>0</v>
      </c>
    </row>
    <row r="580" spans="1:8" s="13" customFormat="1" ht="24.75" customHeight="1">
      <c r="A580" s="9">
        <v>578</v>
      </c>
      <c r="B580" s="9" t="str">
        <f>"刘億阳"</f>
        <v>刘億阳</v>
      </c>
      <c r="C580" s="9" t="str">
        <f t="shared" si="46"/>
        <v>女</v>
      </c>
      <c r="D580" s="9" t="str">
        <f t="shared" si="45"/>
        <v>汉族</v>
      </c>
      <c r="E580" s="9" t="str">
        <f>"20220012008"</f>
        <v>20220012008</v>
      </c>
      <c r="F580" s="9">
        <v>0</v>
      </c>
      <c r="G580" s="9"/>
      <c r="H580" s="9">
        <f t="shared" si="47"/>
        <v>0</v>
      </c>
    </row>
    <row r="581" spans="1:8" s="13" customFormat="1" ht="24.75" customHeight="1">
      <c r="A581" s="9">
        <v>579</v>
      </c>
      <c r="B581" s="9" t="str">
        <f>"刘洪钺"</f>
        <v>刘洪钺</v>
      </c>
      <c r="C581" s="9" t="str">
        <f t="shared" si="46"/>
        <v>女</v>
      </c>
      <c r="D581" s="9" t="str">
        <f>"蒙古族"</f>
        <v>蒙古族</v>
      </c>
      <c r="E581" s="9" t="str">
        <f>"20220012009"</f>
        <v>20220012009</v>
      </c>
      <c r="F581" s="9">
        <v>46</v>
      </c>
      <c r="G581" s="9">
        <v>2.5</v>
      </c>
      <c r="H581" s="9">
        <f t="shared" si="47"/>
        <v>48.5</v>
      </c>
    </row>
    <row r="582" spans="1:8" s="13" customFormat="1" ht="24.75" customHeight="1">
      <c r="A582" s="9">
        <v>580</v>
      </c>
      <c r="B582" s="9" t="str">
        <f>"张雅妮"</f>
        <v>张雅妮</v>
      </c>
      <c r="C582" s="9" t="str">
        <f t="shared" si="46"/>
        <v>女</v>
      </c>
      <c r="D582" s="9" t="str">
        <f aca="true" t="shared" si="48" ref="D582:D591">"汉族"</f>
        <v>汉族</v>
      </c>
      <c r="E582" s="9" t="str">
        <f>"20220012010"</f>
        <v>20220012010</v>
      </c>
      <c r="F582" s="9">
        <v>0</v>
      </c>
      <c r="G582" s="9"/>
      <c r="H582" s="9">
        <f t="shared" si="47"/>
        <v>0</v>
      </c>
    </row>
    <row r="583" spans="1:8" s="13" customFormat="1" ht="24.75" customHeight="1">
      <c r="A583" s="9">
        <v>581</v>
      </c>
      <c r="B583" s="9" t="str">
        <f>"党茹"</f>
        <v>党茹</v>
      </c>
      <c r="C583" s="9" t="str">
        <f t="shared" si="46"/>
        <v>女</v>
      </c>
      <c r="D583" s="9" t="str">
        <f t="shared" si="48"/>
        <v>汉族</v>
      </c>
      <c r="E583" s="9" t="str">
        <f>"20220012011"</f>
        <v>20220012011</v>
      </c>
      <c r="F583" s="9">
        <v>52</v>
      </c>
      <c r="G583" s="9"/>
      <c r="H583" s="9">
        <f t="shared" si="47"/>
        <v>52</v>
      </c>
    </row>
    <row r="584" spans="1:8" s="13" customFormat="1" ht="24.75" customHeight="1">
      <c r="A584" s="9">
        <v>582</v>
      </c>
      <c r="B584" s="9" t="str">
        <f>"岳鑫"</f>
        <v>岳鑫</v>
      </c>
      <c r="C584" s="9" t="str">
        <f t="shared" si="46"/>
        <v>女</v>
      </c>
      <c r="D584" s="9" t="str">
        <f t="shared" si="48"/>
        <v>汉族</v>
      </c>
      <c r="E584" s="9" t="str">
        <f>"20220012012"</f>
        <v>20220012012</v>
      </c>
      <c r="F584" s="9">
        <v>0</v>
      </c>
      <c r="G584" s="9"/>
      <c r="H584" s="9">
        <f t="shared" si="47"/>
        <v>0</v>
      </c>
    </row>
    <row r="585" spans="1:8" s="13" customFormat="1" ht="24.75" customHeight="1">
      <c r="A585" s="9">
        <v>583</v>
      </c>
      <c r="B585" s="9" t="str">
        <f>"李璐璐"</f>
        <v>李璐璐</v>
      </c>
      <c r="C585" s="9" t="str">
        <f t="shared" si="46"/>
        <v>女</v>
      </c>
      <c r="D585" s="9" t="str">
        <f t="shared" si="48"/>
        <v>汉族</v>
      </c>
      <c r="E585" s="9" t="str">
        <f>"20220012013"</f>
        <v>20220012013</v>
      </c>
      <c r="F585" s="9">
        <v>46</v>
      </c>
      <c r="G585" s="9"/>
      <c r="H585" s="9">
        <f t="shared" si="47"/>
        <v>46</v>
      </c>
    </row>
    <row r="586" spans="1:8" s="13" customFormat="1" ht="24.75" customHeight="1">
      <c r="A586" s="9">
        <v>584</v>
      </c>
      <c r="B586" s="9" t="str">
        <f>"王硕晗"</f>
        <v>王硕晗</v>
      </c>
      <c r="C586" s="9" t="str">
        <f t="shared" si="46"/>
        <v>女</v>
      </c>
      <c r="D586" s="9" t="str">
        <f t="shared" si="48"/>
        <v>汉族</v>
      </c>
      <c r="E586" s="9" t="str">
        <f>"20220012014"</f>
        <v>20220012014</v>
      </c>
      <c r="F586" s="9">
        <v>36</v>
      </c>
      <c r="G586" s="9"/>
      <c r="H586" s="9">
        <f t="shared" si="47"/>
        <v>36</v>
      </c>
    </row>
    <row r="587" spans="1:8" s="13" customFormat="1" ht="24.75" customHeight="1">
      <c r="A587" s="9">
        <v>585</v>
      </c>
      <c r="B587" s="9" t="str">
        <f>"鲁媛"</f>
        <v>鲁媛</v>
      </c>
      <c r="C587" s="9" t="str">
        <f t="shared" si="46"/>
        <v>女</v>
      </c>
      <c r="D587" s="9" t="str">
        <f t="shared" si="48"/>
        <v>汉族</v>
      </c>
      <c r="E587" s="9" t="str">
        <f>"20220012015"</f>
        <v>20220012015</v>
      </c>
      <c r="F587" s="9">
        <v>0</v>
      </c>
      <c r="G587" s="9"/>
      <c r="H587" s="9">
        <f t="shared" si="47"/>
        <v>0</v>
      </c>
    </row>
    <row r="588" spans="1:8" s="13" customFormat="1" ht="24.75" customHeight="1">
      <c r="A588" s="9">
        <v>586</v>
      </c>
      <c r="B588" s="9" t="str">
        <f>"闫浩芳"</f>
        <v>闫浩芳</v>
      </c>
      <c r="C588" s="9" t="str">
        <f t="shared" si="46"/>
        <v>女</v>
      </c>
      <c r="D588" s="9" t="str">
        <f t="shared" si="48"/>
        <v>汉族</v>
      </c>
      <c r="E588" s="9" t="str">
        <f>"20220012016"</f>
        <v>20220012016</v>
      </c>
      <c r="F588" s="9">
        <v>44</v>
      </c>
      <c r="G588" s="9"/>
      <c r="H588" s="9">
        <f t="shared" si="47"/>
        <v>44</v>
      </c>
    </row>
    <row r="589" spans="1:8" s="13" customFormat="1" ht="24.75" customHeight="1">
      <c r="A589" s="9">
        <v>587</v>
      </c>
      <c r="B589" s="9" t="str">
        <f>"郝书妍"</f>
        <v>郝书妍</v>
      </c>
      <c r="C589" s="9" t="str">
        <f t="shared" si="46"/>
        <v>女</v>
      </c>
      <c r="D589" s="9" t="str">
        <f t="shared" si="48"/>
        <v>汉族</v>
      </c>
      <c r="E589" s="9" t="str">
        <f>"20220012017"</f>
        <v>20220012017</v>
      </c>
      <c r="F589" s="9">
        <v>69</v>
      </c>
      <c r="G589" s="9"/>
      <c r="H589" s="9">
        <f t="shared" si="47"/>
        <v>69</v>
      </c>
    </row>
    <row r="590" spans="1:8" s="13" customFormat="1" ht="24.75" customHeight="1">
      <c r="A590" s="9">
        <v>588</v>
      </c>
      <c r="B590" s="9" t="str">
        <f>"樊婷"</f>
        <v>樊婷</v>
      </c>
      <c r="C590" s="9" t="str">
        <f t="shared" si="46"/>
        <v>女</v>
      </c>
      <c r="D590" s="9" t="str">
        <f t="shared" si="48"/>
        <v>汉族</v>
      </c>
      <c r="E590" s="9" t="str">
        <f>"20220012018"</f>
        <v>20220012018</v>
      </c>
      <c r="F590" s="9">
        <v>47</v>
      </c>
      <c r="G590" s="9"/>
      <c r="H590" s="9">
        <f t="shared" si="47"/>
        <v>47</v>
      </c>
    </row>
    <row r="591" spans="1:8" s="13" customFormat="1" ht="24.75" customHeight="1">
      <c r="A591" s="9">
        <v>589</v>
      </c>
      <c r="B591" s="9" t="str">
        <f>"乔帆抒"</f>
        <v>乔帆抒</v>
      </c>
      <c r="C591" s="9" t="str">
        <f t="shared" si="46"/>
        <v>女</v>
      </c>
      <c r="D591" s="9" t="str">
        <f t="shared" si="48"/>
        <v>汉族</v>
      </c>
      <c r="E591" s="9" t="str">
        <f>"20220012019"</f>
        <v>20220012019</v>
      </c>
      <c r="F591" s="9">
        <v>60</v>
      </c>
      <c r="G591" s="9"/>
      <c r="H591" s="9">
        <f t="shared" si="47"/>
        <v>60</v>
      </c>
    </row>
    <row r="592" spans="1:8" s="13" customFormat="1" ht="24.75" customHeight="1">
      <c r="A592" s="9">
        <v>590</v>
      </c>
      <c r="B592" s="9" t="str">
        <f>"赵娜珺"</f>
        <v>赵娜珺</v>
      </c>
      <c r="C592" s="9" t="str">
        <f t="shared" si="46"/>
        <v>女</v>
      </c>
      <c r="D592" s="9" t="str">
        <f>"蒙古族"</f>
        <v>蒙古族</v>
      </c>
      <c r="E592" s="9" t="str">
        <f>"20220012020"</f>
        <v>20220012020</v>
      </c>
      <c r="F592" s="9">
        <v>51</v>
      </c>
      <c r="G592" s="9">
        <v>2.5</v>
      </c>
      <c r="H592" s="9">
        <f t="shared" si="47"/>
        <v>53.5</v>
      </c>
    </row>
    <row r="593" spans="1:8" s="13" customFormat="1" ht="24.75" customHeight="1">
      <c r="A593" s="9">
        <v>591</v>
      </c>
      <c r="B593" s="9" t="str">
        <f>"崔甜"</f>
        <v>崔甜</v>
      </c>
      <c r="C593" s="9" t="str">
        <f t="shared" si="46"/>
        <v>女</v>
      </c>
      <c r="D593" s="9" t="str">
        <f>"汉族"</f>
        <v>汉族</v>
      </c>
      <c r="E593" s="9" t="str">
        <f>"20220012021"</f>
        <v>20220012021</v>
      </c>
      <c r="F593" s="9">
        <v>41</v>
      </c>
      <c r="G593" s="9"/>
      <c r="H593" s="9">
        <f t="shared" si="47"/>
        <v>41</v>
      </c>
    </row>
    <row r="594" spans="1:8" s="13" customFormat="1" ht="24.75" customHeight="1">
      <c r="A594" s="9">
        <v>592</v>
      </c>
      <c r="B594" s="9" t="str">
        <f>"刘晓哲"</f>
        <v>刘晓哲</v>
      </c>
      <c r="C594" s="9" t="str">
        <f t="shared" si="46"/>
        <v>女</v>
      </c>
      <c r="D594" s="9" t="str">
        <f>"汉族"</f>
        <v>汉族</v>
      </c>
      <c r="E594" s="9" t="str">
        <f>"20220012022"</f>
        <v>20220012022</v>
      </c>
      <c r="F594" s="9">
        <v>62</v>
      </c>
      <c r="G594" s="9"/>
      <c r="H594" s="9">
        <f t="shared" si="47"/>
        <v>62</v>
      </c>
    </row>
    <row r="595" spans="1:8" s="13" customFormat="1" ht="24.75" customHeight="1">
      <c r="A595" s="9">
        <v>593</v>
      </c>
      <c r="B595" s="9" t="str">
        <f>"王忻"</f>
        <v>王忻</v>
      </c>
      <c r="C595" s="9" t="str">
        <f t="shared" si="46"/>
        <v>女</v>
      </c>
      <c r="D595" s="9" t="str">
        <f>"汉族"</f>
        <v>汉族</v>
      </c>
      <c r="E595" s="9" t="str">
        <f>"20220012023"</f>
        <v>20220012023</v>
      </c>
      <c r="F595" s="9">
        <v>39</v>
      </c>
      <c r="G595" s="9"/>
      <c r="H595" s="9">
        <f t="shared" si="47"/>
        <v>39</v>
      </c>
    </row>
    <row r="596" spans="1:8" s="13" customFormat="1" ht="24.75" customHeight="1">
      <c r="A596" s="9">
        <v>594</v>
      </c>
      <c r="B596" s="9" t="str">
        <f>"张娜娜"</f>
        <v>张娜娜</v>
      </c>
      <c r="C596" s="9" t="str">
        <f t="shared" si="46"/>
        <v>女</v>
      </c>
      <c r="D596" s="9" t="str">
        <f>"汉族"</f>
        <v>汉族</v>
      </c>
      <c r="E596" s="9" t="str">
        <f>"20220012024"</f>
        <v>20220012024</v>
      </c>
      <c r="F596" s="9">
        <v>33</v>
      </c>
      <c r="G596" s="9"/>
      <c r="H596" s="9">
        <f t="shared" si="47"/>
        <v>33</v>
      </c>
    </row>
    <row r="597" spans="1:8" s="13" customFormat="1" ht="24.75" customHeight="1">
      <c r="A597" s="9">
        <v>595</v>
      </c>
      <c r="B597" s="9" t="str">
        <f>"李聪怡"</f>
        <v>李聪怡</v>
      </c>
      <c r="C597" s="9" t="str">
        <f t="shared" si="46"/>
        <v>女</v>
      </c>
      <c r="D597" s="9" t="str">
        <f>"汉族"</f>
        <v>汉族</v>
      </c>
      <c r="E597" s="9" t="str">
        <f>"20220012025"</f>
        <v>20220012025</v>
      </c>
      <c r="F597" s="9">
        <v>0</v>
      </c>
      <c r="G597" s="9"/>
      <c r="H597" s="9">
        <f t="shared" si="47"/>
        <v>0</v>
      </c>
    </row>
    <row r="598" spans="1:8" s="13" customFormat="1" ht="24.75" customHeight="1">
      <c r="A598" s="9">
        <v>596</v>
      </c>
      <c r="B598" s="9" t="str">
        <f>"赵丹丹"</f>
        <v>赵丹丹</v>
      </c>
      <c r="C598" s="9" t="str">
        <f t="shared" si="46"/>
        <v>女</v>
      </c>
      <c r="D598" s="9" t="str">
        <f>"蒙古族"</f>
        <v>蒙古族</v>
      </c>
      <c r="E598" s="9" t="str">
        <f>"20220012026"</f>
        <v>20220012026</v>
      </c>
      <c r="F598" s="9">
        <v>0</v>
      </c>
      <c r="G598" s="9">
        <v>2.5</v>
      </c>
      <c r="H598" s="9">
        <f t="shared" si="47"/>
        <v>2.5</v>
      </c>
    </row>
    <row r="599" spans="1:8" s="13" customFormat="1" ht="24.75" customHeight="1">
      <c r="A599" s="9">
        <v>597</v>
      </c>
      <c r="B599" s="9" t="str">
        <f>"郭亚星"</f>
        <v>郭亚星</v>
      </c>
      <c r="C599" s="9" t="str">
        <f t="shared" si="46"/>
        <v>女</v>
      </c>
      <c r="D599" s="9" t="str">
        <f aca="true" t="shared" si="49" ref="D599:D606">"汉族"</f>
        <v>汉族</v>
      </c>
      <c r="E599" s="9" t="str">
        <f>"20220012027"</f>
        <v>20220012027</v>
      </c>
      <c r="F599" s="9">
        <v>40</v>
      </c>
      <c r="G599" s="9"/>
      <c r="H599" s="9">
        <f t="shared" si="47"/>
        <v>40</v>
      </c>
    </row>
    <row r="600" spans="1:8" s="13" customFormat="1" ht="24.75" customHeight="1">
      <c r="A600" s="9">
        <v>598</v>
      </c>
      <c r="B600" s="9" t="str">
        <f>"全文立"</f>
        <v>全文立</v>
      </c>
      <c r="C600" s="9" t="str">
        <f t="shared" si="46"/>
        <v>女</v>
      </c>
      <c r="D600" s="9" t="str">
        <f t="shared" si="49"/>
        <v>汉族</v>
      </c>
      <c r="E600" s="9" t="str">
        <f>"20220012028"</f>
        <v>20220012028</v>
      </c>
      <c r="F600" s="9">
        <v>0</v>
      </c>
      <c r="G600" s="9"/>
      <c r="H600" s="9">
        <f t="shared" si="47"/>
        <v>0</v>
      </c>
    </row>
    <row r="601" spans="1:8" s="13" customFormat="1" ht="24.75" customHeight="1">
      <c r="A601" s="9">
        <v>599</v>
      </c>
      <c r="B601" s="9" t="str">
        <f>"许靖薇"</f>
        <v>许靖薇</v>
      </c>
      <c r="C601" s="9" t="str">
        <f t="shared" si="46"/>
        <v>女</v>
      </c>
      <c r="D601" s="9" t="str">
        <f t="shared" si="49"/>
        <v>汉族</v>
      </c>
      <c r="E601" s="9" t="str">
        <f>"20220012029"</f>
        <v>20220012029</v>
      </c>
      <c r="F601" s="9">
        <v>43</v>
      </c>
      <c r="G601" s="9"/>
      <c r="H601" s="9">
        <f t="shared" si="47"/>
        <v>43</v>
      </c>
    </row>
    <row r="602" spans="1:8" s="13" customFormat="1" ht="24.75" customHeight="1">
      <c r="A602" s="9">
        <v>600</v>
      </c>
      <c r="B602" s="9" t="str">
        <f>"王佳新"</f>
        <v>王佳新</v>
      </c>
      <c r="C602" s="9" t="str">
        <f t="shared" si="46"/>
        <v>女</v>
      </c>
      <c r="D602" s="9" t="str">
        <f t="shared" si="49"/>
        <v>汉族</v>
      </c>
      <c r="E602" s="9" t="str">
        <f>"20220012030"</f>
        <v>20220012030</v>
      </c>
      <c r="F602" s="9">
        <v>41</v>
      </c>
      <c r="G602" s="9"/>
      <c r="H602" s="9">
        <f t="shared" si="47"/>
        <v>41</v>
      </c>
    </row>
    <row r="603" spans="1:8" s="13" customFormat="1" ht="24.75" customHeight="1">
      <c r="A603" s="9">
        <v>601</v>
      </c>
      <c r="B603" s="9" t="str">
        <f>"郭效玥"</f>
        <v>郭效玥</v>
      </c>
      <c r="C603" s="9" t="str">
        <f t="shared" si="46"/>
        <v>女</v>
      </c>
      <c r="D603" s="9" t="str">
        <f t="shared" si="49"/>
        <v>汉族</v>
      </c>
      <c r="E603" s="9" t="str">
        <f>"20220012101"</f>
        <v>20220012101</v>
      </c>
      <c r="F603" s="9">
        <v>44</v>
      </c>
      <c r="G603" s="9"/>
      <c r="H603" s="9">
        <f t="shared" si="47"/>
        <v>44</v>
      </c>
    </row>
    <row r="604" spans="1:8" s="13" customFormat="1" ht="24.75" customHeight="1">
      <c r="A604" s="9">
        <v>602</v>
      </c>
      <c r="B604" s="9" t="str">
        <f>"王蓉"</f>
        <v>王蓉</v>
      </c>
      <c r="C604" s="9" t="str">
        <f t="shared" si="46"/>
        <v>女</v>
      </c>
      <c r="D604" s="9" t="str">
        <f t="shared" si="49"/>
        <v>汉族</v>
      </c>
      <c r="E604" s="9" t="str">
        <f>"20220012102"</f>
        <v>20220012102</v>
      </c>
      <c r="F604" s="9">
        <v>63</v>
      </c>
      <c r="G604" s="9"/>
      <c r="H604" s="9">
        <f t="shared" si="47"/>
        <v>63</v>
      </c>
    </row>
    <row r="605" spans="1:8" s="13" customFormat="1" ht="24.75" customHeight="1">
      <c r="A605" s="9">
        <v>603</v>
      </c>
      <c r="B605" s="9" t="str">
        <f>"郝慧哲"</f>
        <v>郝慧哲</v>
      </c>
      <c r="C605" s="9" t="str">
        <f t="shared" si="46"/>
        <v>女</v>
      </c>
      <c r="D605" s="9" t="str">
        <f t="shared" si="49"/>
        <v>汉族</v>
      </c>
      <c r="E605" s="9" t="str">
        <f>"20220012103"</f>
        <v>20220012103</v>
      </c>
      <c r="F605" s="9">
        <v>57</v>
      </c>
      <c r="G605" s="9"/>
      <c r="H605" s="9">
        <f t="shared" si="47"/>
        <v>57</v>
      </c>
    </row>
    <row r="606" spans="1:8" s="13" customFormat="1" ht="24.75" customHeight="1">
      <c r="A606" s="9">
        <v>604</v>
      </c>
      <c r="B606" s="9" t="str">
        <f>"郭彩英"</f>
        <v>郭彩英</v>
      </c>
      <c r="C606" s="9" t="str">
        <f t="shared" si="46"/>
        <v>女</v>
      </c>
      <c r="D606" s="9" t="str">
        <f t="shared" si="49"/>
        <v>汉族</v>
      </c>
      <c r="E606" s="9" t="str">
        <f>"20220012104"</f>
        <v>20220012104</v>
      </c>
      <c r="F606" s="9">
        <v>53</v>
      </c>
      <c r="G606" s="9"/>
      <c r="H606" s="9">
        <f t="shared" si="47"/>
        <v>53</v>
      </c>
    </row>
    <row r="607" spans="1:8" s="13" customFormat="1" ht="24.75" customHeight="1">
      <c r="A607" s="9">
        <v>605</v>
      </c>
      <c r="B607" s="9" t="str">
        <f>"刘雅楠"</f>
        <v>刘雅楠</v>
      </c>
      <c r="C607" s="9" t="str">
        <f t="shared" si="46"/>
        <v>女</v>
      </c>
      <c r="D607" s="9" t="str">
        <f>"蒙古族"</f>
        <v>蒙古族</v>
      </c>
      <c r="E607" s="9" t="str">
        <f>"20220012105"</f>
        <v>20220012105</v>
      </c>
      <c r="F607" s="9">
        <v>0</v>
      </c>
      <c r="G607" s="9">
        <v>2.5</v>
      </c>
      <c r="H607" s="9">
        <f t="shared" si="47"/>
        <v>2.5</v>
      </c>
    </row>
    <row r="608" spans="1:8" s="13" customFormat="1" ht="24.75" customHeight="1">
      <c r="A608" s="9">
        <v>606</v>
      </c>
      <c r="B608" s="9" t="str">
        <f>"王雪荣"</f>
        <v>王雪荣</v>
      </c>
      <c r="C608" s="9" t="str">
        <f t="shared" si="46"/>
        <v>女</v>
      </c>
      <c r="D608" s="9" t="str">
        <f aca="true" t="shared" si="50" ref="D608:D623">"汉族"</f>
        <v>汉族</v>
      </c>
      <c r="E608" s="9" t="str">
        <f>"20220012106"</f>
        <v>20220012106</v>
      </c>
      <c r="F608" s="9">
        <v>56</v>
      </c>
      <c r="G608" s="9"/>
      <c r="H608" s="9">
        <f t="shared" si="47"/>
        <v>56</v>
      </c>
    </row>
    <row r="609" spans="1:8" s="13" customFormat="1" ht="24.75" customHeight="1">
      <c r="A609" s="9">
        <v>607</v>
      </c>
      <c r="B609" s="9" t="str">
        <f>"尹利娜"</f>
        <v>尹利娜</v>
      </c>
      <c r="C609" s="9" t="str">
        <f t="shared" si="46"/>
        <v>女</v>
      </c>
      <c r="D609" s="9" t="str">
        <f t="shared" si="50"/>
        <v>汉族</v>
      </c>
      <c r="E609" s="9" t="str">
        <f>"20220012107"</f>
        <v>20220012107</v>
      </c>
      <c r="F609" s="9">
        <v>70</v>
      </c>
      <c r="G609" s="9"/>
      <c r="H609" s="9">
        <f t="shared" si="47"/>
        <v>70</v>
      </c>
    </row>
    <row r="610" spans="1:8" s="13" customFormat="1" ht="24.75" customHeight="1">
      <c r="A610" s="9">
        <v>608</v>
      </c>
      <c r="B610" s="9" t="str">
        <f>"张瑞瑞"</f>
        <v>张瑞瑞</v>
      </c>
      <c r="C610" s="9" t="str">
        <f t="shared" si="46"/>
        <v>女</v>
      </c>
      <c r="D610" s="9" t="str">
        <f t="shared" si="50"/>
        <v>汉族</v>
      </c>
      <c r="E610" s="9" t="str">
        <f>"20220012108"</f>
        <v>20220012108</v>
      </c>
      <c r="F610" s="9">
        <v>46</v>
      </c>
      <c r="G610" s="9"/>
      <c r="H610" s="9">
        <f t="shared" si="47"/>
        <v>46</v>
      </c>
    </row>
    <row r="611" spans="1:8" s="13" customFormat="1" ht="24.75" customHeight="1">
      <c r="A611" s="9">
        <v>609</v>
      </c>
      <c r="B611" s="9" t="str">
        <f>"王慧"</f>
        <v>王慧</v>
      </c>
      <c r="C611" s="9" t="str">
        <f t="shared" si="46"/>
        <v>女</v>
      </c>
      <c r="D611" s="9" t="str">
        <f t="shared" si="50"/>
        <v>汉族</v>
      </c>
      <c r="E611" s="9" t="str">
        <f>"20220012109"</f>
        <v>20220012109</v>
      </c>
      <c r="F611" s="9">
        <v>0</v>
      </c>
      <c r="G611" s="9"/>
      <c r="H611" s="9">
        <f t="shared" si="47"/>
        <v>0</v>
      </c>
    </row>
    <row r="612" spans="1:8" s="13" customFormat="1" ht="24.75" customHeight="1">
      <c r="A612" s="9">
        <v>610</v>
      </c>
      <c r="B612" s="9" t="str">
        <f>"高永霞"</f>
        <v>高永霞</v>
      </c>
      <c r="C612" s="9" t="str">
        <f t="shared" si="46"/>
        <v>女</v>
      </c>
      <c r="D612" s="9" t="str">
        <f t="shared" si="50"/>
        <v>汉族</v>
      </c>
      <c r="E612" s="9" t="str">
        <f>"20220012110"</f>
        <v>20220012110</v>
      </c>
      <c r="F612" s="9">
        <v>40</v>
      </c>
      <c r="G612" s="9"/>
      <c r="H612" s="9">
        <f t="shared" si="47"/>
        <v>40</v>
      </c>
    </row>
    <row r="613" spans="1:8" s="13" customFormat="1" ht="24.75" customHeight="1">
      <c r="A613" s="9">
        <v>611</v>
      </c>
      <c r="B613" s="9" t="str">
        <f>"刘柯妤"</f>
        <v>刘柯妤</v>
      </c>
      <c r="C613" s="9" t="str">
        <f t="shared" si="46"/>
        <v>女</v>
      </c>
      <c r="D613" s="9" t="str">
        <f t="shared" si="50"/>
        <v>汉族</v>
      </c>
      <c r="E613" s="9" t="str">
        <f>"20220012111"</f>
        <v>20220012111</v>
      </c>
      <c r="F613" s="9">
        <v>60</v>
      </c>
      <c r="G613" s="9"/>
      <c r="H613" s="9">
        <f t="shared" si="47"/>
        <v>60</v>
      </c>
    </row>
    <row r="614" spans="1:8" s="13" customFormat="1" ht="24.75" customHeight="1">
      <c r="A614" s="9">
        <v>612</v>
      </c>
      <c r="B614" s="9" t="str">
        <f>"刘蕊"</f>
        <v>刘蕊</v>
      </c>
      <c r="C614" s="9" t="str">
        <f t="shared" si="46"/>
        <v>女</v>
      </c>
      <c r="D614" s="9" t="str">
        <f t="shared" si="50"/>
        <v>汉族</v>
      </c>
      <c r="E614" s="9" t="str">
        <f>"20220012112"</f>
        <v>20220012112</v>
      </c>
      <c r="F614" s="9">
        <v>42</v>
      </c>
      <c r="G614" s="9"/>
      <c r="H614" s="9">
        <f t="shared" si="47"/>
        <v>42</v>
      </c>
    </row>
    <row r="615" spans="1:8" s="13" customFormat="1" ht="24.75" customHeight="1">
      <c r="A615" s="9">
        <v>613</v>
      </c>
      <c r="B615" s="9" t="str">
        <f>"范瑾妍"</f>
        <v>范瑾妍</v>
      </c>
      <c r="C615" s="9" t="str">
        <f t="shared" si="46"/>
        <v>女</v>
      </c>
      <c r="D615" s="9" t="str">
        <f t="shared" si="50"/>
        <v>汉族</v>
      </c>
      <c r="E615" s="9" t="str">
        <f>"20220012113"</f>
        <v>20220012113</v>
      </c>
      <c r="F615" s="9">
        <v>52</v>
      </c>
      <c r="G615" s="9"/>
      <c r="H615" s="9">
        <f t="shared" si="47"/>
        <v>52</v>
      </c>
    </row>
    <row r="616" spans="1:8" s="13" customFormat="1" ht="24.75" customHeight="1">
      <c r="A616" s="9">
        <v>614</v>
      </c>
      <c r="B616" s="9" t="str">
        <f>"张瑜"</f>
        <v>张瑜</v>
      </c>
      <c r="C616" s="9" t="str">
        <f t="shared" si="46"/>
        <v>女</v>
      </c>
      <c r="D616" s="9" t="str">
        <f t="shared" si="50"/>
        <v>汉族</v>
      </c>
      <c r="E616" s="9" t="str">
        <f>"20220012114"</f>
        <v>20220012114</v>
      </c>
      <c r="F616" s="9">
        <v>42</v>
      </c>
      <c r="G616" s="9"/>
      <c r="H616" s="9">
        <f t="shared" si="47"/>
        <v>42</v>
      </c>
    </row>
    <row r="617" spans="1:8" s="13" customFormat="1" ht="24.75" customHeight="1">
      <c r="A617" s="9">
        <v>615</v>
      </c>
      <c r="B617" s="9" t="str">
        <f>"王慧"</f>
        <v>王慧</v>
      </c>
      <c r="C617" s="9" t="str">
        <f t="shared" si="46"/>
        <v>女</v>
      </c>
      <c r="D617" s="9" t="str">
        <f t="shared" si="50"/>
        <v>汉族</v>
      </c>
      <c r="E617" s="9" t="str">
        <f>"20220012115"</f>
        <v>20220012115</v>
      </c>
      <c r="F617" s="9">
        <v>54</v>
      </c>
      <c r="G617" s="9"/>
      <c r="H617" s="9">
        <f t="shared" si="47"/>
        <v>54</v>
      </c>
    </row>
    <row r="618" spans="1:8" s="13" customFormat="1" ht="24.75" customHeight="1">
      <c r="A618" s="9">
        <v>616</v>
      </c>
      <c r="B618" s="9" t="str">
        <f>"张亚楠"</f>
        <v>张亚楠</v>
      </c>
      <c r="C618" s="9" t="str">
        <f t="shared" si="46"/>
        <v>女</v>
      </c>
      <c r="D618" s="9" t="str">
        <f t="shared" si="50"/>
        <v>汉族</v>
      </c>
      <c r="E618" s="9" t="str">
        <f>"20220012116"</f>
        <v>20220012116</v>
      </c>
      <c r="F618" s="9">
        <v>36</v>
      </c>
      <c r="G618" s="9"/>
      <c r="H618" s="9">
        <f t="shared" si="47"/>
        <v>36</v>
      </c>
    </row>
    <row r="619" spans="1:8" s="13" customFormat="1" ht="24.75" customHeight="1">
      <c r="A619" s="9">
        <v>617</v>
      </c>
      <c r="B619" s="9" t="str">
        <f>"杜星月"</f>
        <v>杜星月</v>
      </c>
      <c r="C619" s="9" t="str">
        <f t="shared" si="46"/>
        <v>女</v>
      </c>
      <c r="D619" s="9" t="str">
        <f t="shared" si="50"/>
        <v>汉族</v>
      </c>
      <c r="E619" s="9" t="str">
        <f>"20220012117"</f>
        <v>20220012117</v>
      </c>
      <c r="F619" s="9">
        <v>49</v>
      </c>
      <c r="G619" s="9"/>
      <c r="H619" s="9">
        <f t="shared" si="47"/>
        <v>49</v>
      </c>
    </row>
    <row r="620" spans="1:8" s="13" customFormat="1" ht="24.75" customHeight="1">
      <c r="A620" s="9">
        <v>618</v>
      </c>
      <c r="B620" s="9" t="str">
        <f>"郭佳"</f>
        <v>郭佳</v>
      </c>
      <c r="C620" s="9" t="str">
        <f t="shared" si="46"/>
        <v>女</v>
      </c>
      <c r="D620" s="9" t="str">
        <f t="shared" si="50"/>
        <v>汉族</v>
      </c>
      <c r="E620" s="9" t="str">
        <f>"20220012118"</f>
        <v>20220012118</v>
      </c>
      <c r="F620" s="9">
        <v>54</v>
      </c>
      <c r="G620" s="9"/>
      <c r="H620" s="9">
        <f t="shared" si="47"/>
        <v>54</v>
      </c>
    </row>
    <row r="621" spans="1:8" s="13" customFormat="1" ht="24.75" customHeight="1">
      <c r="A621" s="9">
        <v>619</v>
      </c>
      <c r="B621" s="9" t="str">
        <f>"陈泽洋"</f>
        <v>陈泽洋</v>
      </c>
      <c r="C621" s="9" t="str">
        <f t="shared" si="46"/>
        <v>女</v>
      </c>
      <c r="D621" s="9" t="str">
        <f t="shared" si="50"/>
        <v>汉族</v>
      </c>
      <c r="E621" s="9" t="str">
        <f>"20220012119"</f>
        <v>20220012119</v>
      </c>
      <c r="F621" s="9">
        <v>0</v>
      </c>
      <c r="G621" s="9"/>
      <c r="H621" s="9">
        <f t="shared" si="47"/>
        <v>0</v>
      </c>
    </row>
    <row r="622" spans="1:8" s="13" customFormat="1" ht="24.75" customHeight="1">
      <c r="A622" s="9">
        <v>620</v>
      </c>
      <c r="B622" s="9" t="str">
        <f>"吕莉莉"</f>
        <v>吕莉莉</v>
      </c>
      <c r="C622" s="9" t="str">
        <f t="shared" si="46"/>
        <v>女</v>
      </c>
      <c r="D622" s="9" t="str">
        <f t="shared" si="50"/>
        <v>汉族</v>
      </c>
      <c r="E622" s="9" t="str">
        <f>"20220012120"</f>
        <v>20220012120</v>
      </c>
      <c r="F622" s="9">
        <v>38</v>
      </c>
      <c r="G622" s="9"/>
      <c r="H622" s="9">
        <f t="shared" si="47"/>
        <v>38</v>
      </c>
    </row>
    <row r="623" spans="1:8" s="13" customFormat="1" ht="24.75" customHeight="1">
      <c r="A623" s="9">
        <v>621</v>
      </c>
      <c r="B623" s="9" t="str">
        <f>"乔敏"</f>
        <v>乔敏</v>
      </c>
      <c r="C623" s="9" t="str">
        <f t="shared" si="46"/>
        <v>女</v>
      </c>
      <c r="D623" s="9" t="str">
        <f t="shared" si="50"/>
        <v>汉族</v>
      </c>
      <c r="E623" s="9" t="str">
        <f>"20220012121"</f>
        <v>20220012121</v>
      </c>
      <c r="F623" s="9">
        <v>58</v>
      </c>
      <c r="G623" s="9"/>
      <c r="H623" s="9">
        <f t="shared" si="47"/>
        <v>58</v>
      </c>
    </row>
    <row r="624" spans="1:8" s="13" customFormat="1" ht="24.75" customHeight="1">
      <c r="A624" s="9">
        <v>622</v>
      </c>
      <c r="B624" s="9" t="str">
        <f>"马曙君"</f>
        <v>马曙君</v>
      </c>
      <c r="C624" s="9" t="str">
        <f t="shared" si="46"/>
        <v>女</v>
      </c>
      <c r="D624" s="9" t="str">
        <f>"蒙古族"</f>
        <v>蒙古族</v>
      </c>
      <c r="E624" s="9" t="str">
        <f>"20220012122"</f>
        <v>20220012122</v>
      </c>
      <c r="F624" s="9">
        <v>0</v>
      </c>
      <c r="G624" s="9">
        <v>2.5</v>
      </c>
      <c r="H624" s="9">
        <f t="shared" si="47"/>
        <v>2.5</v>
      </c>
    </row>
    <row r="625" spans="1:8" s="13" customFormat="1" ht="24.75" customHeight="1">
      <c r="A625" s="9">
        <v>623</v>
      </c>
      <c r="B625" s="9" t="str">
        <f>"雍容"</f>
        <v>雍容</v>
      </c>
      <c r="C625" s="9" t="str">
        <f t="shared" si="46"/>
        <v>女</v>
      </c>
      <c r="D625" s="9" t="str">
        <f aca="true" t="shared" si="51" ref="D625:D630">"汉族"</f>
        <v>汉族</v>
      </c>
      <c r="E625" s="9" t="str">
        <f>"20220012123"</f>
        <v>20220012123</v>
      </c>
      <c r="F625" s="9">
        <v>0</v>
      </c>
      <c r="G625" s="9"/>
      <c r="H625" s="9">
        <f t="shared" si="47"/>
        <v>0</v>
      </c>
    </row>
    <row r="626" spans="1:8" s="13" customFormat="1" ht="24.75" customHeight="1">
      <c r="A626" s="9">
        <v>624</v>
      </c>
      <c r="B626" s="9" t="str">
        <f>"曾志悦"</f>
        <v>曾志悦</v>
      </c>
      <c r="C626" s="9" t="str">
        <f t="shared" si="46"/>
        <v>女</v>
      </c>
      <c r="D626" s="9" t="str">
        <f t="shared" si="51"/>
        <v>汉族</v>
      </c>
      <c r="E626" s="9" t="str">
        <f>"20220012124"</f>
        <v>20220012124</v>
      </c>
      <c r="F626" s="9">
        <v>0</v>
      </c>
      <c r="G626" s="9"/>
      <c r="H626" s="9">
        <f t="shared" si="47"/>
        <v>0</v>
      </c>
    </row>
    <row r="627" spans="1:8" s="13" customFormat="1" ht="24.75" customHeight="1">
      <c r="A627" s="9">
        <v>625</v>
      </c>
      <c r="B627" s="9" t="str">
        <f>"刘佳"</f>
        <v>刘佳</v>
      </c>
      <c r="C627" s="9" t="str">
        <f t="shared" si="46"/>
        <v>女</v>
      </c>
      <c r="D627" s="9" t="str">
        <f t="shared" si="51"/>
        <v>汉族</v>
      </c>
      <c r="E627" s="9" t="str">
        <f>"20220012125"</f>
        <v>20220012125</v>
      </c>
      <c r="F627" s="9">
        <v>36</v>
      </c>
      <c r="G627" s="9"/>
      <c r="H627" s="9">
        <f t="shared" si="47"/>
        <v>36</v>
      </c>
    </row>
    <row r="628" spans="1:8" s="13" customFormat="1" ht="24.75" customHeight="1">
      <c r="A628" s="9">
        <v>626</v>
      </c>
      <c r="B628" s="9" t="str">
        <f>"乔佳婧"</f>
        <v>乔佳婧</v>
      </c>
      <c r="C628" s="9" t="str">
        <f t="shared" si="46"/>
        <v>女</v>
      </c>
      <c r="D628" s="9" t="str">
        <f t="shared" si="51"/>
        <v>汉族</v>
      </c>
      <c r="E628" s="9" t="str">
        <f>"20220012126"</f>
        <v>20220012126</v>
      </c>
      <c r="F628" s="9">
        <v>58</v>
      </c>
      <c r="G628" s="9"/>
      <c r="H628" s="9">
        <f t="shared" si="47"/>
        <v>58</v>
      </c>
    </row>
    <row r="629" spans="1:8" s="13" customFormat="1" ht="24.75" customHeight="1">
      <c r="A629" s="9">
        <v>627</v>
      </c>
      <c r="B629" s="9" t="str">
        <f>"张春燕"</f>
        <v>张春燕</v>
      </c>
      <c r="C629" s="9" t="str">
        <f t="shared" si="46"/>
        <v>女</v>
      </c>
      <c r="D629" s="9" t="str">
        <f t="shared" si="51"/>
        <v>汉族</v>
      </c>
      <c r="E629" s="9" t="str">
        <f>"20220012127"</f>
        <v>20220012127</v>
      </c>
      <c r="F629" s="9">
        <v>53</v>
      </c>
      <c r="G629" s="9"/>
      <c r="H629" s="9">
        <f t="shared" si="47"/>
        <v>53</v>
      </c>
    </row>
    <row r="630" spans="1:8" s="13" customFormat="1" ht="24.75" customHeight="1">
      <c r="A630" s="9">
        <v>628</v>
      </c>
      <c r="B630" s="9" t="str">
        <f>"许梦洁"</f>
        <v>许梦洁</v>
      </c>
      <c r="C630" s="9" t="str">
        <f t="shared" si="46"/>
        <v>女</v>
      </c>
      <c r="D630" s="9" t="str">
        <f t="shared" si="51"/>
        <v>汉族</v>
      </c>
      <c r="E630" s="9" t="str">
        <f>"20220012128"</f>
        <v>20220012128</v>
      </c>
      <c r="F630" s="9">
        <v>51</v>
      </c>
      <c r="G630" s="9"/>
      <c r="H630" s="9">
        <f t="shared" si="47"/>
        <v>51</v>
      </c>
    </row>
    <row r="631" spans="1:8" s="13" customFormat="1" ht="24.75" customHeight="1">
      <c r="A631" s="9">
        <v>629</v>
      </c>
      <c r="B631" s="9" t="str">
        <f>"刘璐瑶"</f>
        <v>刘璐瑶</v>
      </c>
      <c r="C631" s="9" t="str">
        <f t="shared" si="46"/>
        <v>女</v>
      </c>
      <c r="D631" s="9" t="str">
        <f>"蒙古族"</f>
        <v>蒙古族</v>
      </c>
      <c r="E631" s="9" t="str">
        <f>"20220012129"</f>
        <v>20220012129</v>
      </c>
      <c r="F631" s="9">
        <v>33</v>
      </c>
      <c r="G631" s="9">
        <v>2.5</v>
      </c>
      <c r="H631" s="9">
        <f t="shared" si="47"/>
        <v>35.5</v>
      </c>
    </row>
    <row r="632" spans="1:8" s="13" customFormat="1" ht="24.75" customHeight="1">
      <c r="A632" s="9">
        <v>630</v>
      </c>
      <c r="B632" s="9" t="str">
        <f>"刘春梅"</f>
        <v>刘春梅</v>
      </c>
      <c r="C632" s="9" t="str">
        <f t="shared" si="46"/>
        <v>女</v>
      </c>
      <c r="D632" s="9" t="str">
        <f aca="true" t="shared" si="52" ref="D632:D658">"汉族"</f>
        <v>汉族</v>
      </c>
      <c r="E632" s="9" t="str">
        <f>"20220012130"</f>
        <v>20220012130</v>
      </c>
      <c r="F632" s="9">
        <v>28</v>
      </c>
      <c r="G632" s="9"/>
      <c r="H632" s="9">
        <f t="shared" si="47"/>
        <v>28</v>
      </c>
    </row>
    <row r="633" spans="1:8" s="13" customFormat="1" ht="24.75" customHeight="1">
      <c r="A633" s="9">
        <v>631</v>
      </c>
      <c r="B633" s="9" t="str">
        <f>"杨李"</f>
        <v>杨李</v>
      </c>
      <c r="C633" s="9" t="str">
        <f t="shared" si="46"/>
        <v>女</v>
      </c>
      <c r="D633" s="9" t="str">
        <f t="shared" si="52"/>
        <v>汉族</v>
      </c>
      <c r="E633" s="9" t="str">
        <f>"20220012201"</f>
        <v>20220012201</v>
      </c>
      <c r="F633" s="9">
        <v>0</v>
      </c>
      <c r="G633" s="9"/>
      <c r="H633" s="9">
        <f t="shared" si="47"/>
        <v>0</v>
      </c>
    </row>
    <row r="634" spans="1:8" s="13" customFormat="1" ht="24.75" customHeight="1">
      <c r="A634" s="9">
        <v>632</v>
      </c>
      <c r="B634" s="9" t="str">
        <f>"刘慧"</f>
        <v>刘慧</v>
      </c>
      <c r="C634" s="9" t="str">
        <f t="shared" si="46"/>
        <v>女</v>
      </c>
      <c r="D634" s="9" t="str">
        <f t="shared" si="52"/>
        <v>汉族</v>
      </c>
      <c r="E634" s="9" t="str">
        <f>"20220012202"</f>
        <v>20220012202</v>
      </c>
      <c r="F634" s="9">
        <v>42</v>
      </c>
      <c r="G634" s="9"/>
      <c r="H634" s="9">
        <f t="shared" si="47"/>
        <v>42</v>
      </c>
    </row>
    <row r="635" spans="1:8" s="13" customFormat="1" ht="24.75" customHeight="1">
      <c r="A635" s="9">
        <v>633</v>
      </c>
      <c r="B635" s="9" t="str">
        <f>"刘敏"</f>
        <v>刘敏</v>
      </c>
      <c r="C635" s="9" t="str">
        <f t="shared" si="46"/>
        <v>女</v>
      </c>
      <c r="D635" s="9" t="str">
        <f t="shared" si="52"/>
        <v>汉族</v>
      </c>
      <c r="E635" s="9" t="str">
        <f>"20220012203"</f>
        <v>20220012203</v>
      </c>
      <c r="F635" s="9">
        <v>0</v>
      </c>
      <c r="G635" s="9"/>
      <c r="H635" s="9">
        <f t="shared" si="47"/>
        <v>0</v>
      </c>
    </row>
    <row r="636" spans="1:8" s="13" customFormat="1" ht="24.75" customHeight="1">
      <c r="A636" s="9">
        <v>634</v>
      </c>
      <c r="B636" s="9" t="str">
        <f>"苏媛"</f>
        <v>苏媛</v>
      </c>
      <c r="C636" s="9" t="str">
        <f t="shared" si="46"/>
        <v>女</v>
      </c>
      <c r="D636" s="9" t="str">
        <f t="shared" si="52"/>
        <v>汉族</v>
      </c>
      <c r="E636" s="9" t="str">
        <f>"20220012204"</f>
        <v>20220012204</v>
      </c>
      <c r="F636" s="9">
        <v>41</v>
      </c>
      <c r="G636" s="9"/>
      <c r="H636" s="9">
        <f t="shared" si="47"/>
        <v>41</v>
      </c>
    </row>
    <row r="637" spans="1:8" s="13" customFormat="1" ht="24.75" customHeight="1">
      <c r="A637" s="9">
        <v>635</v>
      </c>
      <c r="B637" s="9" t="str">
        <f>"王燕敏"</f>
        <v>王燕敏</v>
      </c>
      <c r="C637" s="9" t="str">
        <f t="shared" si="46"/>
        <v>女</v>
      </c>
      <c r="D637" s="9" t="str">
        <f t="shared" si="52"/>
        <v>汉族</v>
      </c>
      <c r="E637" s="9" t="str">
        <f>"20220012205"</f>
        <v>20220012205</v>
      </c>
      <c r="F637" s="9">
        <v>39</v>
      </c>
      <c r="G637" s="9"/>
      <c r="H637" s="9">
        <f t="shared" si="47"/>
        <v>39</v>
      </c>
    </row>
    <row r="638" spans="1:8" s="13" customFormat="1" ht="24.75" customHeight="1">
      <c r="A638" s="9">
        <v>636</v>
      </c>
      <c r="B638" s="9" t="str">
        <f>"王丝雨"</f>
        <v>王丝雨</v>
      </c>
      <c r="C638" s="9" t="str">
        <f t="shared" si="46"/>
        <v>女</v>
      </c>
      <c r="D638" s="9" t="str">
        <f t="shared" si="52"/>
        <v>汉族</v>
      </c>
      <c r="E638" s="9" t="str">
        <f>"20220012206"</f>
        <v>20220012206</v>
      </c>
      <c r="F638" s="9">
        <v>40</v>
      </c>
      <c r="G638" s="9"/>
      <c r="H638" s="9">
        <f t="shared" si="47"/>
        <v>40</v>
      </c>
    </row>
    <row r="639" spans="1:8" s="13" customFormat="1" ht="24.75" customHeight="1">
      <c r="A639" s="9">
        <v>637</v>
      </c>
      <c r="B639" s="9" t="str">
        <f>"刘敏"</f>
        <v>刘敏</v>
      </c>
      <c r="C639" s="9" t="str">
        <f t="shared" si="46"/>
        <v>女</v>
      </c>
      <c r="D639" s="9" t="str">
        <f t="shared" si="52"/>
        <v>汉族</v>
      </c>
      <c r="E639" s="9" t="str">
        <f>"20220012207"</f>
        <v>20220012207</v>
      </c>
      <c r="F639" s="9">
        <v>40</v>
      </c>
      <c r="G639" s="9"/>
      <c r="H639" s="9">
        <f t="shared" si="47"/>
        <v>40</v>
      </c>
    </row>
    <row r="640" spans="1:8" s="13" customFormat="1" ht="24.75" customHeight="1">
      <c r="A640" s="9">
        <v>638</v>
      </c>
      <c r="B640" s="9" t="str">
        <f>"刘雨"</f>
        <v>刘雨</v>
      </c>
      <c r="C640" s="9" t="str">
        <f t="shared" si="46"/>
        <v>女</v>
      </c>
      <c r="D640" s="9" t="str">
        <f t="shared" si="52"/>
        <v>汉族</v>
      </c>
      <c r="E640" s="9" t="str">
        <f>"20220012208"</f>
        <v>20220012208</v>
      </c>
      <c r="F640" s="9">
        <v>0</v>
      </c>
      <c r="G640" s="9"/>
      <c r="H640" s="9">
        <f t="shared" si="47"/>
        <v>0</v>
      </c>
    </row>
    <row r="641" spans="1:8" s="13" customFormat="1" ht="24.75" customHeight="1">
      <c r="A641" s="9">
        <v>639</v>
      </c>
      <c r="B641" s="9" t="str">
        <f>"王欣瑗"</f>
        <v>王欣瑗</v>
      </c>
      <c r="C641" s="9" t="str">
        <f t="shared" si="46"/>
        <v>女</v>
      </c>
      <c r="D641" s="9" t="str">
        <f t="shared" si="52"/>
        <v>汉族</v>
      </c>
      <c r="E641" s="9" t="str">
        <f>"20220012209"</f>
        <v>20220012209</v>
      </c>
      <c r="F641" s="9">
        <v>50</v>
      </c>
      <c r="G641" s="9"/>
      <c r="H641" s="9">
        <f t="shared" si="47"/>
        <v>50</v>
      </c>
    </row>
    <row r="642" spans="1:8" s="13" customFormat="1" ht="24.75" customHeight="1">
      <c r="A642" s="9">
        <v>640</v>
      </c>
      <c r="B642" s="9" t="str">
        <f>"许佳鑫"</f>
        <v>许佳鑫</v>
      </c>
      <c r="C642" s="9" t="str">
        <f t="shared" si="46"/>
        <v>女</v>
      </c>
      <c r="D642" s="9" t="str">
        <f t="shared" si="52"/>
        <v>汉族</v>
      </c>
      <c r="E642" s="9" t="str">
        <f>"20220012210"</f>
        <v>20220012210</v>
      </c>
      <c r="F642" s="9">
        <v>41</v>
      </c>
      <c r="G642" s="9"/>
      <c r="H642" s="9">
        <f t="shared" si="47"/>
        <v>41</v>
      </c>
    </row>
    <row r="643" spans="1:8" s="13" customFormat="1" ht="24.75" customHeight="1">
      <c r="A643" s="9">
        <v>641</v>
      </c>
      <c r="B643" s="9" t="str">
        <f>"霍艳芳"</f>
        <v>霍艳芳</v>
      </c>
      <c r="C643" s="9" t="str">
        <f aca="true" t="shared" si="53" ref="C643:C672">"女"</f>
        <v>女</v>
      </c>
      <c r="D643" s="9" t="str">
        <f t="shared" si="52"/>
        <v>汉族</v>
      </c>
      <c r="E643" s="9" t="str">
        <f>"20220012211"</f>
        <v>20220012211</v>
      </c>
      <c r="F643" s="9">
        <v>0</v>
      </c>
      <c r="G643" s="9"/>
      <c r="H643" s="9">
        <f aca="true" t="shared" si="54" ref="H643:H672">F643+G643</f>
        <v>0</v>
      </c>
    </row>
    <row r="644" spans="1:8" s="13" customFormat="1" ht="24.75" customHeight="1">
      <c r="A644" s="9">
        <v>642</v>
      </c>
      <c r="B644" s="9" t="str">
        <f>"呼娜"</f>
        <v>呼娜</v>
      </c>
      <c r="C644" s="9" t="str">
        <f t="shared" si="53"/>
        <v>女</v>
      </c>
      <c r="D644" s="9" t="str">
        <f t="shared" si="52"/>
        <v>汉族</v>
      </c>
      <c r="E644" s="9" t="str">
        <f>"20220012212"</f>
        <v>20220012212</v>
      </c>
      <c r="F644" s="9">
        <v>30</v>
      </c>
      <c r="G644" s="9"/>
      <c r="H644" s="9">
        <f t="shared" si="54"/>
        <v>30</v>
      </c>
    </row>
    <row r="645" spans="1:8" s="13" customFormat="1" ht="24.75" customHeight="1">
      <c r="A645" s="9">
        <v>643</v>
      </c>
      <c r="B645" s="9" t="str">
        <f>"王文欢"</f>
        <v>王文欢</v>
      </c>
      <c r="C645" s="9" t="str">
        <f t="shared" si="53"/>
        <v>女</v>
      </c>
      <c r="D645" s="9" t="str">
        <f t="shared" si="52"/>
        <v>汉族</v>
      </c>
      <c r="E645" s="9" t="str">
        <f>"20220012213"</f>
        <v>20220012213</v>
      </c>
      <c r="F645" s="9">
        <v>42</v>
      </c>
      <c r="G645" s="9"/>
      <c r="H645" s="9">
        <f t="shared" si="54"/>
        <v>42</v>
      </c>
    </row>
    <row r="646" spans="1:8" s="13" customFormat="1" ht="24.75" customHeight="1">
      <c r="A646" s="9">
        <v>644</v>
      </c>
      <c r="B646" s="9" t="str">
        <f>"张茜"</f>
        <v>张茜</v>
      </c>
      <c r="C646" s="9" t="str">
        <f t="shared" si="53"/>
        <v>女</v>
      </c>
      <c r="D646" s="9" t="str">
        <f t="shared" si="52"/>
        <v>汉族</v>
      </c>
      <c r="E646" s="9" t="str">
        <f>"20220012214"</f>
        <v>20220012214</v>
      </c>
      <c r="F646" s="9">
        <v>45</v>
      </c>
      <c r="G646" s="9"/>
      <c r="H646" s="9">
        <f t="shared" si="54"/>
        <v>45</v>
      </c>
    </row>
    <row r="647" spans="1:8" s="13" customFormat="1" ht="24.75" customHeight="1">
      <c r="A647" s="9">
        <v>645</v>
      </c>
      <c r="B647" s="9" t="str">
        <f>"王姝霖"</f>
        <v>王姝霖</v>
      </c>
      <c r="C647" s="9" t="str">
        <f t="shared" si="53"/>
        <v>女</v>
      </c>
      <c r="D647" s="9" t="str">
        <f t="shared" si="52"/>
        <v>汉族</v>
      </c>
      <c r="E647" s="9" t="str">
        <f>"20220012215"</f>
        <v>20220012215</v>
      </c>
      <c r="F647" s="9">
        <v>60</v>
      </c>
      <c r="G647" s="9"/>
      <c r="H647" s="9">
        <f t="shared" si="54"/>
        <v>60</v>
      </c>
    </row>
    <row r="648" spans="1:8" s="13" customFormat="1" ht="24.75" customHeight="1">
      <c r="A648" s="9">
        <v>646</v>
      </c>
      <c r="B648" s="9" t="str">
        <f>"王迪璐"</f>
        <v>王迪璐</v>
      </c>
      <c r="C648" s="9" t="str">
        <f t="shared" si="53"/>
        <v>女</v>
      </c>
      <c r="D648" s="9" t="str">
        <f t="shared" si="52"/>
        <v>汉族</v>
      </c>
      <c r="E648" s="9" t="str">
        <f>"20220012216"</f>
        <v>20220012216</v>
      </c>
      <c r="F648" s="9">
        <v>0</v>
      </c>
      <c r="G648" s="9"/>
      <c r="H648" s="9">
        <f t="shared" si="54"/>
        <v>0</v>
      </c>
    </row>
    <row r="649" spans="1:8" s="13" customFormat="1" ht="24.75" customHeight="1">
      <c r="A649" s="9">
        <v>647</v>
      </c>
      <c r="B649" s="9" t="str">
        <f>"苏芳芳"</f>
        <v>苏芳芳</v>
      </c>
      <c r="C649" s="9" t="str">
        <f t="shared" si="53"/>
        <v>女</v>
      </c>
      <c r="D649" s="9" t="str">
        <f t="shared" si="52"/>
        <v>汉族</v>
      </c>
      <c r="E649" s="9" t="str">
        <f>"20220012217"</f>
        <v>20220012217</v>
      </c>
      <c r="F649" s="9">
        <v>0</v>
      </c>
      <c r="G649" s="9"/>
      <c r="H649" s="9">
        <f t="shared" si="54"/>
        <v>0</v>
      </c>
    </row>
    <row r="650" spans="1:8" s="13" customFormat="1" ht="24.75" customHeight="1">
      <c r="A650" s="9">
        <v>648</v>
      </c>
      <c r="B650" s="9" t="str">
        <f>"屈硕"</f>
        <v>屈硕</v>
      </c>
      <c r="C650" s="9" t="str">
        <f t="shared" si="53"/>
        <v>女</v>
      </c>
      <c r="D650" s="9" t="str">
        <f t="shared" si="52"/>
        <v>汉族</v>
      </c>
      <c r="E650" s="9" t="str">
        <f>"20220012218"</f>
        <v>20220012218</v>
      </c>
      <c r="F650" s="9">
        <v>52</v>
      </c>
      <c r="G650" s="9"/>
      <c r="H650" s="9">
        <f t="shared" si="54"/>
        <v>52</v>
      </c>
    </row>
    <row r="651" spans="1:8" s="13" customFormat="1" ht="24.75" customHeight="1">
      <c r="A651" s="9">
        <v>649</v>
      </c>
      <c r="B651" s="9" t="str">
        <f>"王雅娇"</f>
        <v>王雅娇</v>
      </c>
      <c r="C651" s="9" t="str">
        <f t="shared" si="53"/>
        <v>女</v>
      </c>
      <c r="D651" s="9" t="str">
        <f t="shared" si="52"/>
        <v>汉族</v>
      </c>
      <c r="E651" s="9" t="str">
        <f>"20220012219"</f>
        <v>20220012219</v>
      </c>
      <c r="F651" s="9">
        <v>33</v>
      </c>
      <c r="G651" s="9"/>
      <c r="H651" s="9">
        <f t="shared" si="54"/>
        <v>33</v>
      </c>
    </row>
    <row r="652" spans="1:8" s="13" customFormat="1" ht="24.75" customHeight="1">
      <c r="A652" s="9">
        <v>650</v>
      </c>
      <c r="B652" s="9" t="str">
        <f>"甄乐"</f>
        <v>甄乐</v>
      </c>
      <c r="C652" s="9" t="str">
        <f t="shared" si="53"/>
        <v>女</v>
      </c>
      <c r="D652" s="9" t="str">
        <f t="shared" si="52"/>
        <v>汉族</v>
      </c>
      <c r="E652" s="9" t="str">
        <f>"20220012220"</f>
        <v>20220012220</v>
      </c>
      <c r="F652" s="9">
        <v>39</v>
      </c>
      <c r="G652" s="9"/>
      <c r="H652" s="9">
        <f t="shared" si="54"/>
        <v>39</v>
      </c>
    </row>
    <row r="653" spans="1:8" s="13" customFormat="1" ht="24.75" customHeight="1">
      <c r="A653" s="9">
        <v>651</v>
      </c>
      <c r="B653" s="9" t="str">
        <f>"石娟"</f>
        <v>石娟</v>
      </c>
      <c r="C653" s="9" t="str">
        <f t="shared" si="53"/>
        <v>女</v>
      </c>
      <c r="D653" s="9" t="str">
        <f t="shared" si="52"/>
        <v>汉族</v>
      </c>
      <c r="E653" s="9" t="str">
        <f>"20220012221"</f>
        <v>20220012221</v>
      </c>
      <c r="F653" s="9">
        <v>45</v>
      </c>
      <c r="G653" s="9"/>
      <c r="H653" s="9">
        <f t="shared" si="54"/>
        <v>45</v>
      </c>
    </row>
    <row r="654" spans="1:8" s="13" customFormat="1" ht="24.75" customHeight="1">
      <c r="A654" s="9">
        <v>652</v>
      </c>
      <c r="B654" s="9" t="str">
        <f>" 王芳"</f>
        <v> 王芳</v>
      </c>
      <c r="C654" s="9" t="str">
        <f t="shared" si="53"/>
        <v>女</v>
      </c>
      <c r="D654" s="9" t="str">
        <f t="shared" si="52"/>
        <v>汉族</v>
      </c>
      <c r="E654" s="9" t="str">
        <f>"20220012222"</f>
        <v>20220012222</v>
      </c>
      <c r="F654" s="9">
        <v>26</v>
      </c>
      <c r="G654" s="9"/>
      <c r="H654" s="9">
        <f t="shared" si="54"/>
        <v>26</v>
      </c>
    </row>
    <row r="655" spans="1:8" s="13" customFormat="1" ht="24.75" customHeight="1">
      <c r="A655" s="9">
        <v>653</v>
      </c>
      <c r="B655" s="9" t="str">
        <f>"秦雨蓉"</f>
        <v>秦雨蓉</v>
      </c>
      <c r="C655" s="9" t="str">
        <f t="shared" si="53"/>
        <v>女</v>
      </c>
      <c r="D655" s="9" t="str">
        <f t="shared" si="52"/>
        <v>汉族</v>
      </c>
      <c r="E655" s="9" t="str">
        <f>"20220012223"</f>
        <v>20220012223</v>
      </c>
      <c r="F655" s="9">
        <v>0</v>
      </c>
      <c r="G655" s="9"/>
      <c r="H655" s="9">
        <f t="shared" si="54"/>
        <v>0</v>
      </c>
    </row>
    <row r="656" spans="1:8" s="13" customFormat="1" ht="24.75" customHeight="1">
      <c r="A656" s="9">
        <v>654</v>
      </c>
      <c r="B656" s="9" t="str">
        <f>"王亚星"</f>
        <v>王亚星</v>
      </c>
      <c r="C656" s="9" t="str">
        <f t="shared" si="53"/>
        <v>女</v>
      </c>
      <c r="D656" s="9" t="str">
        <f t="shared" si="52"/>
        <v>汉族</v>
      </c>
      <c r="E656" s="9" t="str">
        <f>"20220012224"</f>
        <v>20220012224</v>
      </c>
      <c r="F656" s="9">
        <v>0</v>
      </c>
      <c r="G656" s="9"/>
      <c r="H656" s="9">
        <f t="shared" si="54"/>
        <v>0</v>
      </c>
    </row>
    <row r="657" spans="1:8" s="13" customFormat="1" ht="24.75" customHeight="1">
      <c r="A657" s="9">
        <v>655</v>
      </c>
      <c r="B657" s="9" t="str">
        <f>"赵昕宇"</f>
        <v>赵昕宇</v>
      </c>
      <c r="C657" s="9" t="str">
        <f t="shared" si="53"/>
        <v>女</v>
      </c>
      <c r="D657" s="9" t="str">
        <f t="shared" si="52"/>
        <v>汉族</v>
      </c>
      <c r="E657" s="9" t="str">
        <f>"20220012225"</f>
        <v>20220012225</v>
      </c>
      <c r="F657" s="9">
        <v>50</v>
      </c>
      <c r="G657" s="9"/>
      <c r="H657" s="9">
        <f t="shared" si="54"/>
        <v>50</v>
      </c>
    </row>
    <row r="658" spans="1:8" s="13" customFormat="1" ht="24.75" customHeight="1">
      <c r="A658" s="9">
        <v>656</v>
      </c>
      <c r="B658" s="9" t="str">
        <f>"史舒宁"</f>
        <v>史舒宁</v>
      </c>
      <c r="C658" s="9" t="str">
        <f t="shared" si="53"/>
        <v>女</v>
      </c>
      <c r="D658" s="9" t="str">
        <f t="shared" si="52"/>
        <v>汉族</v>
      </c>
      <c r="E658" s="9" t="str">
        <f>"20220012226"</f>
        <v>20220012226</v>
      </c>
      <c r="F658" s="9">
        <v>0</v>
      </c>
      <c r="G658" s="9"/>
      <c r="H658" s="9">
        <f t="shared" si="54"/>
        <v>0</v>
      </c>
    </row>
    <row r="659" spans="1:8" s="13" customFormat="1" ht="24.75" customHeight="1">
      <c r="A659" s="9">
        <v>657</v>
      </c>
      <c r="B659" s="9" t="str">
        <f>"黄婷"</f>
        <v>黄婷</v>
      </c>
      <c r="C659" s="9" t="str">
        <f t="shared" si="53"/>
        <v>女</v>
      </c>
      <c r="D659" s="9" t="str">
        <f>"蒙古族"</f>
        <v>蒙古族</v>
      </c>
      <c r="E659" s="9" t="str">
        <f>"20220012227"</f>
        <v>20220012227</v>
      </c>
      <c r="F659" s="9">
        <v>0</v>
      </c>
      <c r="G659" s="9">
        <v>2.5</v>
      </c>
      <c r="H659" s="9">
        <f t="shared" si="54"/>
        <v>2.5</v>
      </c>
    </row>
    <row r="660" spans="1:8" s="13" customFormat="1" ht="24.75" customHeight="1">
      <c r="A660" s="9">
        <v>658</v>
      </c>
      <c r="B660" s="9" t="str">
        <f>"伦雪"</f>
        <v>伦雪</v>
      </c>
      <c r="C660" s="9" t="str">
        <f t="shared" si="53"/>
        <v>女</v>
      </c>
      <c r="D660" s="9" t="str">
        <f aca="true" t="shared" si="55" ref="D660:D666">"汉族"</f>
        <v>汉族</v>
      </c>
      <c r="E660" s="9" t="str">
        <f>"20220012228"</f>
        <v>20220012228</v>
      </c>
      <c r="F660" s="9">
        <v>0</v>
      </c>
      <c r="G660" s="9"/>
      <c r="H660" s="9">
        <f t="shared" si="54"/>
        <v>0</v>
      </c>
    </row>
    <row r="661" spans="1:8" s="13" customFormat="1" ht="24.75" customHeight="1">
      <c r="A661" s="9">
        <v>659</v>
      </c>
      <c r="B661" s="9" t="str">
        <f>"陈姝丹"</f>
        <v>陈姝丹</v>
      </c>
      <c r="C661" s="9" t="str">
        <f t="shared" si="53"/>
        <v>女</v>
      </c>
      <c r="D661" s="9" t="str">
        <f t="shared" si="55"/>
        <v>汉族</v>
      </c>
      <c r="E661" s="9" t="str">
        <f>"20220012229"</f>
        <v>20220012229</v>
      </c>
      <c r="F661" s="9">
        <v>0</v>
      </c>
      <c r="G661" s="9"/>
      <c r="H661" s="9">
        <f t="shared" si="54"/>
        <v>0</v>
      </c>
    </row>
    <row r="662" spans="1:8" s="13" customFormat="1" ht="24.75" customHeight="1">
      <c r="A662" s="9">
        <v>660</v>
      </c>
      <c r="B662" s="9" t="str">
        <f>"王一茗"</f>
        <v>王一茗</v>
      </c>
      <c r="C662" s="9" t="str">
        <f t="shared" si="53"/>
        <v>女</v>
      </c>
      <c r="D662" s="9" t="str">
        <f t="shared" si="55"/>
        <v>汉族</v>
      </c>
      <c r="E662" s="9" t="str">
        <f>"20220012230"</f>
        <v>20220012230</v>
      </c>
      <c r="F662" s="9">
        <v>0</v>
      </c>
      <c r="G662" s="9"/>
      <c r="H662" s="9">
        <f t="shared" si="54"/>
        <v>0</v>
      </c>
    </row>
    <row r="663" spans="1:8" s="13" customFormat="1" ht="24.75" customHeight="1">
      <c r="A663" s="9">
        <v>661</v>
      </c>
      <c r="B663" s="9" t="str">
        <f>"赵怡含蕊"</f>
        <v>赵怡含蕊</v>
      </c>
      <c r="C663" s="9" t="str">
        <f t="shared" si="53"/>
        <v>女</v>
      </c>
      <c r="D663" s="9" t="str">
        <f t="shared" si="55"/>
        <v>汉族</v>
      </c>
      <c r="E663" s="9" t="str">
        <f>"20220012301"</f>
        <v>20220012301</v>
      </c>
      <c r="F663" s="9">
        <v>0</v>
      </c>
      <c r="G663" s="9"/>
      <c r="H663" s="9">
        <f t="shared" si="54"/>
        <v>0</v>
      </c>
    </row>
    <row r="664" spans="1:8" s="13" customFormat="1" ht="24.75" customHeight="1">
      <c r="A664" s="9">
        <v>662</v>
      </c>
      <c r="B664" s="9" t="str">
        <f>"任小英"</f>
        <v>任小英</v>
      </c>
      <c r="C664" s="9" t="str">
        <f t="shared" si="53"/>
        <v>女</v>
      </c>
      <c r="D664" s="9" t="str">
        <f t="shared" si="55"/>
        <v>汉族</v>
      </c>
      <c r="E664" s="9" t="str">
        <f>"20220012302"</f>
        <v>20220012302</v>
      </c>
      <c r="F664" s="9">
        <v>51</v>
      </c>
      <c r="G664" s="9"/>
      <c r="H664" s="9">
        <f t="shared" si="54"/>
        <v>51</v>
      </c>
    </row>
    <row r="665" spans="1:8" s="13" customFormat="1" ht="24.75" customHeight="1">
      <c r="A665" s="9">
        <v>663</v>
      </c>
      <c r="B665" s="9" t="str">
        <f>"李玉蓉"</f>
        <v>李玉蓉</v>
      </c>
      <c r="C665" s="9" t="str">
        <f t="shared" si="53"/>
        <v>女</v>
      </c>
      <c r="D665" s="9" t="str">
        <f t="shared" si="55"/>
        <v>汉族</v>
      </c>
      <c r="E665" s="9" t="str">
        <f>"20220012303"</f>
        <v>20220012303</v>
      </c>
      <c r="F665" s="9">
        <v>42</v>
      </c>
      <c r="G665" s="9"/>
      <c r="H665" s="9">
        <f t="shared" si="54"/>
        <v>42</v>
      </c>
    </row>
    <row r="666" spans="1:8" s="13" customFormat="1" ht="24.75" customHeight="1">
      <c r="A666" s="9">
        <v>664</v>
      </c>
      <c r="B666" s="9" t="str">
        <f>"韩宏"</f>
        <v>韩宏</v>
      </c>
      <c r="C666" s="9" t="str">
        <f t="shared" si="53"/>
        <v>女</v>
      </c>
      <c r="D666" s="9" t="str">
        <f t="shared" si="55"/>
        <v>汉族</v>
      </c>
      <c r="E666" s="9" t="str">
        <f>"20220012304"</f>
        <v>20220012304</v>
      </c>
      <c r="F666" s="9">
        <v>51</v>
      </c>
      <c r="G666" s="9"/>
      <c r="H666" s="9">
        <f t="shared" si="54"/>
        <v>51</v>
      </c>
    </row>
    <row r="667" spans="1:8" s="13" customFormat="1" ht="24.75" customHeight="1">
      <c r="A667" s="9">
        <v>665</v>
      </c>
      <c r="B667" s="9" t="str">
        <f>"星星"</f>
        <v>星星</v>
      </c>
      <c r="C667" s="9" t="str">
        <f t="shared" si="53"/>
        <v>女</v>
      </c>
      <c r="D667" s="9" t="str">
        <f>"蒙古族"</f>
        <v>蒙古族</v>
      </c>
      <c r="E667" s="9" t="str">
        <f>"20220012305"</f>
        <v>20220012305</v>
      </c>
      <c r="F667" s="9">
        <v>32</v>
      </c>
      <c r="G667" s="9">
        <v>2.5</v>
      </c>
      <c r="H667" s="9">
        <f t="shared" si="54"/>
        <v>34.5</v>
      </c>
    </row>
    <row r="668" spans="1:8" s="13" customFormat="1" ht="24.75" customHeight="1">
      <c r="A668" s="9">
        <v>666</v>
      </c>
      <c r="B668" s="9" t="str">
        <f>"孙亚枝"</f>
        <v>孙亚枝</v>
      </c>
      <c r="C668" s="9" t="str">
        <f t="shared" si="53"/>
        <v>女</v>
      </c>
      <c r="D668" s="9" t="str">
        <f>"汉族"</f>
        <v>汉族</v>
      </c>
      <c r="E668" s="9" t="str">
        <f>"20220012306"</f>
        <v>20220012306</v>
      </c>
      <c r="F668" s="9">
        <v>39</v>
      </c>
      <c r="G668" s="9"/>
      <c r="H668" s="9">
        <f t="shared" si="54"/>
        <v>39</v>
      </c>
    </row>
    <row r="669" spans="1:8" s="13" customFormat="1" ht="24.75" customHeight="1">
      <c r="A669" s="9">
        <v>667</v>
      </c>
      <c r="B669" s="9" t="str">
        <f>"李佳乐"</f>
        <v>李佳乐</v>
      </c>
      <c r="C669" s="9" t="str">
        <f t="shared" si="53"/>
        <v>女</v>
      </c>
      <c r="D669" s="9" t="str">
        <f>"蒙古族"</f>
        <v>蒙古族</v>
      </c>
      <c r="E669" s="9" t="str">
        <f>"20220012307"</f>
        <v>20220012307</v>
      </c>
      <c r="F669" s="9">
        <v>35</v>
      </c>
      <c r="G669" s="9">
        <v>2.5</v>
      </c>
      <c r="H669" s="9">
        <f t="shared" si="54"/>
        <v>37.5</v>
      </c>
    </row>
    <row r="670" spans="1:8" s="13" customFormat="1" ht="24.75" customHeight="1">
      <c r="A670" s="9">
        <v>668</v>
      </c>
      <c r="B670" s="9" t="str">
        <f>"乔丽娜"</f>
        <v>乔丽娜</v>
      </c>
      <c r="C670" s="9" t="str">
        <f t="shared" si="53"/>
        <v>女</v>
      </c>
      <c r="D670" s="9" t="str">
        <f>"汉族"</f>
        <v>汉族</v>
      </c>
      <c r="E670" s="9" t="str">
        <f>"20220012308"</f>
        <v>20220012308</v>
      </c>
      <c r="F670" s="9">
        <v>38</v>
      </c>
      <c r="G670" s="9"/>
      <c r="H670" s="9">
        <f t="shared" si="54"/>
        <v>38</v>
      </c>
    </row>
    <row r="671" spans="1:8" s="13" customFormat="1" ht="24.75" customHeight="1">
      <c r="A671" s="9">
        <v>669</v>
      </c>
      <c r="B671" s="9" t="str">
        <f>"王佳乐"</f>
        <v>王佳乐</v>
      </c>
      <c r="C671" s="9" t="str">
        <f t="shared" si="53"/>
        <v>女</v>
      </c>
      <c r="D671" s="9" t="str">
        <f>"蒙古族"</f>
        <v>蒙古族</v>
      </c>
      <c r="E671" s="9" t="str">
        <f>"20220012309"</f>
        <v>20220012309</v>
      </c>
      <c r="F671" s="9">
        <v>0</v>
      </c>
      <c r="G671" s="9">
        <v>2.5</v>
      </c>
      <c r="H671" s="9">
        <f t="shared" si="54"/>
        <v>2.5</v>
      </c>
    </row>
    <row r="672" spans="1:8" s="13" customFormat="1" ht="24.75" customHeight="1">
      <c r="A672" s="9">
        <v>670</v>
      </c>
      <c r="B672" s="9" t="str">
        <f>"樊蓉杏"</f>
        <v>樊蓉杏</v>
      </c>
      <c r="C672" s="9" t="str">
        <f t="shared" si="53"/>
        <v>女</v>
      </c>
      <c r="D672" s="9" t="str">
        <f>"汉族"</f>
        <v>汉族</v>
      </c>
      <c r="E672" s="9" t="str">
        <f>"20220012310"</f>
        <v>20220012310</v>
      </c>
      <c r="F672" s="9">
        <v>0</v>
      </c>
      <c r="G672" s="9"/>
      <c r="H672" s="9">
        <f t="shared" si="54"/>
        <v>0</v>
      </c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SheetLayoutView="100" workbookViewId="0" topLeftCell="A1">
      <selection activeCell="G2" sqref="G2"/>
    </sheetView>
  </sheetViews>
  <sheetFormatPr defaultColWidth="9.00390625" defaultRowHeight="24.75" customHeight="1"/>
  <cols>
    <col min="1" max="1" width="5.625" style="3" customWidth="1"/>
    <col min="2" max="2" width="9.00390625" style="3" customWidth="1"/>
    <col min="3" max="3" width="7.125" style="3" customWidth="1"/>
    <col min="4" max="4" width="8.625" style="3" customWidth="1"/>
    <col min="5" max="5" width="14.50390625" style="3" customWidth="1"/>
    <col min="6" max="7" width="9.00390625" style="5" customWidth="1"/>
    <col min="8" max="8" width="10.125" style="3" customWidth="1"/>
    <col min="9" max="194" width="9.00390625" style="3" customWidth="1"/>
    <col min="195" max="16384" width="9.00390625" style="4" customWidth="1"/>
  </cols>
  <sheetData>
    <row r="1" spans="1:256" s="1" customFormat="1" ht="24.75" customHeight="1">
      <c r="A1" s="6" t="s">
        <v>9</v>
      </c>
      <c r="B1" s="7"/>
      <c r="C1" s="7"/>
      <c r="D1" s="7"/>
      <c r="E1" s="7"/>
      <c r="F1" s="7"/>
      <c r="G1" s="7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2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10</v>
      </c>
      <c r="G2" s="8" t="s">
        <v>7</v>
      </c>
      <c r="H2" s="8" t="s">
        <v>8</v>
      </c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19" s="3" customFormat="1" ht="24.75" customHeight="1">
      <c r="A3" s="9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>
        <v>63</v>
      </c>
      <c r="G3" s="9"/>
      <c r="H3" s="9">
        <f aca="true" t="shared" si="0" ref="H3:H66">F3+G3</f>
        <v>63</v>
      </c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</row>
    <row r="4" spans="1:219" s="3" customFormat="1" ht="24.75" customHeight="1">
      <c r="A4" s="9">
        <v>2</v>
      </c>
      <c r="B4" s="9" t="s">
        <v>15</v>
      </c>
      <c r="C4" s="9" t="s">
        <v>12</v>
      </c>
      <c r="D4" s="9" t="s">
        <v>13</v>
      </c>
      <c r="E4" s="9" t="s">
        <v>16</v>
      </c>
      <c r="F4" s="9">
        <v>44</v>
      </c>
      <c r="G4" s="9"/>
      <c r="H4" s="9">
        <f t="shared" si="0"/>
        <v>44</v>
      </c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</row>
    <row r="5" spans="1:219" s="3" customFormat="1" ht="24.75" customHeight="1">
      <c r="A5" s="9">
        <v>3</v>
      </c>
      <c r="B5" s="9" t="s">
        <v>17</v>
      </c>
      <c r="C5" s="9" t="s">
        <v>12</v>
      </c>
      <c r="D5" s="9" t="s">
        <v>13</v>
      </c>
      <c r="E5" s="9" t="s">
        <v>18</v>
      </c>
      <c r="F5" s="9">
        <v>47</v>
      </c>
      <c r="G5" s="9"/>
      <c r="H5" s="9">
        <f t="shared" si="0"/>
        <v>47</v>
      </c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</row>
    <row r="6" spans="1:219" s="3" customFormat="1" ht="24.75" customHeight="1">
      <c r="A6" s="9">
        <v>4</v>
      </c>
      <c r="B6" s="9" t="s">
        <v>19</v>
      </c>
      <c r="C6" s="9" t="s">
        <v>12</v>
      </c>
      <c r="D6" s="9" t="s">
        <v>13</v>
      </c>
      <c r="E6" s="9" t="s">
        <v>20</v>
      </c>
      <c r="F6" s="9">
        <v>29</v>
      </c>
      <c r="G6" s="9"/>
      <c r="H6" s="9">
        <f t="shared" si="0"/>
        <v>29</v>
      </c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</row>
    <row r="7" spans="1:219" s="3" customFormat="1" ht="24.75" customHeight="1">
      <c r="A7" s="9">
        <v>5</v>
      </c>
      <c r="B7" s="9" t="s">
        <v>21</v>
      </c>
      <c r="C7" s="9" t="s">
        <v>12</v>
      </c>
      <c r="D7" s="9" t="s">
        <v>13</v>
      </c>
      <c r="E7" s="9" t="s">
        <v>22</v>
      </c>
      <c r="F7" s="9">
        <v>51</v>
      </c>
      <c r="G7" s="9"/>
      <c r="H7" s="9">
        <f t="shared" si="0"/>
        <v>51</v>
      </c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</row>
    <row r="8" spans="1:219" s="3" customFormat="1" ht="24.75" customHeight="1">
      <c r="A8" s="9">
        <v>6</v>
      </c>
      <c r="B8" s="9" t="s">
        <v>23</v>
      </c>
      <c r="C8" s="9" t="s">
        <v>12</v>
      </c>
      <c r="D8" s="9" t="s">
        <v>13</v>
      </c>
      <c r="E8" s="9" t="s">
        <v>24</v>
      </c>
      <c r="F8" s="9">
        <v>47</v>
      </c>
      <c r="G8" s="9"/>
      <c r="H8" s="9">
        <f t="shared" si="0"/>
        <v>47</v>
      </c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</row>
    <row r="9" spans="1:219" s="3" customFormat="1" ht="24.75" customHeight="1">
      <c r="A9" s="9">
        <v>7</v>
      </c>
      <c r="B9" s="9" t="s">
        <v>25</v>
      </c>
      <c r="C9" s="9" t="s">
        <v>12</v>
      </c>
      <c r="D9" s="9" t="s">
        <v>13</v>
      </c>
      <c r="E9" s="9" t="s">
        <v>26</v>
      </c>
      <c r="F9" s="9">
        <v>60</v>
      </c>
      <c r="G9" s="9"/>
      <c r="H9" s="9">
        <f t="shared" si="0"/>
        <v>60</v>
      </c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</row>
    <row r="10" spans="1:219" s="3" customFormat="1" ht="24.75" customHeight="1">
      <c r="A10" s="9">
        <v>8</v>
      </c>
      <c r="B10" s="9" t="s">
        <v>27</v>
      </c>
      <c r="C10" s="9" t="s">
        <v>12</v>
      </c>
      <c r="D10" s="9" t="s">
        <v>13</v>
      </c>
      <c r="E10" s="9" t="s">
        <v>28</v>
      </c>
      <c r="F10" s="9">
        <v>40</v>
      </c>
      <c r="G10" s="9"/>
      <c r="H10" s="9">
        <f t="shared" si="0"/>
        <v>40</v>
      </c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</row>
    <row r="11" spans="1:219" s="3" customFormat="1" ht="24.75" customHeight="1">
      <c r="A11" s="9">
        <v>9</v>
      </c>
      <c r="B11" s="9" t="s">
        <v>29</v>
      </c>
      <c r="C11" s="9" t="s">
        <v>12</v>
      </c>
      <c r="D11" s="9" t="s">
        <v>30</v>
      </c>
      <c r="E11" s="9" t="s">
        <v>31</v>
      </c>
      <c r="F11" s="9">
        <v>65</v>
      </c>
      <c r="G11" s="9"/>
      <c r="H11" s="9">
        <f t="shared" si="0"/>
        <v>65</v>
      </c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</row>
    <row r="12" spans="1:219" s="3" customFormat="1" ht="24.75" customHeight="1">
      <c r="A12" s="9">
        <v>10</v>
      </c>
      <c r="B12" s="9" t="s">
        <v>32</v>
      </c>
      <c r="C12" s="9" t="s">
        <v>12</v>
      </c>
      <c r="D12" s="9" t="s">
        <v>33</v>
      </c>
      <c r="E12" s="9" t="s">
        <v>34</v>
      </c>
      <c r="F12" s="9">
        <v>26</v>
      </c>
      <c r="G12" s="9">
        <v>2.5</v>
      </c>
      <c r="H12" s="9">
        <f t="shared" si="0"/>
        <v>28.5</v>
      </c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</row>
    <row r="13" spans="1:219" s="3" customFormat="1" ht="24.75" customHeight="1">
      <c r="A13" s="9">
        <v>11</v>
      </c>
      <c r="B13" s="9" t="s">
        <v>35</v>
      </c>
      <c r="C13" s="9" t="s">
        <v>12</v>
      </c>
      <c r="D13" s="9" t="s">
        <v>13</v>
      </c>
      <c r="E13" s="9" t="s">
        <v>36</v>
      </c>
      <c r="F13" s="9">
        <v>0</v>
      </c>
      <c r="G13" s="9"/>
      <c r="H13" s="9">
        <f t="shared" si="0"/>
        <v>0</v>
      </c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</row>
    <row r="14" spans="1:219" s="3" customFormat="1" ht="24.75" customHeight="1">
      <c r="A14" s="9">
        <v>12</v>
      </c>
      <c r="B14" s="9" t="s">
        <v>37</v>
      </c>
      <c r="C14" s="9" t="s">
        <v>12</v>
      </c>
      <c r="D14" s="9" t="s">
        <v>13</v>
      </c>
      <c r="E14" s="9" t="s">
        <v>38</v>
      </c>
      <c r="F14" s="9">
        <v>63</v>
      </c>
      <c r="G14" s="9"/>
      <c r="H14" s="9">
        <f t="shared" si="0"/>
        <v>63</v>
      </c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</row>
    <row r="15" spans="1:219" s="3" customFormat="1" ht="24.75" customHeight="1">
      <c r="A15" s="9">
        <v>13</v>
      </c>
      <c r="B15" s="9" t="s">
        <v>39</v>
      </c>
      <c r="C15" s="9" t="s">
        <v>12</v>
      </c>
      <c r="D15" s="9" t="s">
        <v>13</v>
      </c>
      <c r="E15" s="9" t="s">
        <v>40</v>
      </c>
      <c r="F15" s="9">
        <v>48</v>
      </c>
      <c r="G15" s="9"/>
      <c r="H15" s="9">
        <f t="shared" si="0"/>
        <v>48</v>
      </c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</row>
    <row r="16" spans="1:219" s="3" customFormat="1" ht="24.75" customHeight="1">
      <c r="A16" s="9">
        <v>14</v>
      </c>
      <c r="B16" s="9" t="s">
        <v>41</v>
      </c>
      <c r="C16" s="9" t="s">
        <v>12</v>
      </c>
      <c r="D16" s="9" t="s">
        <v>13</v>
      </c>
      <c r="E16" s="9" t="s">
        <v>42</v>
      </c>
      <c r="F16" s="9">
        <v>35</v>
      </c>
      <c r="G16" s="9"/>
      <c r="H16" s="9">
        <f t="shared" si="0"/>
        <v>35</v>
      </c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</row>
    <row r="17" spans="1:219" s="3" customFormat="1" ht="24.75" customHeight="1">
      <c r="A17" s="9">
        <v>15</v>
      </c>
      <c r="B17" s="9" t="s">
        <v>43</v>
      </c>
      <c r="C17" s="9" t="s">
        <v>12</v>
      </c>
      <c r="D17" s="9" t="s">
        <v>13</v>
      </c>
      <c r="E17" s="9" t="s">
        <v>44</v>
      </c>
      <c r="F17" s="9">
        <v>17</v>
      </c>
      <c r="G17" s="9"/>
      <c r="H17" s="9">
        <f t="shared" si="0"/>
        <v>17</v>
      </c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</row>
    <row r="18" spans="1:219" s="3" customFormat="1" ht="24.75" customHeight="1">
      <c r="A18" s="9">
        <v>16</v>
      </c>
      <c r="B18" s="9" t="s">
        <v>45</v>
      </c>
      <c r="C18" s="9" t="s">
        <v>12</v>
      </c>
      <c r="D18" s="9" t="s">
        <v>13</v>
      </c>
      <c r="E18" s="9" t="s">
        <v>46</v>
      </c>
      <c r="F18" s="9">
        <v>55</v>
      </c>
      <c r="G18" s="9"/>
      <c r="H18" s="9">
        <f t="shared" si="0"/>
        <v>55</v>
      </c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</row>
    <row r="19" spans="1:219" s="3" customFormat="1" ht="24.75" customHeight="1">
      <c r="A19" s="9">
        <v>17</v>
      </c>
      <c r="B19" s="9" t="s">
        <v>47</v>
      </c>
      <c r="C19" s="9" t="s">
        <v>12</v>
      </c>
      <c r="D19" s="9" t="s">
        <v>13</v>
      </c>
      <c r="E19" s="9" t="s">
        <v>48</v>
      </c>
      <c r="F19" s="9">
        <v>40</v>
      </c>
      <c r="G19" s="9"/>
      <c r="H19" s="9">
        <f t="shared" si="0"/>
        <v>40</v>
      </c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</row>
    <row r="20" spans="1:219" s="3" customFormat="1" ht="24.75" customHeight="1">
      <c r="A20" s="9">
        <v>18</v>
      </c>
      <c r="B20" s="9" t="s">
        <v>49</v>
      </c>
      <c r="C20" s="9" t="s">
        <v>12</v>
      </c>
      <c r="D20" s="9" t="s">
        <v>13</v>
      </c>
      <c r="E20" s="9" t="s">
        <v>50</v>
      </c>
      <c r="F20" s="9">
        <v>62</v>
      </c>
      <c r="G20" s="9"/>
      <c r="H20" s="9">
        <f t="shared" si="0"/>
        <v>62</v>
      </c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</row>
    <row r="21" spans="1:219" s="3" customFormat="1" ht="24.75" customHeight="1">
      <c r="A21" s="9">
        <v>19</v>
      </c>
      <c r="B21" s="9" t="s">
        <v>51</v>
      </c>
      <c r="C21" s="9" t="s">
        <v>12</v>
      </c>
      <c r="D21" s="9" t="s">
        <v>13</v>
      </c>
      <c r="E21" s="9" t="s">
        <v>52</v>
      </c>
      <c r="F21" s="9">
        <v>65</v>
      </c>
      <c r="G21" s="9"/>
      <c r="H21" s="9">
        <f t="shared" si="0"/>
        <v>65</v>
      </c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</row>
    <row r="22" spans="1:219" s="3" customFormat="1" ht="24.75" customHeight="1">
      <c r="A22" s="9">
        <v>20</v>
      </c>
      <c r="B22" s="9" t="s">
        <v>53</v>
      </c>
      <c r="C22" s="9" t="s">
        <v>12</v>
      </c>
      <c r="D22" s="9" t="s">
        <v>13</v>
      </c>
      <c r="E22" s="9" t="s">
        <v>54</v>
      </c>
      <c r="F22" s="9">
        <v>43</v>
      </c>
      <c r="G22" s="9"/>
      <c r="H22" s="9">
        <f t="shared" si="0"/>
        <v>43</v>
      </c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</row>
    <row r="23" spans="1:219" s="3" customFormat="1" ht="24.75" customHeight="1">
      <c r="A23" s="9">
        <v>21</v>
      </c>
      <c r="B23" s="9" t="s">
        <v>55</v>
      </c>
      <c r="C23" s="9" t="s">
        <v>12</v>
      </c>
      <c r="D23" s="9" t="s">
        <v>13</v>
      </c>
      <c r="E23" s="9" t="s">
        <v>56</v>
      </c>
      <c r="F23" s="9">
        <v>39</v>
      </c>
      <c r="G23" s="9"/>
      <c r="H23" s="9">
        <f t="shared" si="0"/>
        <v>39</v>
      </c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</row>
    <row r="24" spans="1:219" s="3" customFormat="1" ht="24.75" customHeight="1">
      <c r="A24" s="9">
        <v>22</v>
      </c>
      <c r="B24" s="9" t="s">
        <v>57</v>
      </c>
      <c r="C24" s="9" t="s">
        <v>12</v>
      </c>
      <c r="D24" s="9" t="s">
        <v>13</v>
      </c>
      <c r="E24" s="9" t="s">
        <v>58</v>
      </c>
      <c r="F24" s="9">
        <v>54</v>
      </c>
      <c r="G24" s="9"/>
      <c r="H24" s="9">
        <f t="shared" si="0"/>
        <v>54</v>
      </c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</row>
    <row r="25" spans="1:219" s="3" customFormat="1" ht="24.75" customHeight="1">
      <c r="A25" s="9">
        <v>23</v>
      </c>
      <c r="B25" s="9" t="s">
        <v>59</v>
      </c>
      <c r="C25" s="9" t="s">
        <v>12</v>
      </c>
      <c r="D25" s="9" t="s">
        <v>13</v>
      </c>
      <c r="E25" s="9" t="s">
        <v>60</v>
      </c>
      <c r="F25" s="9">
        <v>73</v>
      </c>
      <c r="G25" s="9"/>
      <c r="H25" s="9">
        <f t="shared" si="0"/>
        <v>73</v>
      </c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</row>
    <row r="26" spans="1:219" s="3" customFormat="1" ht="24.75" customHeight="1">
      <c r="A26" s="9">
        <v>24</v>
      </c>
      <c r="B26" s="9" t="s">
        <v>61</v>
      </c>
      <c r="C26" s="9" t="s">
        <v>12</v>
      </c>
      <c r="D26" s="9" t="s">
        <v>33</v>
      </c>
      <c r="E26" s="9" t="s">
        <v>62</v>
      </c>
      <c r="F26" s="9">
        <v>41</v>
      </c>
      <c r="G26" s="9">
        <v>2.5</v>
      </c>
      <c r="H26" s="9">
        <f t="shared" si="0"/>
        <v>43.5</v>
      </c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</row>
    <row r="27" spans="1:219" s="3" customFormat="1" ht="24.75" customHeight="1">
      <c r="A27" s="9">
        <v>25</v>
      </c>
      <c r="B27" s="9" t="s">
        <v>63</v>
      </c>
      <c r="C27" s="9" t="s">
        <v>12</v>
      </c>
      <c r="D27" s="9" t="s">
        <v>33</v>
      </c>
      <c r="E27" s="9" t="s">
        <v>64</v>
      </c>
      <c r="F27" s="9">
        <v>39</v>
      </c>
      <c r="G27" s="9">
        <v>2.5</v>
      </c>
      <c r="H27" s="9">
        <f t="shared" si="0"/>
        <v>41.5</v>
      </c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</row>
    <row r="28" spans="1:219" s="3" customFormat="1" ht="24.75" customHeight="1">
      <c r="A28" s="9">
        <v>26</v>
      </c>
      <c r="B28" s="9" t="s">
        <v>65</v>
      </c>
      <c r="C28" s="9" t="s">
        <v>12</v>
      </c>
      <c r="D28" s="9" t="s">
        <v>13</v>
      </c>
      <c r="E28" s="9" t="s">
        <v>66</v>
      </c>
      <c r="F28" s="9">
        <v>50</v>
      </c>
      <c r="G28" s="9"/>
      <c r="H28" s="9">
        <f t="shared" si="0"/>
        <v>50</v>
      </c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</row>
    <row r="29" spans="1:219" s="3" customFormat="1" ht="24.75" customHeight="1">
      <c r="A29" s="9">
        <v>27</v>
      </c>
      <c r="B29" s="9" t="s">
        <v>67</v>
      </c>
      <c r="C29" s="9" t="s">
        <v>12</v>
      </c>
      <c r="D29" s="9" t="s">
        <v>13</v>
      </c>
      <c r="E29" s="9" t="s">
        <v>68</v>
      </c>
      <c r="F29" s="9">
        <v>51</v>
      </c>
      <c r="G29" s="9"/>
      <c r="H29" s="9">
        <f t="shared" si="0"/>
        <v>51</v>
      </c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</row>
    <row r="30" spans="1:219" s="3" customFormat="1" ht="24.75" customHeight="1">
      <c r="A30" s="9">
        <v>28</v>
      </c>
      <c r="B30" s="9" t="s">
        <v>69</v>
      </c>
      <c r="C30" s="9" t="s">
        <v>12</v>
      </c>
      <c r="D30" s="9" t="s">
        <v>33</v>
      </c>
      <c r="E30" s="9" t="s">
        <v>70</v>
      </c>
      <c r="F30" s="9">
        <v>56</v>
      </c>
      <c r="G30" s="9">
        <v>2.5</v>
      </c>
      <c r="H30" s="9">
        <f t="shared" si="0"/>
        <v>58.5</v>
      </c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</row>
    <row r="31" spans="1:219" s="3" customFormat="1" ht="24.75" customHeight="1">
      <c r="A31" s="9">
        <v>29</v>
      </c>
      <c r="B31" s="9" t="s">
        <v>71</v>
      </c>
      <c r="C31" s="9" t="s">
        <v>12</v>
      </c>
      <c r="D31" s="9" t="s">
        <v>13</v>
      </c>
      <c r="E31" s="9" t="s">
        <v>72</v>
      </c>
      <c r="F31" s="9">
        <v>53</v>
      </c>
      <c r="G31" s="9"/>
      <c r="H31" s="9">
        <f t="shared" si="0"/>
        <v>53</v>
      </c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</row>
    <row r="32" spans="1:219" s="3" customFormat="1" ht="24.75" customHeight="1">
      <c r="A32" s="9">
        <v>30</v>
      </c>
      <c r="B32" s="9" t="s">
        <v>73</v>
      </c>
      <c r="C32" s="9" t="s">
        <v>12</v>
      </c>
      <c r="D32" s="9" t="s">
        <v>13</v>
      </c>
      <c r="E32" s="9" t="s">
        <v>74</v>
      </c>
      <c r="F32" s="9">
        <v>59</v>
      </c>
      <c r="G32" s="9"/>
      <c r="H32" s="9">
        <f t="shared" si="0"/>
        <v>59</v>
      </c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</row>
    <row r="33" spans="1:219" s="3" customFormat="1" ht="24.75" customHeight="1">
      <c r="A33" s="9">
        <v>31</v>
      </c>
      <c r="B33" s="9" t="s">
        <v>75</v>
      </c>
      <c r="C33" s="9" t="s">
        <v>12</v>
      </c>
      <c r="D33" s="9" t="s">
        <v>33</v>
      </c>
      <c r="E33" s="9" t="s">
        <v>76</v>
      </c>
      <c r="F33" s="9">
        <v>67</v>
      </c>
      <c r="G33" s="9">
        <v>2.5</v>
      </c>
      <c r="H33" s="9">
        <f t="shared" si="0"/>
        <v>69.5</v>
      </c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</row>
    <row r="34" spans="1:219" s="3" customFormat="1" ht="24.75" customHeight="1">
      <c r="A34" s="9">
        <v>32</v>
      </c>
      <c r="B34" s="9" t="s">
        <v>77</v>
      </c>
      <c r="C34" s="9" t="s">
        <v>12</v>
      </c>
      <c r="D34" s="9" t="s">
        <v>13</v>
      </c>
      <c r="E34" s="9" t="s">
        <v>78</v>
      </c>
      <c r="F34" s="9">
        <v>36</v>
      </c>
      <c r="G34" s="9"/>
      <c r="H34" s="9">
        <f t="shared" si="0"/>
        <v>36</v>
      </c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</row>
    <row r="35" spans="1:219" s="3" customFormat="1" ht="24.75" customHeight="1">
      <c r="A35" s="9">
        <v>33</v>
      </c>
      <c r="B35" s="9" t="s">
        <v>79</v>
      </c>
      <c r="C35" s="9" t="s">
        <v>12</v>
      </c>
      <c r="D35" s="9" t="s">
        <v>13</v>
      </c>
      <c r="E35" s="9" t="s">
        <v>80</v>
      </c>
      <c r="F35" s="9">
        <v>59</v>
      </c>
      <c r="G35" s="9"/>
      <c r="H35" s="9">
        <f t="shared" si="0"/>
        <v>59</v>
      </c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</row>
    <row r="36" spans="1:219" s="3" customFormat="1" ht="24.75" customHeight="1">
      <c r="A36" s="9">
        <v>34</v>
      </c>
      <c r="B36" s="9" t="s">
        <v>81</v>
      </c>
      <c r="C36" s="9" t="s">
        <v>12</v>
      </c>
      <c r="D36" s="9" t="s">
        <v>13</v>
      </c>
      <c r="E36" s="9" t="s">
        <v>82</v>
      </c>
      <c r="F36" s="9">
        <v>0</v>
      </c>
      <c r="G36" s="9"/>
      <c r="H36" s="9">
        <f t="shared" si="0"/>
        <v>0</v>
      </c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</row>
    <row r="37" spans="1:219" s="3" customFormat="1" ht="24.75" customHeight="1">
      <c r="A37" s="9">
        <v>35</v>
      </c>
      <c r="B37" s="9" t="s">
        <v>83</v>
      </c>
      <c r="C37" s="9" t="s">
        <v>12</v>
      </c>
      <c r="D37" s="9" t="s">
        <v>13</v>
      </c>
      <c r="E37" s="9" t="s">
        <v>84</v>
      </c>
      <c r="F37" s="9">
        <v>34</v>
      </c>
      <c r="G37" s="9"/>
      <c r="H37" s="9">
        <f t="shared" si="0"/>
        <v>34</v>
      </c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</row>
    <row r="38" spans="1:219" s="3" customFormat="1" ht="24.75" customHeight="1">
      <c r="A38" s="9">
        <v>36</v>
      </c>
      <c r="B38" s="9" t="s">
        <v>85</v>
      </c>
      <c r="C38" s="9" t="s">
        <v>12</v>
      </c>
      <c r="D38" s="9" t="s">
        <v>13</v>
      </c>
      <c r="E38" s="9" t="s">
        <v>86</v>
      </c>
      <c r="F38" s="9">
        <v>0</v>
      </c>
      <c r="G38" s="9"/>
      <c r="H38" s="9">
        <f t="shared" si="0"/>
        <v>0</v>
      </c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</row>
    <row r="39" spans="1:219" s="3" customFormat="1" ht="24.75" customHeight="1">
      <c r="A39" s="9">
        <v>37</v>
      </c>
      <c r="B39" s="9" t="s">
        <v>87</v>
      </c>
      <c r="C39" s="9" t="s">
        <v>12</v>
      </c>
      <c r="D39" s="9" t="s">
        <v>13</v>
      </c>
      <c r="E39" s="9" t="s">
        <v>88</v>
      </c>
      <c r="F39" s="9">
        <v>34</v>
      </c>
      <c r="G39" s="9"/>
      <c r="H39" s="9">
        <f t="shared" si="0"/>
        <v>34</v>
      </c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</row>
    <row r="40" spans="1:219" s="3" customFormat="1" ht="24.75" customHeight="1">
      <c r="A40" s="9">
        <v>38</v>
      </c>
      <c r="B40" s="9" t="s">
        <v>89</v>
      </c>
      <c r="C40" s="9" t="s">
        <v>12</v>
      </c>
      <c r="D40" s="9" t="s">
        <v>13</v>
      </c>
      <c r="E40" s="9" t="s">
        <v>90</v>
      </c>
      <c r="F40" s="9">
        <v>61</v>
      </c>
      <c r="G40" s="9"/>
      <c r="H40" s="9">
        <f t="shared" si="0"/>
        <v>61</v>
      </c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</row>
    <row r="41" spans="1:219" s="3" customFormat="1" ht="24.75" customHeight="1">
      <c r="A41" s="9">
        <v>39</v>
      </c>
      <c r="B41" s="9" t="s">
        <v>91</v>
      </c>
      <c r="C41" s="9" t="s">
        <v>12</v>
      </c>
      <c r="D41" s="9" t="s">
        <v>13</v>
      </c>
      <c r="E41" s="9" t="s">
        <v>92</v>
      </c>
      <c r="F41" s="9">
        <v>35</v>
      </c>
      <c r="G41" s="9"/>
      <c r="H41" s="9">
        <f t="shared" si="0"/>
        <v>35</v>
      </c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</row>
    <row r="42" spans="1:219" s="3" customFormat="1" ht="24.75" customHeight="1">
      <c r="A42" s="9">
        <v>40</v>
      </c>
      <c r="B42" s="9" t="s">
        <v>93</v>
      </c>
      <c r="C42" s="9" t="s">
        <v>12</v>
      </c>
      <c r="D42" s="9" t="s">
        <v>13</v>
      </c>
      <c r="E42" s="9" t="s">
        <v>94</v>
      </c>
      <c r="F42" s="9">
        <v>67</v>
      </c>
      <c r="G42" s="9"/>
      <c r="H42" s="9">
        <f t="shared" si="0"/>
        <v>67</v>
      </c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</row>
    <row r="43" spans="1:219" s="3" customFormat="1" ht="24.75" customHeight="1">
      <c r="A43" s="9">
        <v>41</v>
      </c>
      <c r="B43" s="9" t="s">
        <v>95</v>
      </c>
      <c r="C43" s="9" t="s">
        <v>12</v>
      </c>
      <c r="D43" s="9" t="s">
        <v>13</v>
      </c>
      <c r="E43" s="9" t="s">
        <v>96</v>
      </c>
      <c r="F43" s="9">
        <v>0</v>
      </c>
      <c r="G43" s="9"/>
      <c r="H43" s="9">
        <f t="shared" si="0"/>
        <v>0</v>
      </c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</row>
    <row r="44" spans="1:219" s="3" customFormat="1" ht="24.75" customHeight="1">
      <c r="A44" s="9">
        <v>42</v>
      </c>
      <c r="B44" s="9" t="s">
        <v>97</v>
      </c>
      <c r="C44" s="9" t="s">
        <v>12</v>
      </c>
      <c r="D44" s="9" t="s">
        <v>13</v>
      </c>
      <c r="E44" s="9" t="s">
        <v>98</v>
      </c>
      <c r="F44" s="9">
        <v>60</v>
      </c>
      <c r="G44" s="9"/>
      <c r="H44" s="9">
        <f t="shared" si="0"/>
        <v>60</v>
      </c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</row>
    <row r="45" spans="1:219" s="3" customFormat="1" ht="24.75" customHeight="1">
      <c r="A45" s="9">
        <v>43</v>
      </c>
      <c r="B45" s="9" t="s">
        <v>99</v>
      </c>
      <c r="C45" s="9" t="s">
        <v>12</v>
      </c>
      <c r="D45" s="9" t="s">
        <v>13</v>
      </c>
      <c r="E45" s="9" t="s">
        <v>100</v>
      </c>
      <c r="F45" s="9">
        <v>42</v>
      </c>
      <c r="G45" s="9"/>
      <c r="H45" s="9">
        <f t="shared" si="0"/>
        <v>42</v>
      </c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</row>
    <row r="46" spans="1:219" s="3" customFormat="1" ht="24.75" customHeight="1">
      <c r="A46" s="9">
        <v>44</v>
      </c>
      <c r="B46" s="9" t="s">
        <v>101</v>
      </c>
      <c r="C46" s="9" t="s">
        <v>12</v>
      </c>
      <c r="D46" s="9" t="s">
        <v>13</v>
      </c>
      <c r="E46" s="9" t="s">
        <v>102</v>
      </c>
      <c r="F46" s="9">
        <v>51</v>
      </c>
      <c r="G46" s="9"/>
      <c r="H46" s="9">
        <f t="shared" si="0"/>
        <v>51</v>
      </c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</row>
    <row r="47" spans="1:219" s="3" customFormat="1" ht="24.75" customHeight="1">
      <c r="A47" s="9">
        <v>45</v>
      </c>
      <c r="B47" s="9" t="s">
        <v>103</v>
      </c>
      <c r="C47" s="9" t="s">
        <v>12</v>
      </c>
      <c r="D47" s="9" t="s">
        <v>13</v>
      </c>
      <c r="E47" s="9" t="s">
        <v>104</v>
      </c>
      <c r="F47" s="9">
        <v>24</v>
      </c>
      <c r="G47" s="9"/>
      <c r="H47" s="9">
        <f t="shared" si="0"/>
        <v>24</v>
      </c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</row>
    <row r="48" spans="1:219" s="3" customFormat="1" ht="24.75" customHeight="1">
      <c r="A48" s="9">
        <v>46</v>
      </c>
      <c r="B48" s="9" t="s">
        <v>105</v>
      </c>
      <c r="C48" s="9" t="s">
        <v>12</v>
      </c>
      <c r="D48" s="9" t="s">
        <v>33</v>
      </c>
      <c r="E48" s="9" t="s">
        <v>106</v>
      </c>
      <c r="F48" s="9">
        <v>43</v>
      </c>
      <c r="G48" s="9">
        <v>2.5</v>
      </c>
      <c r="H48" s="9">
        <f t="shared" si="0"/>
        <v>45.5</v>
      </c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</row>
    <row r="49" spans="1:219" s="3" customFormat="1" ht="24.75" customHeight="1">
      <c r="A49" s="9">
        <v>47</v>
      </c>
      <c r="B49" s="9" t="s">
        <v>107</v>
      </c>
      <c r="C49" s="9" t="s">
        <v>12</v>
      </c>
      <c r="D49" s="9" t="s">
        <v>13</v>
      </c>
      <c r="E49" s="9" t="s">
        <v>108</v>
      </c>
      <c r="F49" s="9">
        <v>35</v>
      </c>
      <c r="G49" s="9"/>
      <c r="H49" s="9">
        <f t="shared" si="0"/>
        <v>35</v>
      </c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</row>
    <row r="50" spans="1:219" s="3" customFormat="1" ht="24.75" customHeight="1">
      <c r="A50" s="9">
        <v>48</v>
      </c>
      <c r="B50" s="9" t="s">
        <v>109</v>
      </c>
      <c r="C50" s="9" t="s">
        <v>12</v>
      </c>
      <c r="D50" s="9" t="s">
        <v>33</v>
      </c>
      <c r="E50" s="9" t="s">
        <v>110</v>
      </c>
      <c r="F50" s="9">
        <v>67</v>
      </c>
      <c r="G50" s="9">
        <v>2.5</v>
      </c>
      <c r="H50" s="9">
        <f t="shared" si="0"/>
        <v>69.5</v>
      </c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</row>
    <row r="51" spans="1:219" s="3" customFormat="1" ht="24.75" customHeight="1">
      <c r="A51" s="9">
        <v>49</v>
      </c>
      <c r="B51" s="9" t="s">
        <v>111</v>
      </c>
      <c r="C51" s="9" t="s">
        <v>12</v>
      </c>
      <c r="D51" s="9" t="s">
        <v>13</v>
      </c>
      <c r="E51" s="9" t="s">
        <v>112</v>
      </c>
      <c r="F51" s="9">
        <v>38</v>
      </c>
      <c r="G51" s="9"/>
      <c r="H51" s="9">
        <f t="shared" si="0"/>
        <v>38</v>
      </c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</row>
    <row r="52" spans="1:219" s="3" customFormat="1" ht="24.75" customHeight="1">
      <c r="A52" s="9">
        <v>50</v>
      </c>
      <c r="B52" s="9" t="s">
        <v>113</v>
      </c>
      <c r="C52" s="9" t="s">
        <v>12</v>
      </c>
      <c r="D52" s="9" t="s">
        <v>13</v>
      </c>
      <c r="E52" s="9" t="s">
        <v>114</v>
      </c>
      <c r="F52" s="9">
        <v>36</v>
      </c>
      <c r="G52" s="9"/>
      <c r="H52" s="9">
        <f t="shared" si="0"/>
        <v>36</v>
      </c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</row>
    <row r="53" spans="1:219" s="3" customFormat="1" ht="24.75" customHeight="1">
      <c r="A53" s="9">
        <v>51</v>
      </c>
      <c r="B53" s="9" t="s">
        <v>115</v>
      </c>
      <c r="C53" s="9" t="s">
        <v>12</v>
      </c>
      <c r="D53" s="9" t="s">
        <v>13</v>
      </c>
      <c r="E53" s="9" t="s">
        <v>116</v>
      </c>
      <c r="F53" s="9">
        <v>54</v>
      </c>
      <c r="G53" s="9"/>
      <c r="H53" s="9">
        <f t="shared" si="0"/>
        <v>54</v>
      </c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</row>
    <row r="54" spans="1:219" s="3" customFormat="1" ht="24.75" customHeight="1">
      <c r="A54" s="9">
        <v>52</v>
      </c>
      <c r="B54" s="9" t="s">
        <v>117</v>
      </c>
      <c r="C54" s="9" t="s">
        <v>12</v>
      </c>
      <c r="D54" s="9" t="s">
        <v>13</v>
      </c>
      <c r="E54" s="9" t="s">
        <v>118</v>
      </c>
      <c r="F54" s="9">
        <v>70</v>
      </c>
      <c r="G54" s="9"/>
      <c r="H54" s="9">
        <f t="shared" si="0"/>
        <v>70</v>
      </c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</row>
    <row r="55" spans="1:219" s="3" customFormat="1" ht="24.75" customHeight="1">
      <c r="A55" s="9">
        <v>53</v>
      </c>
      <c r="B55" s="9" t="s">
        <v>119</v>
      </c>
      <c r="C55" s="9" t="s">
        <v>12</v>
      </c>
      <c r="D55" s="9" t="s">
        <v>13</v>
      </c>
      <c r="E55" s="9" t="s">
        <v>120</v>
      </c>
      <c r="F55" s="9">
        <v>53</v>
      </c>
      <c r="G55" s="9"/>
      <c r="H55" s="9">
        <f t="shared" si="0"/>
        <v>53</v>
      </c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</row>
    <row r="56" spans="1:219" s="3" customFormat="1" ht="24.75" customHeight="1">
      <c r="A56" s="9">
        <v>54</v>
      </c>
      <c r="B56" s="9" t="s">
        <v>121</v>
      </c>
      <c r="C56" s="9" t="s">
        <v>12</v>
      </c>
      <c r="D56" s="9" t="s">
        <v>13</v>
      </c>
      <c r="E56" s="9" t="s">
        <v>122</v>
      </c>
      <c r="F56" s="9">
        <v>26</v>
      </c>
      <c r="G56" s="9"/>
      <c r="H56" s="9">
        <f t="shared" si="0"/>
        <v>26</v>
      </c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</row>
    <row r="57" spans="1:219" s="3" customFormat="1" ht="24.75" customHeight="1">
      <c r="A57" s="9">
        <v>55</v>
      </c>
      <c r="B57" s="9" t="s">
        <v>123</v>
      </c>
      <c r="C57" s="9" t="s">
        <v>12</v>
      </c>
      <c r="D57" s="9" t="s">
        <v>13</v>
      </c>
      <c r="E57" s="9" t="s">
        <v>124</v>
      </c>
      <c r="F57" s="9">
        <v>27</v>
      </c>
      <c r="G57" s="9"/>
      <c r="H57" s="9">
        <f t="shared" si="0"/>
        <v>27</v>
      </c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</row>
    <row r="58" spans="1:219" s="3" customFormat="1" ht="24.75" customHeight="1">
      <c r="A58" s="9">
        <v>56</v>
      </c>
      <c r="B58" s="9" t="s">
        <v>125</v>
      </c>
      <c r="C58" s="9" t="s">
        <v>12</v>
      </c>
      <c r="D58" s="9" t="s">
        <v>33</v>
      </c>
      <c r="E58" s="9" t="s">
        <v>126</v>
      </c>
      <c r="F58" s="9">
        <v>30</v>
      </c>
      <c r="G58" s="9">
        <v>2.5</v>
      </c>
      <c r="H58" s="9">
        <f t="shared" si="0"/>
        <v>32.5</v>
      </c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</row>
    <row r="59" spans="1:219" s="3" customFormat="1" ht="24.75" customHeight="1">
      <c r="A59" s="9">
        <v>57</v>
      </c>
      <c r="B59" s="9" t="s">
        <v>127</v>
      </c>
      <c r="C59" s="9" t="s">
        <v>12</v>
      </c>
      <c r="D59" s="9" t="s">
        <v>13</v>
      </c>
      <c r="E59" s="9" t="s">
        <v>128</v>
      </c>
      <c r="F59" s="9">
        <v>39</v>
      </c>
      <c r="G59" s="9"/>
      <c r="H59" s="9">
        <f t="shared" si="0"/>
        <v>39</v>
      </c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</row>
    <row r="60" spans="1:219" s="3" customFormat="1" ht="24.75" customHeight="1">
      <c r="A60" s="9">
        <v>58</v>
      </c>
      <c r="B60" s="9" t="s">
        <v>129</v>
      </c>
      <c r="C60" s="9" t="s">
        <v>12</v>
      </c>
      <c r="D60" s="9" t="s">
        <v>13</v>
      </c>
      <c r="E60" s="9" t="s">
        <v>130</v>
      </c>
      <c r="F60" s="9">
        <v>52</v>
      </c>
      <c r="G60" s="9"/>
      <c r="H60" s="9">
        <f t="shared" si="0"/>
        <v>52</v>
      </c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</row>
    <row r="61" spans="1:219" s="3" customFormat="1" ht="24.75" customHeight="1">
      <c r="A61" s="9">
        <v>59</v>
      </c>
      <c r="B61" s="9" t="s">
        <v>131</v>
      </c>
      <c r="C61" s="9" t="s">
        <v>12</v>
      </c>
      <c r="D61" s="9" t="s">
        <v>13</v>
      </c>
      <c r="E61" s="9" t="s">
        <v>132</v>
      </c>
      <c r="F61" s="9">
        <v>57</v>
      </c>
      <c r="G61" s="9"/>
      <c r="H61" s="9">
        <f t="shared" si="0"/>
        <v>57</v>
      </c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</row>
    <row r="62" spans="1:219" s="3" customFormat="1" ht="24.75" customHeight="1">
      <c r="A62" s="9">
        <v>60</v>
      </c>
      <c r="B62" s="9" t="s">
        <v>133</v>
      </c>
      <c r="C62" s="9" t="s">
        <v>12</v>
      </c>
      <c r="D62" s="9" t="s">
        <v>13</v>
      </c>
      <c r="E62" s="9" t="s">
        <v>134</v>
      </c>
      <c r="F62" s="9">
        <v>44</v>
      </c>
      <c r="G62" s="9"/>
      <c r="H62" s="9">
        <f t="shared" si="0"/>
        <v>44</v>
      </c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</row>
    <row r="63" spans="1:219" s="3" customFormat="1" ht="24.75" customHeight="1">
      <c r="A63" s="9">
        <v>61</v>
      </c>
      <c r="B63" s="9" t="s">
        <v>135</v>
      </c>
      <c r="C63" s="9" t="s">
        <v>12</v>
      </c>
      <c r="D63" s="9" t="s">
        <v>13</v>
      </c>
      <c r="E63" s="9" t="s">
        <v>136</v>
      </c>
      <c r="F63" s="9">
        <v>48</v>
      </c>
      <c r="G63" s="9"/>
      <c r="H63" s="9">
        <f t="shared" si="0"/>
        <v>48</v>
      </c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</row>
    <row r="64" spans="1:219" s="3" customFormat="1" ht="24.75" customHeight="1">
      <c r="A64" s="9">
        <v>62</v>
      </c>
      <c r="B64" s="9" t="s">
        <v>137</v>
      </c>
      <c r="C64" s="9" t="s">
        <v>12</v>
      </c>
      <c r="D64" s="9" t="s">
        <v>13</v>
      </c>
      <c r="E64" s="9" t="s">
        <v>138</v>
      </c>
      <c r="F64" s="9">
        <v>64</v>
      </c>
      <c r="G64" s="9"/>
      <c r="H64" s="9">
        <f t="shared" si="0"/>
        <v>64</v>
      </c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</row>
    <row r="65" spans="1:219" s="3" customFormat="1" ht="24.75" customHeight="1">
      <c r="A65" s="9">
        <v>63</v>
      </c>
      <c r="B65" s="9" t="s">
        <v>139</v>
      </c>
      <c r="C65" s="9" t="s">
        <v>12</v>
      </c>
      <c r="D65" s="9" t="s">
        <v>13</v>
      </c>
      <c r="E65" s="9" t="s">
        <v>140</v>
      </c>
      <c r="F65" s="9">
        <v>0</v>
      </c>
      <c r="G65" s="9"/>
      <c r="H65" s="9">
        <f t="shared" si="0"/>
        <v>0</v>
      </c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</row>
    <row r="66" spans="1:219" s="3" customFormat="1" ht="24.75" customHeight="1">
      <c r="A66" s="9">
        <v>64</v>
      </c>
      <c r="B66" s="9" t="s">
        <v>141</v>
      </c>
      <c r="C66" s="9" t="s">
        <v>12</v>
      </c>
      <c r="D66" s="9" t="s">
        <v>13</v>
      </c>
      <c r="E66" s="9" t="s">
        <v>142</v>
      </c>
      <c r="F66" s="9">
        <v>57</v>
      </c>
      <c r="G66" s="9"/>
      <c r="H66" s="9">
        <f t="shared" si="0"/>
        <v>57</v>
      </c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</row>
    <row r="67" spans="1:219" s="3" customFormat="1" ht="24.75" customHeight="1">
      <c r="A67" s="9">
        <v>65</v>
      </c>
      <c r="B67" s="9" t="s">
        <v>143</v>
      </c>
      <c r="C67" s="9" t="s">
        <v>12</v>
      </c>
      <c r="D67" s="9" t="s">
        <v>13</v>
      </c>
      <c r="E67" s="9" t="s">
        <v>144</v>
      </c>
      <c r="F67" s="9">
        <v>68</v>
      </c>
      <c r="G67" s="9"/>
      <c r="H67" s="9">
        <f aca="true" t="shared" si="1" ref="H67:H85">F67+G67</f>
        <v>68</v>
      </c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</row>
    <row r="68" spans="1:219" s="3" customFormat="1" ht="24.75" customHeight="1">
      <c r="A68" s="9">
        <v>66</v>
      </c>
      <c r="B68" s="9" t="s">
        <v>145</v>
      </c>
      <c r="C68" s="9" t="s">
        <v>12</v>
      </c>
      <c r="D68" s="9" t="s">
        <v>13</v>
      </c>
      <c r="E68" s="9" t="s">
        <v>146</v>
      </c>
      <c r="F68" s="9">
        <v>0</v>
      </c>
      <c r="G68" s="9"/>
      <c r="H68" s="9">
        <f t="shared" si="1"/>
        <v>0</v>
      </c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</row>
    <row r="69" spans="1:219" s="3" customFormat="1" ht="24.75" customHeight="1">
      <c r="A69" s="9">
        <v>67</v>
      </c>
      <c r="B69" s="9" t="s">
        <v>147</v>
      </c>
      <c r="C69" s="9" t="s">
        <v>12</v>
      </c>
      <c r="D69" s="9" t="s">
        <v>13</v>
      </c>
      <c r="E69" s="9" t="s">
        <v>148</v>
      </c>
      <c r="F69" s="9">
        <v>0</v>
      </c>
      <c r="G69" s="9"/>
      <c r="H69" s="9">
        <f t="shared" si="1"/>
        <v>0</v>
      </c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</row>
    <row r="70" spans="1:219" s="3" customFormat="1" ht="24.75" customHeight="1">
      <c r="A70" s="9">
        <v>68</v>
      </c>
      <c r="B70" s="9" t="s">
        <v>149</v>
      </c>
      <c r="C70" s="9" t="s">
        <v>12</v>
      </c>
      <c r="D70" s="9" t="s">
        <v>13</v>
      </c>
      <c r="E70" s="9" t="s">
        <v>150</v>
      </c>
      <c r="F70" s="9">
        <v>46</v>
      </c>
      <c r="G70" s="9"/>
      <c r="H70" s="9">
        <f t="shared" si="1"/>
        <v>46</v>
      </c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</row>
    <row r="71" spans="1:219" s="3" customFormat="1" ht="24.75" customHeight="1">
      <c r="A71" s="9">
        <v>69</v>
      </c>
      <c r="B71" s="9" t="s">
        <v>151</v>
      </c>
      <c r="C71" s="9" t="s">
        <v>12</v>
      </c>
      <c r="D71" s="9" t="s">
        <v>13</v>
      </c>
      <c r="E71" s="9" t="s">
        <v>152</v>
      </c>
      <c r="F71" s="9">
        <v>47</v>
      </c>
      <c r="G71" s="9"/>
      <c r="H71" s="9">
        <f t="shared" si="1"/>
        <v>47</v>
      </c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</row>
    <row r="72" spans="1:219" s="3" customFormat="1" ht="24.75" customHeight="1">
      <c r="A72" s="9">
        <v>70</v>
      </c>
      <c r="B72" s="9" t="s">
        <v>153</v>
      </c>
      <c r="C72" s="9" t="s">
        <v>12</v>
      </c>
      <c r="D72" s="9" t="s">
        <v>13</v>
      </c>
      <c r="E72" s="9" t="s">
        <v>154</v>
      </c>
      <c r="F72" s="9">
        <v>42</v>
      </c>
      <c r="G72" s="9"/>
      <c r="H72" s="9">
        <f t="shared" si="1"/>
        <v>42</v>
      </c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</row>
    <row r="73" spans="1:219" s="3" customFormat="1" ht="24.75" customHeight="1">
      <c r="A73" s="9">
        <v>71</v>
      </c>
      <c r="B73" s="9" t="s">
        <v>155</v>
      </c>
      <c r="C73" s="9" t="s">
        <v>12</v>
      </c>
      <c r="D73" s="9" t="s">
        <v>13</v>
      </c>
      <c r="E73" s="9" t="s">
        <v>156</v>
      </c>
      <c r="F73" s="9">
        <v>44</v>
      </c>
      <c r="G73" s="9"/>
      <c r="H73" s="9">
        <f t="shared" si="1"/>
        <v>44</v>
      </c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</row>
    <row r="74" spans="1:219" s="3" customFormat="1" ht="24.75" customHeight="1">
      <c r="A74" s="9">
        <v>72</v>
      </c>
      <c r="B74" s="9" t="s">
        <v>157</v>
      </c>
      <c r="C74" s="9" t="s">
        <v>12</v>
      </c>
      <c r="D74" s="9" t="s">
        <v>13</v>
      </c>
      <c r="E74" s="9" t="s">
        <v>158</v>
      </c>
      <c r="F74" s="9">
        <v>33</v>
      </c>
      <c r="G74" s="9"/>
      <c r="H74" s="9">
        <f t="shared" si="1"/>
        <v>33</v>
      </c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</row>
    <row r="75" spans="1:219" s="3" customFormat="1" ht="24.75" customHeight="1">
      <c r="A75" s="9">
        <v>73</v>
      </c>
      <c r="B75" s="9" t="s">
        <v>159</v>
      </c>
      <c r="C75" s="9" t="s">
        <v>12</v>
      </c>
      <c r="D75" s="9" t="s">
        <v>13</v>
      </c>
      <c r="E75" s="9" t="s">
        <v>160</v>
      </c>
      <c r="F75" s="9">
        <v>41</v>
      </c>
      <c r="G75" s="9"/>
      <c r="H75" s="9">
        <f t="shared" si="1"/>
        <v>41</v>
      </c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</row>
    <row r="76" spans="1:219" s="3" customFormat="1" ht="24.75" customHeight="1">
      <c r="A76" s="9">
        <v>74</v>
      </c>
      <c r="B76" s="9" t="s">
        <v>161</v>
      </c>
      <c r="C76" s="9" t="s">
        <v>12</v>
      </c>
      <c r="D76" s="9" t="s">
        <v>13</v>
      </c>
      <c r="E76" s="9" t="s">
        <v>162</v>
      </c>
      <c r="F76" s="9">
        <v>34</v>
      </c>
      <c r="G76" s="9"/>
      <c r="H76" s="9">
        <f t="shared" si="1"/>
        <v>34</v>
      </c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</row>
    <row r="77" spans="1:219" s="3" customFormat="1" ht="24.75" customHeight="1">
      <c r="A77" s="9">
        <v>75</v>
      </c>
      <c r="B77" s="9" t="s">
        <v>163</v>
      </c>
      <c r="C77" s="9" t="s">
        <v>12</v>
      </c>
      <c r="D77" s="9" t="s">
        <v>13</v>
      </c>
      <c r="E77" s="9" t="s">
        <v>164</v>
      </c>
      <c r="F77" s="9">
        <v>44</v>
      </c>
      <c r="G77" s="9"/>
      <c r="H77" s="9">
        <f t="shared" si="1"/>
        <v>44</v>
      </c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</row>
    <row r="78" spans="1:219" s="3" customFormat="1" ht="24.75" customHeight="1">
      <c r="A78" s="9">
        <v>76</v>
      </c>
      <c r="B78" s="9" t="s">
        <v>165</v>
      </c>
      <c r="C78" s="9" t="s">
        <v>12</v>
      </c>
      <c r="D78" s="9" t="s">
        <v>13</v>
      </c>
      <c r="E78" s="9" t="s">
        <v>166</v>
      </c>
      <c r="F78" s="9">
        <v>29</v>
      </c>
      <c r="G78" s="9"/>
      <c r="H78" s="9">
        <f t="shared" si="1"/>
        <v>29</v>
      </c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</row>
    <row r="79" spans="1:219" s="3" customFormat="1" ht="24.75" customHeight="1">
      <c r="A79" s="9">
        <v>77</v>
      </c>
      <c r="B79" s="9" t="s">
        <v>167</v>
      </c>
      <c r="C79" s="9" t="s">
        <v>12</v>
      </c>
      <c r="D79" s="9" t="s">
        <v>13</v>
      </c>
      <c r="E79" s="9" t="s">
        <v>168</v>
      </c>
      <c r="F79" s="9">
        <v>36</v>
      </c>
      <c r="G79" s="9"/>
      <c r="H79" s="9">
        <f t="shared" si="1"/>
        <v>36</v>
      </c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</row>
    <row r="80" spans="1:219" s="3" customFormat="1" ht="24.75" customHeight="1">
      <c r="A80" s="9">
        <v>78</v>
      </c>
      <c r="B80" s="9" t="s">
        <v>169</v>
      </c>
      <c r="C80" s="9" t="s">
        <v>12</v>
      </c>
      <c r="D80" s="9" t="s">
        <v>13</v>
      </c>
      <c r="E80" s="9" t="s">
        <v>170</v>
      </c>
      <c r="F80" s="9">
        <v>33</v>
      </c>
      <c r="G80" s="9"/>
      <c r="H80" s="9">
        <f t="shared" si="1"/>
        <v>33</v>
      </c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</row>
    <row r="81" spans="1:219" s="3" customFormat="1" ht="24.75" customHeight="1">
      <c r="A81" s="9">
        <v>79</v>
      </c>
      <c r="B81" s="9" t="s">
        <v>171</v>
      </c>
      <c r="C81" s="9" t="s">
        <v>12</v>
      </c>
      <c r="D81" s="9" t="s">
        <v>33</v>
      </c>
      <c r="E81" s="9" t="s">
        <v>172</v>
      </c>
      <c r="F81" s="9">
        <v>33</v>
      </c>
      <c r="G81" s="9">
        <v>2.5</v>
      </c>
      <c r="H81" s="9">
        <f t="shared" si="1"/>
        <v>35.5</v>
      </c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</row>
    <row r="82" spans="1:219" s="3" customFormat="1" ht="24.75" customHeight="1">
      <c r="A82" s="9">
        <v>80</v>
      </c>
      <c r="B82" s="9" t="s">
        <v>173</v>
      </c>
      <c r="C82" s="9" t="s">
        <v>12</v>
      </c>
      <c r="D82" s="9" t="s">
        <v>33</v>
      </c>
      <c r="E82" s="9" t="s">
        <v>174</v>
      </c>
      <c r="F82" s="9">
        <v>0</v>
      </c>
      <c r="G82" s="9">
        <v>2.5</v>
      </c>
      <c r="H82" s="9">
        <f t="shared" si="1"/>
        <v>2.5</v>
      </c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</row>
    <row r="83" spans="1:219" s="3" customFormat="1" ht="24.75" customHeight="1">
      <c r="A83" s="9">
        <v>81</v>
      </c>
      <c r="B83" s="9" t="s">
        <v>175</v>
      </c>
      <c r="C83" s="9" t="s">
        <v>12</v>
      </c>
      <c r="D83" s="9" t="s">
        <v>13</v>
      </c>
      <c r="E83" s="9" t="s">
        <v>176</v>
      </c>
      <c r="F83" s="9">
        <v>40</v>
      </c>
      <c r="G83" s="9"/>
      <c r="H83" s="9">
        <f t="shared" si="1"/>
        <v>40</v>
      </c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</row>
    <row r="84" spans="1:219" s="3" customFormat="1" ht="24.75" customHeight="1">
      <c r="A84" s="9">
        <v>82</v>
      </c>
      <c r="B84" s="9" t="s">
        <v>177</v>
      </c>
      <c r="C84" s="9" t="s">
        <v>12</v>
      </c>
      <c r="D84" s="9" t="s">
        <v>13</v>
      </c>
      <c r="E84" s="9" t="s">
        <v>178</v>
      </c>
      <c r="F84" s="9">
        <v>52</v>
      </c>
      <c r="G84" s="9"/>
      <c r="H84" s="9">
        <f t="shared" si="1"/>
        <v>52</v>
      </c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</row>
    <row r="85" spans="1:219" s="3" customFormat="1" ht="24.75" customHeight="1">
      <c r="A85" s="9">
        <v>83</v>
      </c>
      <c r="B85" s="9" t="s">
        <v>179</v>
      </c>
      <c r="C85" s="9" t="s">
        <v>12</v>
      </c>
      <c r="D85" s="9" t="s">
        <v>13</v>
      </c>
      <c r="E85" s="9" t="s">
        <v>180</v>
      </c>
      <c r="F85" s="9">
        <v>39</v>
      </c>
      <c r="G85" s="9"/>
      <c r="H85" s="9">
        <f t="shared" si="1"/>
        <v>39</v>
      </c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</row>
    <row r="64868" s="4" customFormat="1" ht="24.75" customHeight="1">
      <c r="G64868" s="10"/>
    </row>
    <row r="64869" s="4" customFormat="1" ht="24.75" customHeight="1">
      <c r="G64869" s="10"/>
    </row>
    <row r="64870" s="4" customFormat="1" ht="24.75" customHeight="1">
      <c r="G64870" s="10"/>
    </row>
    <row r="64871" s="4" customFormat="1" ht="24.75" customHeight="1">
      <c r="G64871" s="10"/>
    </row>
    <row r="64872" s="4" customFormat="1" ht="24.75" customHeight="1">
      <c r="G64872" s="10"/>
    </row>
    <row r="64873" s="4" customFormat="1" ht="24.75" customHeight="1">
      <c r="G64873" s="10"/>
    </row>
    <row r="64874" s="4" customFormat="1" ht="24.75" customHeight="1">
      <c r="G64874" s="10"/>
    </row>
    <row r="64875" s="4" customFormat="1" ht="24.75" customHeight="1">
      <c r="G64875" s="10"/>
    </row>
    <row r="64876" s="4" customFormat="1" ht="24.75" customHeight="1">
      <c r="G64876" s="10"/>
    </row>
    <row r="64877" s="4" customFormat="1" ht="24.75" customHeight="1">
      <c r="G64877" s="10"/>
    </row>
    <row r="64878" s="4" customFormat="1" ht="24.75" customHeight="1">
      <c r="G64878" s="10"/>
    </row>
    <row r="64879" s="4" customFormat="1" ht="24.75" customHeight="1">
      <c r="G64879" s="10"/>
    </row>
    <row r="64880" s="4" customFormat="1" ht="24.75" customHeight="1">
      <c r="G64880" s="10"/>
    </row>
    <row r="64881" s="4" customFormat="1" ht="24.75" customHeight="1">
      <c r="G64881" s="10"/>
    </row>
    <row r="64882" s="4" customFormat="1" ht="24.75" customHeight="1">
      <c r="G64882" s="10"/>
    </row>
    <row r="64883" s="4" customFormat="1" ht="24.75" customHeight="1">
      <c r="G64883" s="10"/>
    </row>
    <row r="64884" s="4" customFormat="1" ht="24.75" customHeight="1">
      <c r="G64884" s="10"/>
    </row>
    <row r="64885" s="4" customFormat="1" ht="24.75" customHeight="1">
      <c r="G64885" s="10"/>
    </row>
    <row r="64886" s="4" customFormat="1" ht="24.75" customHeight="1">
      <c r="G64886" s="10"/>
    </row>
    <row r="64887" s="4" customFormat="1" ht="24.75" customHeight="1">
      <c r="G64887" s="10"/>
    </row>
    <row r="64888" s="4" customFormat="1" ht="24.75" customHeight="1">
      <c r="G64888" s="10"/>
    </row>
    <row r="64889" s="4" customFormat="1" ht="24.75" customHeight="1">
      <c r="G64889" s="10"/>
    </row>
    <row r="64890" s="4" customFormat="1" ht="24.75" customHeight="1">
      <c r="G64890" s="10"/>
    </row>
    <row r="64891" s="4" customFormat="1" ht="24.75" customHeight="1">
      <c r="G64891" s="10"/>
    </row>
    <row r="64892" s="4" customFormat="1" ht="24.75" customHeight="1">
      <c r="G64892" s="10"/>
    </row>
    <row r="64893" s="4" customFormat="1" ht="24.75" customHeight="1">
      <c r="G64893" s="10"/>
    </row>
    <row r="64894" s="4" customFormat="1" ht="24.75" customHeight="1">
      <c r="G64894" s="10"/>
    </row>
    <row r="64895" s="4" customFormat="1" ht="24.75" customHeight="1">
      <c r="G64895" s="10"/>
    </row>
    <row r="64896" s="4" customFormat="1" ht="24.75" customHeight="1">
      <c r="G64896" s="10"/>
    </row>
    <row r="64897" s="4" customFormat="1" ht="24.75" customHeight="1">
      <c r="G64897" s="10"/>
    </row>
    <row r="64898" s="4" customFormat="1" ht="24.75" customHeight="1">
      <c r="G64898" s="10"/>
    </row>
    <row r="64899" s="4" customFormat="1" ht="24.75" customHeight="1">
      <c r="G64899" s="10"/>
    </row>
    <row r="64900" s="4" customFormat="1" ht="24.75" customHeight="1">
      <c r="G64900" s="10"/>
    </row>
    <row r="64901" s="4" customFormat="1" ht="24.75" customHeight="1">
      <c r="G64901" s="10"/>
    </row>
    <row r="64902" s="4" customFormat="1" ht="24.75" customHeight="1">
      <c r="G64902" s="10"/>
    </row>
    <row r="64903" s="4" customFormat="1" ht="24.75" customHeight="1">
      <c r="G64903" s="10"/>
    </row>
    <row r="64904" s="4" customFormat="1" ht="24.75" customHeight="1">
      <c r="G64904" s="10"/>
    </row>
    <row r="64905" s="4" customFormat="1" ht="24.75" customHeight="1">
      <c r="G64905" s="10"/>
    </row>
    <row r="64906" s="4" customFormat="1" ht="24.75" customHeight="1">
      <c r="G64906" s="10"/>
    </row>
    <row r="64907" s="4" customFormat="1" ht="24.75" customHeight="1">
      <c r="G64907" s="10"/>
    </row>
    <row r="64908" s="4" customFormat="1" ht="24.75" customHeight="1">
      <c r="G64908" s="10"/>
    </row>
    <row r="64909" s="4" customFormat="1" ht="24.75" customHeight="1">
      <c r="G64909" s="10"/>
    </row>
    <row r="64910" s="4" customFormat="1" ht="24.75" customHeight="1">
      <c r="G64910" s="10"/>
    </row>
    <row r="64911" s="4" customFormat="1" ht="24.75" customHeight="1">
      <c r="G64911" s="10"/>
    </row>
    <row r="64912" s="4" customFormat="1" ht="24.75" customHeight="1">
      <c r="G64912" s="10"/>
    </row>
    <row r="64913" s="4" customFormat="1" ht="24.75" customHeight="1">
      <c r="G64913" s="10"/>
    </row>
    <row r="64914" s="4" customFormat="1" ht="24.75" customHeight="1">
      <c r="G64914" s="10"/>
    </row>
    <row r="64915" s="4" customFormat="1" ht="24.75" customHeight="1">
      <c r="G64915" s="10"/>
    </row>
    <row r="64916" s="4" customFormat="1" ht="24.75" customHeight="1">
      <c r="G64916" s="10"/>
    </row>
    <row r="64917" s="4" customFormat="1" ht="24.75" customHeight="1">
      <c r="G64917" s="10"/>
    </row>
    <row r="64918" s="4" customFormat="1" ht="24.75" customHeight="1">
      <c r="G64918" s="10"/>
    </row>
    <row r="64919" s="4" customFormat="1" ht="24.75" customHeight="1">
      <c r="G64919" s="10"/>
    </row>
    <row r="64920" s="4" customFormat="1" ht="24.75" customHeight="1">
      <c r="G64920" s="10"/>
    </row>
    <row r="64921" s="4" customFormat="1" ht="24.75" customHeight="1">
      <c r="G64921" s="10"/>
    </row>
    <row r="64922" s="4" customFormat="1" ht="24.75" customHeight="1">
      <c r="G64922" s="10"/>
    </row>
    <row r="64923" s="4" customFormat="1" ht="24.75" customHeight="1">
      <c r="G64923" s="10"/>
    </row>
    <row r="64924" s="4" customFormat="1" ht="24.75" customHeight="1">
      <c r="G64924" s="10"/>
    </row>
    <row r="64925" s="4" customFormat="1" ht="24.75" customHeight="1">
      <c r="G64925" s="10"/>
    </row>
    <row r="64926" s="4" customFormat="1" ht="24.75" customHeight="1">
      <c r="G64926" s="10"/>
    </row>
    <row r="64927" s="4" customFormat="1" ht="24.75" customHeight="1">
      <c r="G64927" s="10"/>
    </row>
    <row r="64928" s="4" customFormat="1" ht="24.75" customHeight="1">
      <c r="G64928" s="10"/>
    </row>
    <row r="64929" s="4" customFormat="1" ht="24.75" customHeight="1">
      <c r="G64929" s="10"/>
    </row>
    <row r="64930" s="4" customFormat="1" ht="24.75" customHeight="1">
      <c r="G64930" s="10"/>
    </row>
    <row r="64931" s="4" customFormat="1" ht="24.75" customHeight="1">
      <c r="G64931" s="10"/>
    </row>
    <row r="64932" s="4" customFormat="1" ht="24.75" customHeight="1">
      <c r="G64932" s="10"/>
    </row>
    <row r="64933" s="4" customFormat="1" ht="24.75" customHeight="1">
      <c r="G64933" s="10"/>
    </row>
    <row r="64934" s="4" customFormat="1" ht="24.75" customHeight="1">
      <c r="G64934" s="10"/>
    </row>
    <row r="64935" s="4" customFormat="1" ht="24.75" customHeight="1">
      <c r="G64935" s="10"/>
    </row>
    <row r="64936" s="4" customFormat="1" ht="24.75" customHeight="1">
      <c r="G64936" s="10"/>
    </row>
    <row r="64937" s="4" customFormat="1" ht="24.75" customHeight="1">
      <c r="G64937" s="10"/>
    </row>
    <row r="64938" s="4" customFormat="1" ht="24.75" customHeight="1">
      <c r="G64938" s="10"/>
    </row>
    <row r="64939" s="4" customFormat="1" ht="24.75" customHeight="1">
      <c r="G64939" s="10"/>
    </row>
    <row r="64940" s="4" customFormat="1" ht="24.75" customHeight="1">
      <c r="G64940" s="10"/>
    </row>
    <row r="64941" s="4" customFormat="1" ht="24.75" customHeight="1">
      <c r="G64941" s="10"/>
    </row>
    <row r="64942" s="4" customFormat="1" ht="24.75" customHeight="1">
      <c r="G64942" s="10"/>
    </row>
    <row r="64943" s="4" customFormat="1" ht="24.75" customHeight="1">
      <c r="G64943" s="10"/>
    </row>
    <row r="64944" s="4" customFormat="1" ht="24.75" customHeight="1">
      <c r="G64944" s="10"/>
    </row>
    <row r="64945" s="4" customFormat="1" ht="24.75" customHeight="1">
      <c r="G64945" s="10"/>
    </row>
    <row r="64946" s="4" customFormat="1" ht="24.75" customHeight="1">
      <c r="G64946" s="10"/>
    </row>
    <row r="64947" s="4" customFormat="1" ht="24.75" customHeight="1">
      <c r="G64947" s="10"/>
    </row>
    <row r="64948" s="4" customFormat="1" ht="24.75" customHeight="1">
      <c r="G64948" s="10"/>
    </row>
    <row r="64949" s="4" customFormat="1" ht="24.75" customHeight="1">
      <c r="G64949" s="10"/>
    </row>
    <row r="64950" s="4" customFormat="1" ht="24.75" customHeight="1">
      <c r="G64950" s="10"/>
    </row>
    <row r="64951" s="4" customFormat="1" ht="24.75" customHeight="1">
      <c r="G64951" s="10"/>
    </row>
    <row r="64952" s="4" customFormat="1" ht="24.75" customHeight="1">
      <c r="G64952" s="10"/>
    </row>
    <row r="64953" s="4" customFormat="1" ht="24.75" customHeight="1">
      <c r="G64953" s="10"/>
    </row>
    <row r="64954" s="4" customFormat="1" ht="24.75" customHeight="1">
      <c r="G64954" s="10"/>
    </row>
    <row r="64955" s="4" customFormat="1" ht="24.75" customHeight="1">
      <c r="G64955" s="10"/>
    </row>
    <row r="64956" s="4" customFormat="1" ht="24.75" customHeight="1">
      <c r="G64956" s="10"/>
    </row>
    <row r="64957" s="4" customFormat="1" ht="24.75" customHeight="1">
      <c r="G64957" s="10"/>
    </row>
    <row r="64958" s="4" customFormat="1" ht="24.75" customHeight="1">
      <c r="G64958" s="10"/>
    </row>
    <row r="64959" s="4" customFormat="1" ht="24.75" customHeight="1">
      <c r="G64959" s="10"/>
    </row>
    <row r="64960" s="4" customFormat="1" ht="24.75" customHeight="1">
      <c r="G64960" s="10"/>
    </row>
    <row r="64961" s="4" customFormat="1" ht="24.75" customHeight="1">
      <c r="G64961" s="10"/>
    </row>
    <row r="64962" s="4" customFormat="1" ht="24.75" customHeight="1">
      <c r="G64962" s="10"/>
    </row>
    <row r="64963" s="4" customFormat="1" ht="24.75" customHeight="1">
      <c r="G64963" s="10"/>
    </row>
    <row r="64964" s="4" customFormat="1" ht="24.75" customHeight="1">
      <c r="G64964" s="10"/>
    </row>
    <row r="64965" s="4" customFormat="1" ht="24.75" customHeight="1">
      <c r="G64965" s="10"/>
    </row>
    <row r="64966" s="4" customFormat="1" ht="24.75" customHeight="1">
      <c r="G64966" s="10"/>
    </row>
    <row r="64967" s="4" customFormat="1" ht="24.75" customHeight="1">
      <c r="G64967" s="10"/>
    </row>
    <row r="64968" s="4" customFormat="1" ht="24.75" customHeight="1">
      <c r="G64968" s="10"/>
    </row>
    <row r="64969" s="4" customFormat="1" ht="24.75" customHeight="1">
      <c r="G64969" s="10"/>
    </row>
    <row r="64970" s="4" customFormat="1" ht="24.75" customHeight="1">
      <c r="G64970" s="10"/>
    </row>
    <row r="64971" s="4" customFormat="1" ht="24.75" customHeight="1">
      <c r="G64971" s="10"/>
    </row>
    <row r="64972" s="4" customFormat="1" ht="24.75" customHeight="1">
      <c r="G64972" s="10"/>
    </row>
    <row r="64973" s="4" customFormat="1" ht="24.75" customHeight="1">
      <c r="G64973" s="10"/>
    </row>
    <row r="64974" s="4" customFormat="1" ht="24.75" customHeight="1">
      <c r="G64974" s="10"/>
    </row>
    <row r="64975" s="4" customFormat="1" ht="24.75" customHeight="1">
      <c r="G64975" s="10"/>
    </row>
    <row r="64976" s="4" customFormat="1" ht="24.75" customHeight="1">
      <c r="G64976" s="10"/>
    </row>
    <row r="64977" s="4" customFormat="1" ht="24.75" customHeight="1">
      <c r="G64977" s="10"/>
    </row>
    <row r="64978" s="4" customFormat="1" ht="24.75" customHeight="1">
      <c r="G64978" s="10"/>
    </row>
    <row r="64979" s="4" customFormat="1" ht="24.75" customHeight="1">
      <c r="G64979" s="10"/>
    </row>
    <row r="64980" s="4" customFormat="1" ht="24.75" customHeight="1">
      <c r="G64980" s="10"/>
    </row>
    <row r="64981" s="4" customFormat="1" ht="24.75" customHeight="1">
      <c r="G64981" s="10"/>
    </row>
    <row r="64982" s="4" customFormat="1" ht="24.75" customHeight="1">
      <c r="G64982" s="10"/>
    </row>
    <row r="64983" s="4" customFormat="1" ht="24.75" customHeight="1">
      <c r="G64983" s="10"/>
    </row>
    <row r="64984" s="4" customFormat="1" ht="24.75" customHeight="1">
      <c r="G64984" s="10"/>
    </row>
    <row r="64985" s="4" customFormat="1" ht="24.75" customHeight="1">
      <c r="G64985" s="10"/>
    </row>
    <row r="64986" s="4" customFormat="1" ht="24.75" customHeight="1">
      <c r="G64986" s="10"/>
    </row>
    <row r="64987" s="4" customFormat="1" ht="24.75" customHeight="1">
      <c r="G64987" s="10"/>
    </row>
    <row r="64988" s="4" customFormat="1" ht="24.75" customHeight="1">
      <c r="G64988" s="10"/>
    </row>
    <row r="64989" s="4" customFormat="1" ht="24.75" customHeight="1">
      <c r="G64989" s="10"/>
    </row>
    <row r="64990" s="4" customFormat="1" ht="24.75" customHeight="1">
      <c r="G64990" s="10"/>
    </row>
    <row r="64991" s="4" customFormat="1" ht="24.75" customHeight="1">
      <c r="G64991" s="10"/>
    </row>
    <row r="64992" s="4" customFormat="1" ht="24.75" customHeight="1">
      <c r="G64992" s="10"/>
    </row>
    <row r="64993" s="4" customFormat="1" ht="24.75" customHeight="1">
      <c r="G64993" s="10"/>
    </row>
    <row r="64994" s="4" customFormat="1" ht="24.75" customHeight="1">
      <c r="G64994" s="10"/>
    </row>
    <row r="64995" s="4" customFormat="1" ht="24.75" customHeight="1">
      <c r="G64995" s="10"/>
    </row>
    <row r="64996" s="4" customFormat="1" ht="24.75" customHeight="1">
      <c r="G64996" s="10"/>
    </row>
    <row r="64997" s="4" customFormat="1" ht="24.75" customHeight="1">
      <c r="G64997" s="10"/>
    </row>
    <row r="64998" s="4" customFormat="1" ht="24.75" customHeight="1">
      <c r="G64998" s="10"/>
    </row>
    <row r="64999" s="4" customFormat="1" ht="24.75" customHeight="1">
      <c r="G64999" s="10"/>
    </row>
    <row r="65000" s="4" customFormat="1" ht="24.75" customHeight="1">
      <c r="G65000" s="10"/>
    </row>
    <row r="65001" s="4" customFormat="1" ht="24.75" customHeight="1">
      <c r="G65001" s="10"/>
    </row>
    <row r="65002" s="4" customFormat="1" ht="24.75" customHeight="1">
      <c r="G65002" s="10"/>
    </row>
    <row r="65003" s="4" customFormat="1" ht="24.75" customHeight="1">
      <c r="G65003" s="10"/>
    </row>
    <row r="65004" s="4" customFormat="1" ht="24.75" customHeight="1">
      <c r="G65004" s="10"/>
    </row>
    <row r="65005" s="4" customFormat="1" ht="24.75" customHeight="1">
      <c r="G65005" s="10"/>
    </row>
    <row r="65006" s="4" customFormat="1" ht="24.75" customHeight="1">
      <c r="G65006" s="10"/>
    </row>
    <row r="65007" s="4" customFormat="1" ht="24.75" customHeight="1">
      <c r="G65007" s="10"/>
    </row>
    <row r="65008" s="4" customFormat="1" ht="24.75" customHeight="1">
      <c r="G65008" s="10"/>
    </row>
    <row r="65009" s="4" customFormat="1" ht="24.75" customHeight="1">
      <c r="G65009" s="10"/>
    </row>
    <row r="65010" s="4" customFormat="1" ht="24.75" customHeight="1">
      <c r="G65010" s="10"/>
    </row>
    <row r="65011" s="4" customFormat="1" ht="24.75" customHeight="1">
      <c r="G65011" s="10"/>
    </row>
    <row r="65012" s="4" customFormat="1" ht="24.75" customHeight="1">
      <c r="G65012" s="10"/>
    </row>
    <row r="65013" s="4" customFormat="1" ht="24.75" customHeight="1">
      <c r="G65013" s="10"/>
    </row>
    <row r="65014" s="4" customFormat="1" ht="24.75" customHeight="1">
      <c r="G65014" s="10"/>
    </row>
    <row r="65015" s="4" customFormat="1" ht="24.75" customHeight="1">
      <c r="G65015" s="10"/>
    </row>
    <row r="65016" s="4" customFormat="1" ht="24.75" customHeight="1">
      <c r="G65016" s="10"/>
    </row>
    <row r="65017" s="4" customFormat="1" ht="24.75" customHeight="1">
      <c r="G65017" s="10"/>
    </row>
    <row r="65018" s="4" customFormat="1" ht="24.75" customHeight="1">
      <c r="G65018" s="10"/>
    </row>
    <row r="65019" s="4" customFormat="1" ht="24.75" customHeight="1">
      <c r="G65019" s="10"/>
    </row>
    <row r="65020" s="4" customFormat="1" ht="24.75" customHeight="1">
      <c r="G65020" s="10"/>
    </row>
    <row r="65021" s="4" customFormat="1" ht="24.75" customHeight="1">
      <c r="G65021" s="10"/>
    </row>
    <row r="65022" s="4" customFormat="1" ht="24.75" customHeight="1">
      <c r="G65022" s="10"/>
    </row>
    <row r="65023" s="4" customFormat="1" ht="24.75" customHeight="1">
      <c r="G65023" s="10"/>
    </row>
    <row r="65024" s="4" customFormat="1" ht="24.75" customHeight="1">
      <c r="G65024" s="10"/>
    </row>
    <row r="65025" s="4" customFormat="1" ht="24.75" customHeight="1">
      <c r="G65025" s="10"/>
    </row>
    <row r="65026" s="4" customFormat="1" ht="24.75" customHeight="1">
      <c r="G65026" s="10"/>
    </row>
    <row r="65027" s="4" customFormat="1" ht="24.75" customHeight="1">
      <c r="G65027" s="10"/>
    </row>
    <row r="65028" s="4" customFormat="1" ht="24.75" customHeight="1">
      <c r="G65028" s="10"/>
    </row>
    <row r="65029" s="4" customFormat="1" ht="24.75" customHeight="1">
      <c r="G65029" s="10"/>
    </row>
    <row r="65030" s="4" customFormat="1" ht="24.75" customHeight="1">
      <c r="G65030" s="10"/>
    </row>
    <row r="65031" s="4" customFormat="1" ht="24.75" customHeight="1">
      <c r="G65031" s="10"/>
    </row>
    <row r="65032" s="4" customFormat="1" ht="24.75" customHeight="1">
      <c r="G65032" s="10"/>
    </row>
    <row r="65033" s="4" customFormat="1" ht="24.75" customHeight="1">
      <c r="G65033" s="10"/>
    </row>
    <row r="65034" s="4" customFormat="1" ht="24.75" customHeight="1">
      <c r="G65034" s="10"/>
    </row>
    <row r="65035" s="4" customFormat="1" ht="24.75" customHeight="1">
      <c r="G65035" s="10"/>
    </row>
    <row r="65036" s="4" customFormat="1" ht="24.75" customHeight="1">
      <c r="G65036" s="10"/>
    </row>
    <row r="65037" s="4" customFormat="1" ht="24.75" customHeight="1">
      <c r="G65037" s="10"/>
    </row>
    <row r="65038" s="4" customFormat="1" ht="24.75" customHeight="1">
      <c r="G65038" s="10"/>
    </row>
    <row r="65039" s="4" customFormat="1" ht="24.75" customHeight="1">
      <c r="G65039" s="10"/>
    </row>
    <row r="65040" s="4" customFormat="1" ht="24.75" customHeight="1">
      <c r="G65040" s="10"/>
    </row>
    <row r="65041" s="4" customFormat="1" ht="24.75" customHeight="1">
      <c r="G65041" s="10"/>
    </row>
    <row r="65042" s="4" customFormat="1" ht="24.75" customHeight="1">
      <c r="G65042" s="10"/>
    </row>
    <row r="65043" s="4" customFormat="1" ht="24.75" customHeight="1">
      <c r="G65043" s="10"/>
    </row>
    <row r="65044" s="4" customFormat="1" ht="24.75" customHeight="1">
      <c r="G65044" s="10"/>
    </row>
    <row r="65045" s="4" customFormat="1" ht="24.75" customHeight="1">
      <c r="G65045" s="10"/>
    </row>
    <row r="65046" s="4" customFormat="1" ht="24.75" customHeight="1">
      <c r="G65046" s="10"/>
    </row>
    <row r="65047" s="4" customFormat="1" ht="24.75" customHeight="1">
      <c r="G65047" s="10"/>
    </row>
    <row r="65048" s="4" customFormat="1" ht="24.75" customHeight="1">
      <c r="G65048" s="10"/>
    </row>
    <row r="65049" s="4" customFormat="1" ht="24.75" customHeight="1">
      <c r="G65049" s="10"/>
    </row>
    <row r="65050" s="4" customFormat="1" ht="24.75" customHeight="1">
      <c r="G65050" s="10"/>
    </row>
    <row r="65051" s="4" customFormat="1" ht="24.75" customHeight="1">
      <c r="G65051" s="10"/>
    </row>
    <row r="65052" s="4" customFormat="1" ht="24.75" customHeight="1">
      <c r="G65052" s="10"/>
    </row>
    <row r="65053" s="4" customFormat="1" ht="24.75" customHeight="1">
      <c r="G65053" s="10"/>
    </row>
    <row r="65054" s="4" customFormat="1" ht="24.75" customHeight="1">
      <c r="G65054" s="10"/>
    </row>
    <row r="65055" s="4" customFormat="1" ht="24.75" customHeight="1">
      <c r="G65055" s="10"/>
    </row>
    <row r="65056" s="4" customFormat="1" ht="24.75" customHeight="1">
      <c r="G65056" s="10"/>
    </row>
    <row r="65057" s="4" customFormat="1" ht="24.75" customHeight="1">
      <c r="G65057" s="10"/>
    </row>
    <row r="65058" s="4" customFormat="1" ht="24.75" customHeight="1">
      <c r="G65058" s="10"/>
    </row>
    <row r="65059" s="4" customFormat="1" ht="24.75" customHeight="1">
      <c r="G65059" s="10"/>
    </row>
    <row r="65060" s="4" customFormat="1" ht="24.75" customHeight="1">
      <c r="G65060" s="10"/>
    </row>
    <row r="65061" s="4" customFormat="1" ht="24.75" customHeight="1">
      <c r="G65061" s="10"/>
    </row>
    <row r="65062" s="4" customFormat="1" ht="24.75" customHeight="1">
      <c r="G65062" s="10"/>
    </row>
    <row r="65063" s="4" customFormat="1" ht="24.75" customHeight="1">
      <c r="G65063" s="10"/>
    </row>
    <row r="65064" s="4" customFormat="1" ht="24.75" customHeight="1">
      <c r="G65064" s="10"/>
    </row>
    <row r="65065" s="4" customFormat="1" ht="24.75" customHeight="1">
      <c r="G65065" s="10"/>
    </row>
    <row r="65066" s="4" customFormat="1" ht="24.75" customHeight="1">
      <c r="G65066" s="10"/>
    </row>
    <row r="65067" s="4" customFormat="1" ht="24.75" customHeight="1">
      <c r="G65067" s="10"/>
    </row>
    <row r="65068" s="4" customFormat="1" ht="24.75" customHeight="1">
      <c r="G65068" s="10"/>
    </row>
    <row r="65069" s="4" customFormat="1" ht="24.75" customHeight="1">
      <c r="G65069" s="10"/>
    </row>
    <row r="65070" s="4" customFormat="1" ht="24.75" customHeight="1">
      <c r="G65070" s="10"/>
    </row>
    <row r="65071" s="4" customFormat="1" ht="24.75" customHeight="1">
      <c r="G65071" s="10"/>
    </row>
    <row r="65072" s="4" customFormat="1" ht="24.75" customHeight="1">
      <c r="G65072" s="10"/>
    </row>
    <row r="65073" s="4" customFormat="1" ht="24.75" customHeight="1">
      <c r="G65073" s="10"/>
    </row>
    <row r="65074" s="4" customFormat="1" ht="24.75" customHeight="1">
      <c r="G65074" s="10"/>
    </row>
    <row r="65075" s="4" customFormat="1" ht="24.75" customHeight="1">
      <c r="G65075" s="10"/>
    </row>
    <row r="65076" s="4" customFormat="1" ht="24.75" customHeight="1">
      <c r="G65076" s="10"/>
    </row>
    <row r="65077" s="4" customFormat="1" ht="24.75" customHeight="1">
      <c r="G65077" s="10"/>
    </row>
    <row r="65078" s="4" customFormat="1" ht="24.75" customHeight="1">
      <c r="G65078" s="10"/>
    </row>
    <row r="65079" s="4" customFormat="1" ht="24.75" customHeight="1">
      <c r="G65079" s="10"/>
    </row>
    <row r="65080" s="4" customFormat="1" ht="24.75" customHeight="1">
      <c r="G65080" s="10"/>
    </row>
    <row r="65081" s="4" customFormat="1" ht="24.75" customHeight="1">
      <c r="G65081" s="10"/>
    </row>
    <row r="65082" s="4" customFormat="1" ht="24.75" customHeight="1">
      <c r="G65082" s="10"/>
    </row>
    <row r="65083" s="4" customFormat="1" ht="24.75" customHeight="1">
      <c r="G65083" s="10"/>
    </row>
    <row r="65084" s="4" customFormat="1" ht="24.75" customHeight="1">
      <c r="G65084" s="10"/>
    </row>
    <row r="65085" s="4" customFormat="1" ht="24.75" customHeight="1">
      <c r="G65085" s="10"/>
    </row>
    <row r="65086" s="4" customFormat="1" ht="24.75" customHeight="1">
      <c r="G65086" s="10"/>
    </row>
    <row r="65087" s="4" customFormat="1" ht="24.75" customHeight="1">
      <c r="G65087" s="10"/>
    </row>
    <row r="65088" s="4" customFormat="1" ht="24.75" customHeight="1">
      <c r="G65088" s="10"/>
    </row>
    <row r="65089" s="4" customFormat="1" ht="24.75" customHeight="1">
      <c r="G65089" s="10"/>
    </row>
    <row r="65090" s="4" customFormat="1" ht="24.75" customHeight="1">
      <c r="G65090" s="10"/>
    </row>
    <row r="65091" s="4" customFormat="1" ht="24.75" customHeight="1">
      <c r="G65091" s="10"/>
    </row>
    <row r="65092" s="4" customFormat="1" ht="24.75" customHeight="1">
      <c r="G65092" s="10"/>
    </row>
    <row r="65093" s="4" customFormat="1" ht="24.75" customHeight="1">
      <c r="G65093" s="10"/>
    </row>
    <row r="65094" s="4" customFormat="1" ht="24.75" customHeight="1">
      <c r="G65094" s="10"/>
    </row>
    <row r="65095" s="4" customFormat="1" ht="24.75" customHeight="1">
      <c r="G65095" s="10"/>
    </row>
    <row r="65096" s="4" customFormat="1" ht="24.75" customHeight="1">
      <c r="G65096" s="10"/>
    </row>
    <row r="65097" s="4" customFormat="1" ht="24.75" customHeight="1">
      <c r="G65097" s="10"/>
    </row>
    <row r="65098" s="4" customFormat="1" ht="24.75" customHeight="1">
      <c r="G65098" s="10"/>
    </row>
    <row r="65099" s="4" customFormat="1" ht="24.75" customHeight="1">
      <c r="G65099" s="10"/>
    </row>
    <row r="65100" s="4" customFormat="1" ht="24.75" customHeight="1">
      <c r="G65100" s="10"/>
    </row>
    <row r="65101" s="4" customFormat="1" ht="24.75" customHeight="1">
      <c r="G65101" s="10"/>
    </row>
    <row r="65102" s="4" customFormat="1" ht="24.75" customHeight="1">
      <c r="G65102" s="10"/>
    </row>
    <row r="65103" s="4" customFormat="1" ht="24.75" customHeight="1">
      <c r="G65103" s="10"/>
    </row>
    <row r="65104" s="4" customFormat="1" ht="24.75" customHeight="1">
      <c r="G65104" s="10"/>
    </row>
    <row r="65105" s="4" customFormat="1" ht="24.75" customHeight="1">
      <c r="G65105" s="10"/>
    </row>
    <row r="65106" s="4" customFormat="1" ht="24.75" customHeight="1">
      <c r="G65106" s="10"/>
    </row>
    <row r="65107" s="4" customFormat="1" ht="24.75" customHeight="1">
      <c r="G65107" s="10"/>
    </row>
    <row r="65108" s="4" customFormat="1" ht="24.75" customHeight="1">
      <c r="G65108" s="10"/>
    </row>
    <row r="65109" s="4" customFormat="1" ht="24.75" customHeight="1">
      <c r="G65109" s="10"/>
    </row>
    <row r="65110" s="4" customFormat="1" ht="24.75" customHeight="1">
      <c r="G65110" s="10"/>
    </row>
    <row r="65111" s="4" customFormat="1" ht="24.75" customHeight="1">
      <c r="G65111" s="10"/>
    </row>
    <row r="65112" s="4" customFormat="1" ht="24.75" customHeight="1">
      <c r="G65112" s="10"/>
    </row>
    <row r="65113" s="4" customFormat="1" ht="24.75" customHeight="1">
      <c r="G65113" s="10"/>
    </row>
    <row r="65114" s="4" customFormat="1" ht="24.75" customHeight="1">
      <c r="G65114" s="10"/>
    </row>
    <row r="65115" s="4" customFormat="1" ht="24.75" customHeight="1">
      <c r="G65115" s="10"/>
    </row>
    <row r="65116" s="4" customFormat="1" ht="24.75" customHeight="1">
      <c r="G65116" s="10"/>
    </row>
    <row r="65117" s="4" customFormat="1" ht="24.75" customHeight="1">
      <c r="G65117" s="10"/>
    </row>
    <row r="65118" s="4" customFormat="1" ht="24.75" customHeight="1">
      <c r="G65118" s="10"/>
    </row>
    <row r="65119" s="4" customFormat="1" ht="24.75" customHeight="1">
      <c r="G65119" s="10"/>
    </row>
    <row r="65120" s="4" customFormat="1" ht="24.75" customHeight="1">
      <c r="G65120" s="10"/>
    </row>
    <row r="65121" s="4" customFormat="1" ht="24.75" customHeight="1">
      <c r="G65121" s="10"/>
    </row>
    <row r="65122" s="4" customFormat="1" ht="24.75" customHeight="1">
      <c r="G65122" s="10"/>
    </row>
    <row r="65123" s="4" customFormat="1" ht="24.75" customHeight="1">
      <c r="G65123" s="10"/>
    </row>
    <row r="65124" s="4" customFormat="1" ht="24.75" customHeight="1">
      <c r="G65124" s="10"/>
    </row>
    <row r="65125" s="4" customFormat="1" ht="24.75" customHeight="1">
      <c r="G65125" s="10"/>
    </row>
    <row r="65126" s="4" customFormat="1" ht="24.75" customHeight="1">
      <c r="G65126" s="10"/>
    </row>
    <row r="65127" s="4" customFormat="1" ht="24.75" customHeight="1">
      <c r="G65127" s="10"/>
    </row>
    <row r="65128" s="4" customFormat="1" ht="24.75" customHeight="1">
      <c r="G65128" s="10"/>
    </row>
    <row r="65129" s="4" customFormat="1" ht="24.75" customHeight="1">
      <c r="G65129" s="10"/>
    </row>
    <row r="65130" s="4" customFormat="1" ht="24.75" customHeight="1">
      <c r="G65130" s="10"/>
    </row>
    <row r="65131" s="4" customFormat="1" ht="24.75" customHeight="1">
      <c r="G65131" s="10"/>
    </row>
    <row r="65132" s="4" customFormat="1" ht="24.75" customHeight="1">
      <c r="G65132" s="10"/>
    </row>
    <row r="65133" s="4" customFormat="1" ht="24.75" customHeight="1">
      <c r="G65133" s="10"/>
    </row>
    <row r="65134" s="4" customFormat="1" ht="24.75" customHeight="1">
      <c r="G65134" s="10"/>
    </row>
    <row r="65135" s="4" customFormat="1" ht="24.75" customHeight="1">
      <c r="G65135" s="10"/>
    </row>
    <row r="65136" s="4" customFormat="1" ht="24.75" customHeight="1">
      <c r="G65136" s="10"/>
    </row>
    <row r="65137" s="4" customFormat="1" ht="24.75" customHeight="1">
      <c r="G65137" s="10"/>
    </row>
    <row r="65138" s="4" customFormat="1" ht="24.75" customHeight="1">
      <c r="G65138" s="10"/>
    </row>
    <row r="65139" s="4" customFormat="1" ht="24.75" customHeight="1">
      <c r="G65139" s="10"/>
    </row>
    <row r="65140" s="4" customFormat="1" ht="24.75" customHeight="1">
      <c r="G65140" s="10"/>
    </row>
    <row r="65141" s="4" customFormat="1" ht="24.75" customHeight="1">
      <c r="G65141" s="10"/>
    </row>
    <row r="65142" s="4" customFormat="1" ht="24.75" customHeight="1">
      <c r="G65142" s="10"/>
    </row>
    <row r="65143" s="4" customFormat="1" ht="24.75" customHeight="1">
      <c r="G65143" s="10"/>
    </row>
    <row r="65144" s="4" customFormat="1" ht="24.75" customHeight="1">
      <c r="G65144" s="10"/>
    </row>
    <row r="65145" s="4" customFormat="1" ht="24.75" customHeight="1">
      <c r="G65145" s="10"/>
    </row>
    <row r="65146" s="4" customFormat="1" ht="24.75" customHeight="1">
      <c r="G65146" s="10"/>
    </row>
    <row r="65147" s="4" customFormat="1" ht="24.75" customHeight="1">
      <c r="G65147" s="10"/>
    </row>
    <row r="65148" s="4" customFormat="1" ht="24.75" customHeight="1">
      <c r="G65148" s="10"/>
    </row>
    <row r="65149" s="4" customFormat="1" ht="24.75" customHeight="1">
      <c r="G65149" s="10"/>
    </row>
    <row r="65150" s="4" customFormat="1" ht="24.75" customHeight="1">
      <c r="G65150" s="10"/>
    </row>
    <row r="65151" s="4" customFormat="1" ht="24.75" customHeight="1">
      <c r="G65151" s="10"/>
    </row>
    <row r="65152" s="4" customFormat="1" ht="24.75" customHeight="1">
      <c r="G65152" s="10"/>
    </row>
    <row r="65153" s="4" customFormat="1" ht="24.75" customHeight="1">
      <c r="G65153" s="10"/>
    </row>
    <row r="65154" s="4" customFormat="1" ht="24.75" customHeight="1">
      <c r="G65154" s="10"/>
    </row>
    <row r="65155" s="4" customFormat="1" ht="24.75" customHeight="1">
      <c r="G65155" s="10"/>
    </row>
    <row r="65156" s="4" customFormat="1" ht="24.75" customHeight="1">
      <c r="G65156" s="10"/>
    </row>
    <row r="65157" s="4" customFormat="1" ht="24.75" customHeight="1">
      <c r="G65157" s="10"/>
    </row>
    <row r="65158" s="4" customFormat="1" ht="24.75" customHeight="1">
      <c r="G65158" s="10"/>
    </row>
    <row r="65159" s="4" customFormat="1" ht="24.75" customHeight="1">
      <c r="G65159" s="10"/>
    </row>
    <row r="65160" s="4" customFormat="1" ht="24.75" customHeight="1">
      <c r="G65160" s="10"/>
    </row>
    <row r="65161" s="4" customFormat="1" ht="24.75" customHeight="1">
      <c r="G65161" s="10"/>
    </row>
    <row r="65162" s="4" customFormat="1" ht="24.75" customHeight="1">
      <c r="G65162" s="10"/>
    </row>
    <row r="65163" s="4" customFormat="1" ht="24.75" customHeight="1">
      <c r="G65163" s="10"/>
    </row>
    <row r="65164" s="4" customFormat="1" ht="24.75" customHeight="1">
      <c r="G65164" s="10"/>
    </row>
    <row r="65165" s="4" customFormat="1" ht="24.75" customHeight="1">
      <c r="G65165" s="10"/>
    </row>
    <row r="65166" s="4" customFormat="1" ht="24.75" customHeight="1">
      <c r="G65166" s="10"/>
    </row>
    <row r="65167" s="4" customFormat="1" ht="24.75" customHeight="1">
      <c r="G65167" s="10"/>
    </row>
    <row r="65168" s="4" customFormat="1" ht="24.75" customHeight="1">
      <c r="G65168" s="10"/>
    </row>
    <row r="65169" s="4" customFormat="1" ht="24.75" customHeight="1">
      <c r="G65169" s="10"/>
    </row>
    <row r="65170" s="4" customFormat="1" ht="24.75" customHeight="1">
      <c r="G65170" s="10"/>
    </row>
    <row r="65171" s="4" customFormat="1" ht="24.75" customHeight="1">
      <c r="G65171" s="10"/>
    </row>
    <row r="65172" s="4" customFormat="1" ht="24.75" customHeight="1">
      <c r="G65172" s="10"/>
    </row>
    <row r="65173" s="4" customFormat="1" ht="24.75" customHeight="1">
      <c r="G65173" s="10"/>
    </row>
    <row r="65174" s="4" customFormat="1" ht="24.75" customHeight="1">
      <c r="G65174" s="10"/>
    </row>
    <row r="65175" s="4" customFormat="1" ht="24.75" customHeight="1">
      <c r="G65175" s="10"/>
    </row>
    <row r="65176" s="4" customFormat="1" ht="24.75" customHeight="1">
      <c r="G65176" s="10"/>
    </row>
    <row r="65177" s="4" customFormat="1" ht="24.75" customHeight="1">
      <c r="G65177" s="10"/>
    </row>
    <row r="65178" s="4" customFormat="1" ht="24.75" customHeight="1">
      <c r="G65178" s="10"/>
    </row>
    <row r="65179" s="4" customFormat="1" ht="24.75" customHeight="1">
      <c r="G65179" s="10"/>
    </row>
    <row r="65180" s="4" customFormat="1" ht="24.75" customHeight="1">
      <c r="G65180" s="10"/>
    </row>
    <row r="65181" s="4" customFormat="1" ht="24.75" customHeight="1">
      <c r="G65181" s="10"/>
    </row>
    <row r="65182" s="4" customFormat="1" ht="24.75" customHeight="1">
      <c r="G65182" s="10"/>
    </row>
    <row r="65183" s="4" customFormat="1" ht="24.75" customHeight="1">
      <c r="G65183" s="10"/>
    </row>
    <row r="65184" s="4" customFormat="1" ht="24.75" customHeight="1">
      <c r="G65184" s="10"/>
    </row>
    <row r="65185" s="4" customFormat="1" ht="24.75" customHeight="1">
      <c r="G65185" s="10"/>
    </row>
    <row r="65186" s="4" customFormat="1" ht="24.75" customHeight="1">
      <c r="G65186" s="10"/>
    </row>
    <row r="65187" s="4" customFormat="1" ht="24.75" customHeight="1">
      <c r="G65187" s="10"/>
    </row>
    <row r="65188" s="4" customFormat="1" ht="24.75" customHeight="1">
      <c r="G65188" s="10"/>
    </row>
    <row r="65189" s="4" customFormat="1" ht="24.75" customHeight="1">
      <c r="G65189" s="10"/>
    </row>
    <row r="65190" s="4" customFormat="1" ht="24.75" customHeight="1">
      <c r="G65190" s="10"/>
    </row>
    <row r="65191" s="4" customFormat="1" ht="24.75" customHeight="1">
      <c r="G65191" s="10"/>
    </row>
    <row r="65192" s="4" customFormat="1" ht="24.75" customHeight="1">
      <c r="G65192" s="10"/>
    </row>
    <row r="65193" s="4" customFormat="1" ht="24.75" customHeight="1">
      <c r="G65193" s="10"/>
    </row>
    <row r="65194" s="4" customFormat="1" ht="24.75" customHeight="1">
      <c r="G65194" s="10"/>
    </row>
    <row r="65195" s="4" customFormat="1" ht="24.75" customHeight="1">
      <c r="G65195" s="10"/>
    </row>
    <row r="65196" s="4" customFormat="1" ht="24.75" customHeight="1">
      <c r="G65196" s="10"/>
    </row>
    <row r="65197" s="4" customFormat="1" ht="24.75" customHeight="1">
      <c r="G65197" s="10"/>
    </row>
    <row r="65198" s="4" customFormat="1" ht="24.75" customHeight="1">
      <c r="G65198" s="10"/>
    </row>
    <row r="65199" s="4" customFormat="1" ht="24.75" customHeight="1">
      <c r="G65199" s="10"/>
    </row>
    <row r="65200" s="4" customFormat="1" ht="24.75" customHeight="1">
      <c r="G65200" s="10"/>
    </row>
    <row r="65201" s="4" customFormat="1" ht="24.75" customHeight="1">
      <c r="G65201" s="10"/>
    </row>
    <row r="65202" s="4" customFormat="1" ht="24.75" customHeight="1">
      <c r="G65202" s="10"/>
    </row>
    <row r="65203" s="4" customFormat="1" ht="24.75" customHeight="1">
      <c r="G65203" s="10"/>
    </row>
    <row r="65204" s="4" customFormat="1" ht="24.75" customHeight="1">
      <c r="G65204" s="10"/>
    </row>
    <row r="65205" s="4" customFormat="1" ht="24.75" customHeight="1">
      <c r="G65205" s="10"/>
    </row>
    <row r="65206" s="4" customFormat="1" ht="24.75" customHeight="1">
      <c r="G65206" s="10"/>
    </row>
    <row r="65207" s="4" customFormat="1" ht="24.75" customHeight="1">
      <c r="G65207" s="10"/>
    </row>
    <row r="65208" s="4" customFormat="1" ht="24.75" customHeight="1">
      <c r="G65208" s="10"/>
    </row>
    <row r="65209" s="4" customFormat="1" ht="24.75" customHeight="1">
      <c r="G65209" s="10"/>
    </row>
    <row r="65210" s="4" customFormat="1" ht="24.75" customHeight="1">
      <c r="G65210" s="10"/>
    </row>
    <row r="65211" s="4" customFormat="1" ht="24.75" customHeight="1">
      <c r="G65211" s="10"/>
    </row>
    <row r="65212" s="4" customFormat="1" ht="24.75" customHeight="1">
      <c r="G65212" s="10"/>
    </row>
    <row r="65213" s="4" customFormat="1" ht="24.75" customHeight="1">
      <c r="G65213" s="10"/>
    </row>
    <row r="65214" s="4" customFormat="1" ht="24.75" customHeight="1">
      <c r="G65214" s="10"/>
    </row>
    <row r="65215" s="4" customFormat="1" ht="24.75" customHeight="1">
      <c r="G65215" s="10"/>
    </row>
    <row r="65216" s="4" customFormat="1" ht="24.75" customHeight="1">
      <c r="G65216" s="10"/>
    </row>
    <row r="65217" s="4" customFormat="1" ht="24.75" customHeight="1">
      <c r="G65217" s="10"/>
    </row>
    <row r="65218" s="4" customFormat="1" ht="24.75" customHeight="1">
      <c r="G65218" s="10"/>
    </row>
    <row r="65219" s="4" customFormat="1" ht="24.75" customHeight="1">
      <c r="G65219" s="10"/>
    </row>
    <row r="65220" s="4" customFormat="1" ht="24.75" customHeight="1">
      <c r="G65220" s="10"/>
    </row>
    <row r="65221" s="4" customFormat="1" ht="24.75" customHeight="1">
      <c r="G65221" s="10"/>
    </row>
    <row r="65222" s="4" customFormat="1" ht="24.75" customHeight="1">
      <c r="G65222" s="10"/>
    </row>
    <row r="65223" s="4" customFormat="1" ht="24.75" customHeight="1">
      <c r="G65223" s="10"/>
    </row>
    <row r="65224" s="4" customFormat="1" ht="24.75" customHeight="1">
      <c r="G65224" s="10"/>
    </row>
    <row r="65225" s="4" customFormat="1" ht="24.75" customHeight="1">
      <c r="G65225" s="10"/>
    </row>
    <row r="65226" s="4" customFormat="1" ht="24.75" customHeight="1">
      <c r="G65226" s="10"/>
    </row>
    <row r="65227" s="4" customFormat="1" ht="24.75" customHeight="1">
      <c r="G65227" s="10"/>
    </row>
    <row r="65228" s="4" customFormat="1" ht="24.75" customHeight="1">
      <c r="G65228" s="10"/>
    </row>
    <row r="65229" s="4" customFormat="1" ht="24.75" customHeight="1">
      <c r="G65229" s="10"/>
    </row>
    <row r="65230" s="4" customFormat="1" ht="24.75" customHeight="1">
      <c r="G65230" s="10"/>
    </row>
    <row r="65231" s="4" customFormat="1" ht="24.75" customHeight="1">
      <c r="G65231" s="10"/>
    </row>
    <row r="65232" s="4" customFormat="1" ht="24.75" customHeight="1">
      <c r="G65232" s="10"/>
    </row>
    <row r="65233" s="4" customFormat="1" ht="24.75" customHeight="1">
      <c r="G65233" s="10"/>
    </row>
    <row r="65234" s="4" customFormat="1" ht="24.75" customHeight="1">
      <c r="G65234" s="10"/>
    </row>
    <row r="65235" s="4" customFormat="1" ht="24.75" customHeight="1">
      <c r="G65235" s="10"/>
    </row>
    <row r="65236" s="4" customFormat="1" ht="24.75" customHeight="1">
      <c r="G65236" s="10"/>
    </row>
    <row r="65237" s="4" customFormat="1" ht="24.75" customHeight="1">
      <c r="G65237" s="10"/>
    </row>
    <row r="65238" s="4" customFormat="1" ht="24.75" customHeight="1">
      <c r="G65238" s="10"/>
    </row>
    <row r="65239" s="4" customFormat="1" ht="24.75" customHeight="1">
      <c r="G65239" s="10"/>
    </row>
    <row r="65240" s="4" customFormat="1" ht="24.75" customHeight="1">
      <c r="G65240" s="10"/>
    </row>
    <row r="65241" s="4" customFormat="1" ht="24.75" customHeight="1">
      <c r="G65241" s="10"/>
    </row>
    <row r="65242" s="4" customFormat="1" ht="24.75" customHeight="1">
      <c r="G65242" s="10"/>
    </row>
    <row r="65243" s="4" customFormat="1" ht="24.75" customHeight="1">
      <c r="G65243" s="10"/>
    </row>
    <row r="65244" s="4" customFormat="1" ht="24.75" customHeight="1">
      <c r="G65244" s="10"/>
    </row>
    <row r="65245" s="4" customFormat="1" ht="24.75" customHeight="1">
      <c r="G65245" s="10"/>
    </row>
    <row r="65246" s="4" customFormat="1" ht="24.75" customHeight="1">
      <c r="G65246" s="10"/>
    </row>
    <row r="65247" s="4" customFormat="1" ht="24.75" customHeight="1">
      <c r="G65247" s="10"/>
    </row>
    <row r="65248" s="4" customFormat="1" ht="24.75" customHeight="1">
      <c r="G65248" s="10"/>
    </row>
    <row r="65249" s="4" customFormat="1" ht="24.75" customHeight="1">
      <c r="G65249" s="10"/>
    </row>
    <row r="65250" s="4" customFormat="1" ht="24.75" customHeight="1">
      <c r="G65250" s="10"/>
    </row>
    <row r="65251" s="4" customFormat="1" ht="24.75" customHeight="1">
      <c r="G65251" s="10"/>
    </row>
    <row r="65252" s="4" customFormat="1" ht="24.75" customHeight="1">
      <c r="G65252" s="10"/>
    </row>
    <row r="65253" s="4" customFormat="1" ht="24.75" customHeight="1">
      <c r="G65253" s="10"/>
    </row>
    <row r="65254" s="4" customFormat="1" ht="24.75" customHeight="1">
      <c r="G65254" s="10"/>
    </row>
    <row r="65255" s="4" customFormat="1" ht="24.75" customHeight="1">
      <c r="G65255" s="10"/>
    </row>
    <row r="65256" s="4" customFormat="1" ht="24.75" customHeight="1">
      <c r="G65256" s="10"/>
    </row>
    <row r="65257" s="4" customFormat="1" ht="24.75" customHeight="1">
      <c r="G65257" s="10"/>
    </row>
    <row r="65258" s="4" customFormat="1" ht="24.75" customHeight="1">
      <c r="G65258" s="10"/>
    </row>
    <row r="65259" s="4" customFormat="1" ht="24.75" customHeight="1">
      <c r="G65259" s="10"/>
    </row>
    <row r="65260" s="4" customFormat="1" ht="24.75" customHeight="1">
      <c r="G65260" s="10"/>
    </row>
    <row r="65261" s="4" customFormat="1" ht="24.75" customHeight="1">
      <c r="G65261" s="10"/>
    </row>
    <row r="65262" s="4" customFormat="1" ht="24.75" customHeight="1">
      <c r="G65262" s="10"/>
    </row>
    <row r="65263" s="4" customFormat="1" ht="24.75" customHeight="1">
      <c r="G65263" s="10"/>
    </row>
    <row r="65264" s="4" customFormat="1" ht="24.75" customHeight="1">
      <c r="G65264" s="10"/>
    </row>
    <row r="65265" s="4" customFormat="1" ht="24.75" customHeight="1">
      <c r="G65265" s="10"/>
    </row>
    <row r="65266" s="4" customFormat="1" ht="24.75" customHeight="1">
      <c r="G65266" s="10"/>
    </row>
    <row r="65267" s="4" customFormat="1" ht="24.75" customHeight="1">
      <c r="G65267" s="10"/>
    </row>
    <row r="65268" s="4" customFormat="1" ht="24.75" customHeight="1">
      <c r="G65268" s="10"/>
    </row>
    <row r="65269" s="4" customFormat="1" ht="24.75" customHeight="1">
      <c r="G65269" s="10"/>
    </row>
    <row r="65270" s="4" customFormat="1" ht="24.75" customHeight="1">
      <c r="G65270" s="10"/>
    </row>
    <row r="65271" s="4" customFormat="1" ht="24.75" customHeight="1">
      <c r="G65271" s="10"/>
    </row>
    <row r="65272" s="4" customFormat="1" ht="24.75" customHeight="1">
      <c r="G65272" s="10"/>
    </row>
    <row r="65273" s="4" customFormat="1" ht="24.75" customHeight="1">
      <c r="G65273" s="10"/>
    </row>
    <row r="65274" s="4" customFormat="1" ht="24.75" customHeight="1">
      <c r="G65274" s="10"/>
    </row>
    <row r="65275" s="4" customFormat="1" ht="24.75" customHeight="1">
      <c r="G65275" s="10"/>
    </row>
    <row r="65276" s="4" customFormat="1" ht="24.75" customHeight="1">
      <c r="G65276" s="10"/>
    </row>
    <row r="65277" s="4" customFormat="1" ht="24.75" customHeight="1">
      <c r="G65277" s="10"/>
    </row>
    <row r="65278" s="4" customFormat="1" ht="24.75" customHeight="1">
      <c r="G65278" s="10"/>
    </row>
    <row r="65279" s="4" customFormat="1" ht="24.75" customHeight="1">
      <c r="G65279" s="10"/>
    </row>
    <row r="65280" s="4" customFormat="1" ht="24.75" customHeight="1">
      <c r="G65280" s="10"/>
    </row>
    <row r="65281" s="4" customFormat="1" ht="24.75" customHeight="1">
      <c r="G65281" s="10"/>
    </row>
    <row r="65282" s="4" customFormat="1" ht="24.75" customHeight="1">
      <c r="G65282" s="10"/>
    </row>
    <row r="65283" s="4" customFormat="1" ht="24.75" customHeight="1">
      <c r="G65283" s="10"/>
    </row>
    <row r="65284" s="4" customFormat="1" ht="24.75" customHeight="1">
      <c r="G65284" s="10"/>
    </row>
    <row r="65285" s="4" customFormat="1" ht="24.75" customHeight="1">
      <c r="G65285" s="10"/>
    </row>
    <row r="65286" s="4" customFormat="1" ht="24.75" customHeight="1">
      <c r="G65286" s="10"/>
    </row>
    <row r="65287" s="4" customFormat="1" ht="24.75" customHeight="1">
      <c r="G65287" s="10"/>
    </row>
    <row r="65288" s="4" customFormat="1" ht="24.75" customHeight="1">
      <c r="G65288" s="10"/>
    </row>
    <row r="65289" s="4" customFormat="1" ht="24.75" customHeight="1">
      <c r="G65289" s="10"/>
    </row>
    <row r="65290" s="4" customFormat="1" ht="24.75" customHeight="1">
      <c r="G65290" s="10"/>
    </row>
    <row r="65291" s="4" customFormat="1" ht="24.75" customHeight="1">
      <c r="G65291" s="10"/>
    </row>
    <row r="65292" s="4" customFormat="1" ht="24.75" customHeight="1">
      <c r="G65292" s="10"/>
    </row>
    <row r="65293" s="4" customFormat="1" ht="24.75" customHeight="1">
      <c r="G65293" s="10"/>
    </row>
    <row r="65294" s="4" customFormat="1" ht="24.75" customHeight="1">
      <c r="G65294" s="10"/>
    </row>
    <row r="65295" s="4" customFormat="1" ht="24.75" customHeight="1">
      <c r="G65295" s="10"/>
    </row>
    <row r="65296" s="4" customFormat="1" ht="24.75" customHeight="1">
      <c r="G65296" s="10"/>
    </row>
    <row r="65297" s="4" customFormat="1" ht="24.75" customHeight="1">
      <c r="G65297" s="10"/>
    </row>
    <row r="65298" s="4" customFormat="1" ht="24.75" customHeight="1">
      <c r="G65298" s="10"/>
    </row>
    <row r="65299" s="4" customFormat="1" ht="24.75" customHeight="1">
      <c r="G65299" s="10"/>
    </row>
    <row r="65300" s="4" customFormat="1" ht="24.75" customHeight="1">
      <c r="G65300" s="10"/>
    </row>
    <row r="65301" s="4" customFormat="1" ht="24.75" customHeight="1">
      <c r="G65301" s="10"/>
    </row>
    <row r="65302" s="4" customFormat="1" ht="24.75" customHeight="1">
      <c r="G65302" s="10"/>
    </row>
    <row r="65303" s="4" customFormat="1" ht="24.75" customHeight="1">
      <c r="G65303" s="10"/>
    </row>
    <row r="65304" s="4" customFormat="1" ht="24.75" customHeight="1">
      <c r="G65304" s="10"/>
    </row>
    <row r="65305" s="4" customFormat="1" ht="24.75" customHeight="1">
      <c r="G65305" s="10"/>
    </row>
    <row r="65306" s="4" customFormat="1" ht="24.75" customHeight="1">
      <c r="G65306" s="10"/>
    </row>
    <row r="65307" s="4" customFormat="1" ht="24.75" customHeight="1">
      <c r="G65307" s="10"/>
    </row>
    <row r="65308" s="4" customFormat="1" ht="24.75" customHeight="1">
      <c r="G65308" s="10"/>
    </row>
    <row r="65309" s="4" customFormat="1" ht="24.75" customHeight="1">
      <c r="G65309" s="10"/>
    </row>
    <row r="65310" s="4" customFormat="1" ht="24.75" customHeight="1">
      <c r="G65310" s="10"/>
    </row>
    <row r="65311" s="4" customFormat="1" ht="24.75" customHeight="1">
      <c r="G65311" s="10"/>
    </row>
    <row r="65312" s="4" customFormat="1" ht="24.75" customHeight="1">
      <c r="G65312" s="10"/>
    </row>
    <row r="65313" s="4" customFormat="1" ht="24.75" customHeight="1">
      <c r="G65313" s="10"/>
    </row>
    <row r="65314" s="4" customFormat="1" ht="24.75" customHeight="1">
      <c r="G65314" s="10"/>
    </row>
    <row r="65315" s="4" customFormat="1" ht="24.75" customHeight="1">
      <c r="G65315" s="10"/>
    </row>
    <row r="65316" s="4" customFormat="1" ht="24.75" customHeight="1">
      <c r="G65316" s="10"/>
    </row>
    <row r="65317" s="4" customFormat="1" ht="24.75" customHeight="1">
      <c r="G65317" s="10"/>
    </row>
    <row r="65318" s="4" customFormat="1" ht="24.75" customHeight="1">
      <c r="G65318" s="10"/>
    </row>
    <row r="65319" s="4" customFormat="1" ht="24.75" customHeight="1">
      <c r="G65319" s="10"/>
    </row>
    <row r="65320" s="4" customFormat="1" ht="24.75" customHeight="1">
      <c r="G65320" s="10"/>
    </row>
    <row r="65321" s="4" customFormat="1" ht="24.75" customHeight="1">
      <c r="G65321" s="10"/>
    </row>
    <row r="65322" s="4" customFormat="1" ht="24.75" customHeight="1">
      <c r="G65322" s="10"/>
    </row>
    <row r="65323" s="4" customFormat="1" ht="24.75" customHeight="1">
      <c r="G65323" s="10"/>
    </row>
    <row r="65324" s="4" customFormat="1" ht="24.75" customHeight="1">
      <c r="G65324" s="10"/>
    </row>
    <row r="65325" s="4" customFormat="1" ht="24.75" customHeight="1">
      <c r="G65325" s="10"/>
    </row>
    <row r="65326" s="4" customFormat="1" ht="24.75" customHeight="1">
      <c r="G65326" s="10"/>
    </row>
    <row r="65327" s="4" customFormat="1" ht="24.75" customHeight="1">
      <c r="G65327" s="10"/>
    </row>
    <row r="65328" s="4" customFormat="1" ht="24.75" customHeight="1">
      <c r="G65328" s="10"/>
    </row>
    <row r="65329" s="4" customFormat="1" ht="24.75" customHeight="1">
      <c r="G65329" s="10"/>
    </row>
    <row r="65330" s="4" customFormat="1" ht="24.75" customHeight="1">
      <c r="G65330" s="10"/>
    </row>
    <row r="65331" s="4" customFormat="1" ht="24.75" customHeight="1">
      <c r="G65331" s="10"/>
    </row>
    <row r="65332" s="4" customFormat="1" ht="24.75" customHeight="1">
      <c r="G65332" s="10"/>
    </row>
    <row r="65333" s="4" customFormat="1" ht="24.75" customHeight="1">
      <c r="G65333" s="10"/>
    </row>
    <row r="65334" s="4" customFormat="1" ht="24.75" customHeight="1">
      <c r="G65334" s="10"/>
    </row>
    <row r="65335" s="4" customFormat="1" ht="24.75" customHeight="1">
      <c r="G65335" s="10"/>
    </row>
    <row r="65336" s="4" customFormat="1" ht="24.75" customHeight="1">
      <c r="G65336" s="10"/>
    </row>
    <row r="65337" s="4" customFormat="1" ht="24.75" customHeight="1">
      <c r="G65337" s="10"/>
    </row>
    <row r="65338" s="4" customFormat="1" ht="24.75" customHeight="1">
      <c r="G65338" s="10"/>
    </row>
    <row r="65339" s="4" customFormat="1" ht="24.75" customHeight="1">
      <c r="G65339" s="10"/>
    </row>
    <row r="65340" s="4" customFormat="1" ht="24.75" customHeight="1">
      <c r="G65340" s="10"/>
    </row>
    <row r="65341" s="4" customFormat="1" ht="24.75" customHeight="1">
      <c r="G65341" s="10"/>
    </row>
    <row r="65342" s="4" customFormat="1" ht="24.75" customHeight="1">
      <c r="G65342" s="10"/>
    </row>
    <row r="65343" s="4" customFormat="1" ht="24.75" customHeight="1">
      <c r="G65343" s="10"/>
    </row>
    <row r="65344" s="4" customFormat="1" ht="24.75" customHeight="1">
      <c r="G65344" s="10"/>
    </row>
    <row r="65345" s="4" customFormat="1" ht="24.75" customHeight="1">
      <c r="G65345" s="10"/>
    </row>
    <row r="65346" s="4" customFormat="1" ht="24.75" customHeight="1">
      <c r="G65346" s="10"/>
    </row>
    <row r="65347" s="4" customFormat="1" ht="24.75" customHeight="1">
      <c r="G65347" s="10"/>
    </row>
    <row r="65348" s="4" customFormat="1" ht="24.75" customHeight="1">
      <c r="G65348" s="10"/>
    </row>
    <row r="65349" s="4" customFormat="1" ht="24.75" customHeight="1">
      <c r="G65349" s="10"/>
    </row>
    <row r="65350" s="4" customFormat="1" ht="24.75" customHeight="1">
      <c r="G65350" s="10"/>
    </row>
    <row r="65351" s="4" customFormat="1" ht="24.75" customHeight="1">
      <c r="G65351" s="10"/>
    </row>
    <row r="65352" s="4" customFormat="1" ht="24.75" customHeight="1">
      <c r="G65352" s="10"/>
    </row>
    <row r="65353" s="4" customFormat="1" ht="24.75" customHeight="1">
      <c r="G65353" s="10"/>
    </row>
    <row r="65354" s="4" customFormat="1" ht="24.75" customHeight="1">
      <c r="G65354" s="10"/>
    </row>
    <row r="65355" s="4" customFormat="1" ht="24.75" customHeight="1">
      <c r="G65355" s="10"/>
    </row>
    <row r="65356" s="4" customFormat="1" ht="24.75" customHeight="1">
      <c r="G65356" s="10"/>
    </row>
    <row r="65357" s="4" customFormat="1" ht="24.75" customHeight="1">
      <c r="G65357" s="10"/>
    </row>
    <row r="65358" s="4" customFormat="1" ht="24.75" customHeight="1">
      <c r="G65358" s="10"/>
    </row>
    <row r="65359" s="4" customFormat="1" ht="24.75" customHeight="1">
      <c r="G65359" s="10"/>
    </row>
    <row r="65360" s="4" customFormat="1" ht="24.75" customHeight="1">
      <c r="G65360" s="10"/>
    </row>
    <row r="65361" s="4" customFormat="1" ht="24.75" customHeight="1">
      <c r="G65361" s="10"/>
    </row>
    <row r="65362" s="4" customFormat="1" ht="24.75" customHeight="1">
      <c r="G65362" s="10"/>
    </row>
    <row r="65363" s="4" customFormat="1" ht="24.75" customHeight="1">
      <c r="G65363" s="10"/>
    </row>
    <row r="65364" s="4" customFormat="1" ht="24.75" customHeight="1">
      <c r="G65364" s="10"/>
    </row>
    <row r="65365" s="4" customFormat="1" ht="24.75" customHeight="1">
      <c r="G65365" s="10"/>
    </row>
    <row r="65366" s="4" customFormat="1" ht="24.75" customHeight="1">
      <c r="G65366" s="10"/>
    </row>
    <row r="65367" s="4" customFormat="1" ht="24.75" customHeight="1">
      <c r="G65367" s="10"/>
    </row>
    <row r="65368" s="4" customFormat="1" ht="24.75" customHeight="1">
      <c r="G65368" s="10"/>
    </row>
    <row r="65369" s="4" customFormat="1" ht="24.75" customHeight="1">
      <c r="G65369" s="10"/>
    </row>
    <row r="65370" s="4" customFormat="1" ht="24.75" customHeight="1">
      <c r="G65370" s="10"/>
    </row>
    <row r="65371" s="4" customFormat="1" ht="24.75" customHeight="1">
      <c r="G65371" s="10"/>
    </row>
    <row r="65372" s="4" customFormat="1" ht="24.75" customHeight="1">
      <c r="G65372" s="10"/>
    </row>
    <row r="65373" s="4" customFormat="1" ht="24.75" customHeight="1">
      <c r="G65373" s="10"/>
    </row>
    <row r="65374" s="4" customFormat="1" ht="24.75" customHeight="1">
      <c r="G65374" s="10"/>
    </row>
    <row r="65375" s="4" customFormat="1" ht="24.75" customHeight="1">
      <c r="G65375" s="10"/>
    </row>
    <row r="65376" s="4" customFormat="1" ht="24.75" customHeight="1">
      <c r="G65376" s="10"/>
    </row>
    <row r="65377" s="4" customFormat="1" ht="24.75" customHeight="1">
      <c r="G65377" s="10"/>
    </row>
    <row r="65378" s="4" customFormat="1" ht="24.75" customHeight="1">
      <c r="G65378" s="10"/>
    </row>
    <row r="65379" s="4" customFormat="1" ht="24.75" customHeight="1">
      <c r="G65379" s="10"/>
    </row>
    <row r="65380" s="4" customFormat="1" ht="24.75" customHeight="1">
      <c r="G65380" s="10"/>
    </row>
    <row r="65381" s="4" customFormat="1" ht="24.75" customHeight="1">
      <c r="G65381" s="10"/>
    </row>
    <row r="65382" s="4" customFormat="1" ht="24.75" customHeight="1">
      <c r="G65382" s="10"/>
    </row>
    <row r="65383" s="4" customFormat="1" ht="24.75" customHeight="1">
      <c r="G65383" s="10"/>
    </row>
    <row r="65384" s="4" customFormat="1" ht="24.75" customHeight="1">
      <c r="G65384" s="10"/>
    </row>
    <row r="65385" s="4" customFormat="1" ht="24.75" customHeight="1">
      <c r="G65385" s="10"/>
    </row>
    <row r="65386" s="4" customFormat="1" ht="24.75" customHeight="1">
      <c r="G65386" s="10"/>
    </row>
    <row r="65387" s="4" customFormat="1" ht="24.75" customHeight="1">
      <c r="G65387" s="10"/>
    </row>
    <row r="65388" s="4" customFormat="1" ht="24.75" customHeight="1">
      <c r="G65388" s="10"/>
    </row>
    <row r="65389" s="4" customFormat="1" ht="24.75" customHeight="1">
      <c r="G65389" s="10"/>
    </row>
    <row r="65390" s="4" customFormat="1" ht="24.75" customHeight="1">
      <c r="G65390" s="10"/>
    </row>
    <row r="65391" s="4" customFormat="1" ht="24.75" customHeight="1">
      <c r="G65391" s="10"/>
    </row>
    <row r="65392" s="4" customFormat="1" ht="24.75" customHeight="1">
      <c r="G65392" s="10"/>
    </row>
    <row r="65393" s="4" customFormat="1" ht="24.75" customHeight="1">
      <c r="G65393" s="10"/>
    </row>
    <row r="65394" s="4" customFormat="1" ht="24.75" customHeight="1">
      <c r="G65394" s="10"/>
    </row>
    <row r="65395" s="4" customFormat="1" ht="24.75" customHeight="1">
      <c r="G65395" s="10"/>
    </row>
    <row r="65396" s="4" customFormat="1" ht="24.75" customHeight="1">
      <c r="G65396" s="10"/>
    </row>
    <row r="65397" s="4" customFormat="1" ht="24.75" customHeight="1">
      <c r="G65397" s="10"/>
    </row>
    <row r="65398" s="4" customFormat="1" ht="24.75" customHeight="1">
      <c r="G65398" s="10"/>
    </row>
    <row r="65399" s="4" customFormat="1" ht="24.75" customHeight="1">
      <c r="G65399" s="10"/>
    </row>
    <row r="65400" s="4" customFormat="1" ht="24.75" customHeight="1">
      <c r="G65400" s="10"/>
    </row>
    <row r="65401" s="4" customFormat="1" ht="24.75" customHeight="1">
      <c r="G65401" s="10"/>
    </row>
    <row r="65402" s="4" customFormat="1" ht="24.75" customHeight="1">
      <c r="G65402" s="10"/>
    </row>
    <row r="65403" s="4" customFormat="1" ht="24.75" customHeight="1">
      <c r="G65403" s="10"/>
    </row>
    <row r="65404" s="4" customFormat="1" ht="24.75" customHeight="1">
      <c r="G65404" s="10"/>
    </row>
    <row r="65405" s="4" customFormat="1" ht="24.75" customHeight="1">
      <c r="G65405" s="10"/>
    </row>
    <row r="65406" s="4" customFormat="1" ht="24.75" customHeight="1">
      <c r="G65406" s="10"/>
    </row>
    <row r="65407" s="4" customFormat="1" ht="24.75" customHeight="1">
      <c r="G65407" s="10"/>
    </row>
    <row r="65408" s="4" customFormat="1" ht="24.75" customHeight="1">
      <c r="G65408" s="10"/>
    </row>
    <row r="65409" s="4" customFormat="1" ht="24.75" customHeight="1">
      <c r="G65409" s="10"/>
    </row>
    <row r="65410" s="4" customFormat="1" ht="24.75" customHeight="1">
      <c r="G65410" s="10"/>
    </row>
    <row r="65411" s="4" customFormat="1" ht="24.75" customHeight="1">
      <c r="G65411" s="10"/>
    </row>
    <row r="65412" s="4" customFormat="1" ht="24.75" customHeight="1">
      <c r="G65412" s="10"/>
    </row>
    <row r="65413" s="4" customFormat="1" ht="24.75" customHeight="1">
      <c r="G65413" s="10"/>
    </row>
    <row r="65414" s="4" customFormat="1" ht="24.75" customHeight="1">
      <c r="G65414" s="10"/>
    </row>
    <row r="65415" s="4" customFormat="1" ht="24.75" customHeight="1">
      <c r="G65415" s="10"/>
    </row>
    <row r="65416" s="4" customFormat="1" ht="24.75" customHeight="1">
      <c r="G65416" s="10"/>
    </row>
    <row r="65417" s="4" customFormat="1" ht="24.75" customHeight="1">
      <c r="G65417" s="10"/>
    </row>
    <row r="65418" s="4" customFormat="1" ht="24.75" customHeight="1">
      <c r="G65418" s="10"/>
    </row>
    <row r="65419" s="4" customFormat="1" ht="24.75" customHeight="1">
      <c r="G65419" s="10"/>
    </row>
    <row r="65420" s="4" customFormat="1" ht="24.75" customHeight="1">
      <c r="G65420" s="10"/>
    </row>
    <row r="65421" s="4" customFormat="1" ht="24.75" customHeight="1">
      <c r="G65421" s="10"/>
    </row>
    <row r="65422" s="4" customFormat="1" ht="24.75" customHeight="1">
      <c r="G65422" s="10"/>
    </row>
    <row r="65423" s="4" customFormat="1" ht="24.75" customHeight="1">
      <c r="G65423" s="10"/>
    </row>
    <row r="65424" s="4" customFormat="1" ht="24.75" customHeight="1">
      <c r="G65424" s="10"/>
    </row>
    <row r="65425" s="4" customFormat="1" ht="24.75" customHeight="1">
      <c r="G65425" s="10"/>
    </row>
    <row r="65426" s="4" customFormat="1" ht="24.75" customHeight="1">
      <c r="G65426" s="10"/>
    </row>
    <row r="65427" s="4" customFormat="1" ht="24.75" customHeight="1">
      <c r="G65427" s="10"/>
    </row>
    <row r="65428" s="4" customFormat="1" ht="24.75" customHeight="1">
      <c r="G65428" s="10"/>
    </row>
    <row r="65429" s="4" customFormat="1" ht="24.75" customHeight="1">
      <c r="G65429" s="10"/>
    </row>
    <row r="65430" s="4" customFormat="1" ht="24.75" customHeight="1">
      <c r="G65430" s="10"/>
    </row>
    <row r="65431" s="4" customFormat="1" ht="24.75" customHeight="1">
      <c r="G65431" s="10"/>
    </row>
    <row r="65432" s="4" customFormat="1" ht="24.75" customHeight="1">
      <c r="G65432" s="10"/>
    </row>
    <row r="65433" s="4" customFormat="1" ht="24.75" customHeight="1">
      <c r="G65433" s="10"/>
    </row>
    <row r="65434" s="4" customFormat="1" ht="24.75" customHeight="1">
      <c r="G65434" s="10"/>
    </row>
    <row r="65435" s="4" customFormat="1" ht="24.75" customHeight="1">
      <c r="G65435" s="10"/>
    </row>
    <row r="65436" s="4" customFormat="1" ht="24.75" customHeight="1">
      <c r="G65436" s="10"/>
    </row>
    <row r="65437" s="4" customFormat="1" ht="24.75" customHeight="1">
      <c r="G65437" s="10"/>
    </row>
    <row r="65438" s="4" customFormat="1" ht="24.75" customHeight="1">
      <c r="G65438" s="10"/>
    </row>
    <row r="65439" s="4" customFormat="1" ht="24.75" customHeight="1">
      <c r="G65439" s="10"/>
    </row>
    <row r="65440" s="4" customFormat="1" ht="24.75" customHeight="1">
      <c r="G65440" s="10"/>
    </row>
    <row r="65441" s="4" customFormat="1" ht="24.75" customHeight="1">
      <c r="G65441" s="10"/>
    </row>
    <row r="65442" s="4" customFormat="1" ht="24.75" customHeight="1">
      <c r="G65442" s="10"/>
    </row>
    <row r="65443" s="4" customFormat="1" ht="24.75" customHeight="1">
      <c r="G65443" s="10"/>
    </row>
    <row r="65444" s="4" customFormat="1" ht="24.75" customHeight="1">
      <c r="G65444" s="10"/>
    </row>
    <row r="65445" s="4" customFormat="1" ht="24.75" customHeight="1">
      <c r="G65445" s="10"/>
    </row>
    <row r="65446" s="4" customFormat="1" ht="24.75" customHeight="1">
      <c r="G65446" s="10"/>
    </row>
    <row r="65447" s="4" customFormat="1" ht="24.75" customHeight="1">
      <c r="G65447" s="10"/>
    </row>
    <row r="65448" s="4" customFormat="1" ht="24.75" customHeight="1">
      <c r="G65448" s="10"/>
    </row>
    <row r="65449" s="4" customFormat="1" ht="24.75" customHeight="1">
      <c r="G65449" s="10"/>
    </row>
    <row r="65450" s="4" customFormat="1" ht="24.75" customHeight="1">
      <c r="G65450" s="10"/>
    </row>
    <row r="65451" s="4" customFormat="1" ht="24.75" customHeight="1">
      <c r="G65451" s="10"/>
    </row>
    <row r="65452" s="4" customFormat="1" ht="24.75" customHeight="1">
      <c r="G65452" s="10"/>
    </row>
    <row r="65453" s="4" customFormat="1" ht="24.75" customHeight="1">
      <c r="G65453" s="10"/>
    </row>
    <row r="65454" s="4" customFormat="1" ht="24.75" customHeight="1">
      <c r="G65454" s="10"/>
    </row>
    <row r="65455" s="4" customFormat="1" ht="24.75" customHeight="1">
      <c r="G65455" s="10"/>
    </row>
    <row r="65456" s="4" customFormat="1" ht="24.75" customHeight="1">
      <c r="G65456" s="10"/>
    </row>
    <row r="65457" s="4" customFormat="1" ht="24.75" customHeight="1">
      <c r="G65457" s="10"/>
    </row>
    <row r="65458" s="4" customFormat="1" ht="24.75" customHeight="1">
      <c r="G65458" s="10"/>
    </row>
    <row r="65459" s="4" customFormat="1" ht="24.75" customHeight="1">
      <c r="G65459" s="10"/>
    </row>
    <row r="65460" s="4" customFormat="1" ht="24.75" customHeight="1">
      <c r="G65460" s="10"/>
    </row>
    <row r="65461" s="4" customFormat="1" ht="24.75" customHeight="1">
      <c r="G65461" s="10"/>
    </row>
    <row r="65462" s="4" customFormat="1" ht="24.75" customHeight="1">
      <c r="G65462" s="10"/>
    </row>
    <row r="65463" s="4" customFormat="1" ht="24.75" customHeight="1">
      <c r="G65463" s="10"/>
    </row>
    <row r="65464" s="4" customFormat="1" ht="24.75" customHeight="1">
      <c r="G65464" s="10"/>
    </row>
    <row r="65465" s="4" customFormat="1" ht="24.75" customHeight="1">
      <c r="G65465" s="10"/>
    </row>
    <row r="65466" s="4" customFormat="1" ht="24.75" customHeight="1">
      <c r="G65466" s="10"/>
    </row>
    <row r="65467" s="4" customFormat="1" ht="24.75" customHeight="1">
      <c r="G65467" s="10"/>
    </row>
    <row r="65468" s="4" customFormat="1" ht="24.75" customHeight="1">
      <c r="G65468" s="10"/>
    </row>
    <row r="65469" s="4" customFormat="1" ht="24.75" customHeight="1">
      <c r="G65469" s="10"/>
    </row>
    <row r="65470" s="4" customFormat="1" ht="24.75" customHeight="1">
      <c r="G65470" s="10"/>
    </row>
    <row r="65471" s="4" customFormat="1" ht="24.75" customHeight="1">
      <c r="G65471" s="10"/>
    </row>
    <row r="65472" s="4" customFormat="1" ht="24.75" customHeight="1">
      <c r="G65472" s="10"/>
    </row>
    <row r="65473" s="4" customFormat="1" ht="24.75" customHeight="1">
      <c r="G65473" s="10"/>
    </row>
    <row r="65474" s="4" customFormat="1" ht="24.75" customHeight="1">
      <c r="G65474" s="10"/>
    </row>
    <row r="65475" s="4" customFormat="1" ht="24.75" customHeight="1">
      <c r="G65475" s="10"/>
    </row>
    <row r="65476" s="4" customFormat="1" ht="24.75" customHeight="1">
      <c r="G65476" s="10"/>
    </row>
    <row r="65477" s="4" customFormat="1" ht="24.75" customHeight="1">
      <c r="G65477" s="10"/>
    </row>
    <row r="65478" s="4" customFormat="1" ht="24.75" customHeight="1">
      <c r="G65478" s="10"/>
    </row>
    <row r="65479" s="4" customFormat="1" ht="24.75" customHeight="1">
      <c r="G65479" s="10"/>
    </row>
    <row r="65480" s="4" customFormat="1" ht="24.75" customHeight="1">
      <c r="G65480" s="10"/>
    </row>
    <row r="65481" s="4" customFormat="1" ht="24.75" customHeight="1">
      <c r="G65481" s="10"/>
    </row>
    <row r="65482" s="4" customFormat="1" ht="24.75" customHeight="1">
      <c r="G65482" s="10"/>
    </row>
    <row r="65483" s="4" customFormat="1" ht="24.75" customHeight="1">
      <c r="G65483" s="10"/>
    </row>
    <row r="65484" s="4" customFormat="1" ht="24.75" customHeight="1">
      <c r="G65484" s="10"/>
    </row>
    <row r="65485" s="4" customFormat="1" ht="24.75" customHeight="1">
      <c r="G65485" s="10"/>
    </row>
    <row r="65486" s="4" customFormat="1" ht="24.75" customHeight="1">
      <c r="G65486" s="10"/>
    </row>
    <row r="65487" s="4" customFormat="1" ht="24.75" customHeight="1">
      <c r="G65487" s="10"/>
    </row>
    <row r="65488" s="4" customFormat="1" ht="24.75" customHeight="1">
      <c r="G65488" s="10"/>
    </row>
    <row r="65489" s="4" customFormat="1" ht="24.75" customHeight="1">
      <c r="G65489" s="10"/>
    </row>
    <row r="65490" s="4" customFormat="1" ht="24.75" customHeight="1">
      <c r="G65490" s="10"/>
    </row>
    <row r="65491" s="4" customFormat="1" ht="24.75" customHeight="1">
      <c r="G65491" s="10"/>
    </row>
    <row r="65492" s="4" customFormat="1" ht="24.75" customHeight="1">
      <c r="G65492" s="10"/>
    </row>
    <row r="65493" s="4" customFormat="1" ht="24.75" customHeight="1">
      <c r="G65493" s="10"/>
    </row>
    <row r="65494" s="4" customFormat="1" ht="24.75" customHeight="1">
      <c r="G65494" s="10"/>
    </row>
    <row r="65495" s="4" customFormat="1" ht="24.75" customHeight="1">
      <c r="G65495" s="10"/>
    </row>
    <row r="65496" s="4" customFormat="1" ht="24.75" customHeight="1">
      <c r="G65496" s="10"/>
    </row>
    <row r="65497" s="4" customFormat="1" ht="24.75" customHeight="1">
      <c r="G65497" s="10"/>
    </row>
    <row r="65498" s="4" customFormat="1" ht="24.75" customHeight="1">
      <c r="G65498" s="10"/>
    </row>
    <row r="65499" s="4" customFormat="1" ht="24.75" customHeight="1">
      <c r="G65499" s="10"/>
    </row>
    <row r="65500" s="4" customFormat="1" ht="24.75" customHeight="1">
      <c r="G65500" s="10"/>
    </row>
    <row r="65501" s="4" customFormat="1" ht="24.75" customHeight="1">
      <c r="G65501" s="10"/>
    </row>
    <row r="65502" s="4" customFormat="1" ht="24.75" customHeight="1">
      <c r="G65502" s="10"/>
    </row>
    <row r="65503" s="4" customFormat="1" ht="24.75" customHeight="1">
      <c r="G65503" s="10"/>
    </row>
    <row r="65504" s="4" customFormat="1" ht="24.75" customHeight="1">
      <c r="G65504" s="10"/>
    </row>
    <row r="65505" s="4" customFormat="1" ht="24.75" customHeight="1">
      <c r="G65505" s="10"/>
    </row>
    <row r="65506" s="4" customFormat="1" ht="24.75" customHeight="1">
      <c r="G65506" s="10"/>
    </row>
    <row r="65507" s="4" customFormat="1" ht="24.75" customHeight="1">
      <c r="G65507" s="10"/>
    </row>
    <row r="65508" s="4" customFormat="1" ht="24.75" customHeight="1">
      <c r="G65508" s="10"/>
    </row>
    <row r="65509" s="4" customFormat="1" ht="24.75" customHeight="1">
      <c r="G65509" s="10"/>
    </row>
    <row r="65510" s="4" customFormat="1" ht="24.75" customHeight="1">
      <c r="G65510" s="10"/>
    </row>
    <row r="65511" s="4" customFormat="1" ht="24.75" customHeight="1">
      <c r="G65511" s="10"/>
    </row>
    <row r="65512" s="4" customFormat="1" ht="24.75" customHeight="1">
      <c r="G65512" s="10"/>
    </row>
    <row r="65513" s="4" customFormat="1" ht="24.75" customHeight="1">
      <c r="G65513" s="10"/>
    </row>
    <row r="65514" s="4" customFormat="1" ht="24.75" customHeight="1">
      <c r="G65514" s="10"/>
    </row>
    <row r="65515" s="4" customFormat="1" ht="24.75" customHeight="1">
      <c r="G65515" s="10"/>
    </row>
    <row r="65516" s="4" customFormat="1" ht="24.75" customHeight="1">
      <c r="G65516" s="10"/>
    </row>
    <row r="65517" s="4" customFormat="1" ht="24.75" customHeight="1">
      <c r="G65517" s="10"/>
    </row>
    <row r="65518" s="4" customFormat="1" ht="24.75" customHeight="1">
      <c r="G65518" s="10"/>
    </row>
    <row r="65519" s="4" customFormat="1" ht="24.75" customHeight="1">
      <c r="G65519" s="10"/>
    </row>
    <row r="65520" s="4" customFormat="1" ht="24.75" customHeight="1">
      <c r="G65520" s="10"/>
    </row>
    <row r="65521" s="4" customFormat="1" ht="24.75" customHeight="1">
      <c r="G65521" s="10"/>
    </row>
    <row r="65522" s="4" customFormat="1" ht="24.75" customHeight="1">
      <c r="G65522" s="10"/>
    </row>
    <row r="65523" s="4" customFormat="1" ht="24.75" customHeight="1">
      <c r="G65523" s="10"/>
    </row>
    <row r="65524" s="4" customFormat="1" ht="24.75" customHeight="1">
      <c r="G65524" s="10"/>
    </row>
    <row r="65525" s="4" customFormat="1" ht="24.75" customHeight="1">
      <c r="G65525" s="10"/>
    </row>
    <row r="65526" s="4" customFormat="1" ht="24.75" customHeight="1">
      <c r="G65526" s="10"/>
    </row>
    <row r="65527" s="4" customFormat="1" ht="24.75" customHeight="1">
      <c r="G65527" s="10"/>
    </row>
    <row r="65528" s="4" customFormat="1" ht="24.75" customHeight="1">
      <c r="G65528" s="10"/>
    </row>
    <row r="65529" s="4" customFormat="1" ht="24.75" customHeight="1">
      <c r="G65529" s="10"/>
    </row>
    <row r="65530" s="4" customFormat="1" ht="24.75" customHeight="1">
      <c r="G65530" s="10"/>
    </row>
    <row r="65531" s="4" customFormat="1" ht="24.75" customHeight="1">
      <c r="G65531" s="10"/>
    </row>
    <row r="65532" s="4" customFormat="1" ht="24.75" customHeight="1">
      <c r="G65532" s="10"/>
    </row>
    <row r="65533" s="4" customFormat="1" ht="24.75" customHeight="1">
      <c r="G65533" s="10"/>
    </row>
    <row r="65534" s="4" customFormat="1" ht="24.75" customHeight="1">
      <c r="G65534" s="10"/>
    </row>
    <row r="65535" s="4" customFormat="1" ht="24.75" customHeight="1">
      <c r="G65535" s="10"/>
    </row>
    <row r="65536" s="4" customFormat="1" ht="24.75" customHeight="1">
      <c r="G65536" s="10"/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暖色调</cp:lastModifiedBy>
  <dcterms:created xsi:type="dcterms:W3CDTF">2016-12-02T08:54:00Z</dcterms:created>
  <dcterms:modified xsi:type="dcterms:W3CDTF">2022-06-12T06:13:36Z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C0A299C44BED41D2918364CF33739F9A</vt:lpwstr>
  </property>
</Properties>
</file>