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格人员" sheetId="1" r:id="rId1"/>
  </sheets>
  <definedNames/>
  <calcPr fullCalcOnLoad="1"/>
</workbook>
</file>

<file path=xl/sharedStrings.xml><?xml version="1.0" encoding="utf-8"?>
<sst xmlns="http://schemas.openxmlformats.org/spreadsheetml/2006/main" count="3428" uniqueCount="47">
  <si>
    <t>附件：</t>
  </si>
  <si>
    <t>白沙黎族自治县2022年公开招聘中小学教师通过报名资格审查考生名单</t>
  </si>
  <si>
    <t>序号</t>
  </si>
  <si>
    <t>报考号</t>
  </si>
  <si>
    <t>报考岗位</t>
  </si>
  <si>
    <t>姓名</t>
  </si>
  <si>
    <t>性别</t>
  </si>
  <si>
    <t>0101_英语教师</t>
  </si>
  <si>
    <t>0201_思想品德教师</t>
  </si>
  <si>
    <t>0202_信息技术教师</t>
  </si>
  <si>
    <t>0301_语文教师</t>
  </si>
  <si>
    <t>0401_数学教师</t>
  </si>
  <si>
    <t>0402_英语教师</t>
  </si>
  <si>
    <t>0501_语文教师</t>
  </si>
  <si>
    <t>0502_思想品德教师</t>
  </si>
  <si>
    <t>0601_语文教师</t>
  </si>
  <si>
    <t>0701_语文教师</t>
  </si>
  <si>
    <t>0702_数学教师</t>
  </si>
  <si>
    <t>0801_思想品德教师</t>
  </si>
  <si>
    <t>0901_思想品德教师</t>
  </si>
  <si>
    <t>1001_英语教师</t>
  </si>
  <si>
    <t>1101_语文教师</t>
  </si>
  <si>
    <t>1201_语文教师</t>
  </si>
  <si>
    <t>1202_数学教师</t>
  </si>
  <si>
    <t>1203_英语教师</t>
  </si>
  <si>
    <t>1204_体育教师</t>
  </si>
  <si>
    <t>1205_信息技术教师</t>
  </si>
  <si>
    <t>1301_语文教师</t>
  </si>
  <si>
    <t>1302_美术教师</t>
  </si>
  <si>
    <t>1303_生物教师</t>
  </si>
  <si>
    <t>1401_语文教师</t>
  </si>
  <si>
    <t>1402_思想品德教师</t>
  </si>
  <si>
    <t>1403_信息技术教师</t>
  </si>
  <si>
    <t>1501_语文教师</t>
  </si>
  <si>
    <t>1502_信息技术教师</t>
  </si>
  <si>
    <t>1601_语文教师</t>
  </si>
  <si>
    <t>1602_数学教师</t>
  </si>
  <si>
    <t>1603_体育教师</t>
  </si>
  <si>
    <t>1604_历史教师</t>
  </si>
  <si>
    <t>1701_语文教师</t>
  </si>
  <si>
    <t>1702_体育教师</t>
  </si>
  <si>
    <t>2102_英语教师</t>
  </si>
  <si>
    <t>2103_生物教师</t>
  </si>
  <si>
    <t>1801_英语教师</t>
  </si>
  <si>
    <t>1802_地理教师</t>
  </si>
  <si>
    <t>1901_数学教师</t>
  </si>
  <si>
    <t>2001_地理教师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</si>
</sst>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24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"/>
  <cols>
    <col min="1" max="1" width="9.00390625" style="2" customWidth="1"/>
    <col min="2" max="2" width="23.7109375" style="2" customWidth="1"/>
    <col min="3" max="3" width="18.140625" style="2" customWidth="1"/>
    <col min="4" max="4" width="10.57421875" style="2" customWidth="1"/>
    <col min="5" max="16384" width="9.00390625" style="2" customWidth="1"/>
  </cols>
  <sheetData>
    <row r="1" spans="1:5" ht="24" customHeight="1">
      <c r="A1" s="3" t="s">
        <v>0</v>
      </c>
      <c r="B1" s="3"/>
      <c r="C1" s="3"/>
      <c r="D1" s="3"/>
      <c r="E1" s="3"/>
    </row>
    <row r="2" spans="1:5" ht="42" customHeight="1">
      <c r="A2" s="4" t="s">
        <v>1</v>
      </c>
      <c r="B2" s="5"/>
      <c r="C2" s="5"/>
      <c r="D2" s="5"/>
      <c r="E2" s="5"/>
    </row>
    <row r="3" spans="1: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0" customHeight="1">
      <c r="A4" s="7">
        <v>1</v>
      </c>
      <c r="B4" s="7" t="str">
        <f>"38662022042109013024897"</f>
        <v>38662022042109013024897</v>
      </c>
      <c r="C4" s="7" t="s">
        <v>7</v>
      </c>
      <c r="D4" s="7" t="str">
        <f>"羊彩珠"</f>
        <v>羊彩珠</v>
      </c>
      <c r="E4" s="7" t="str">
        <f aca="true" t="shared" si="0" ref="E4:E67">"女"</f>
        <v>女</v>
      </c>
    </row>
    <row r="5" spans="1:5" ht="30" customHeight="1">
      <c r="A5" s="7">
        <v>2</v>
      </c>
      <c r="B5" s="7" t="str">
        <f>"38662022042109022524910"</f>
        <v>38662022042109022524910</v>
      </c>
      <c r="C5" s="7" t="s">
        <v>7</v>
      </c>
      <c r="D5" s="7" t="str">
        <f>"麦瑶"</f>
        <v>麦瑶</v>
      </c>
      <c r="E5" s="7" t="str">
        <f t="shared" si="0"/>
        <v>女</v>
      </c>
    </row>
    <row r="6" spans="1:5" ht="30" customHeight="1">
      <c r="A6" s="7">
        <v>3</v>
      </c>
      <c r="B6" s="7" t="str">
        <f>"38662022042109085424993"</f>
        <v>38662022042109085424993</v>
      </c>
      <c r="C6" s="7" t="s">
        <v>7</v>
      </c>
      <c r="D6" s="7" t="str">
        <f>"文海凤"</f>
        <v>文海凤</v>
      </c>
      <c r="E6" s="7" t="str">
        <f t="shared" si="0"/>
        <v>女</v>
      </c>
    </row>
    <row r="7" spans="1:5" ht="30" customHeight="1">
      <c r="A7" s="7">
        <v>4</v>
      </c>
      <c r="B7" s="7" t="str">
        <f>"38662022042109110025020"</f>
        <v>38662022042109110025020</v>
      </c>
      <c r="C7" s="7" t="s">
        <v>7</v>
      </c>
      <c r="D7" s="7" t="str">
        <f>"周文梦"</f>
        <v>周文梦</v>
      </c>
      <c r="E7" s="7" t="str">
        <f t="shared" si="0"/>
        <v>女</v>
      </c>
    </row>
    <row r="8" spans="1:5" ht="30" customHeight="1">
      <c r="A8" s="7">
        <v>5</v>
      </c>
      <c r="B8" s="7" t="str">
        <f>"38662022042109115625032"</f>
        <v>38662022042109115625032</v>
      </c>
      <c r="C8" s="7" t="s">
        <v>7</v>
      </c>
      <c r="D8" s="7" t="str">
        <f>"钟娘容"</f>
        <v>钟娘容</v>
      </c>
      <c r="E8" s="7" t="str">
        <f t="shared" si="0"/>
        <v>女</v>
      </c>
    </row>
    <row r="9" spans="1:5" ht="30" customHeight="1">
      <c r="A9" s="7">
        <v>6</v>
      </c>
      <c r="B9" s="7" t="str">
        <f>"38662022042109153425073"</f>
        <v>38662022042109153425073</v>
      </c>
      <c r="C9" s="7" t="s">
        <v>7</v>
      </c>
      <c r="D9" s="7" t="str">
        <f>"周倩"</f>
        <v>周倩</v>
      </c>
      <c r="E9" s="7" t="str">
        <f t="shared" si="0"/>
        <v>女</v>
      </c>
    </row>
    <row r="10" spans="1:5" ht="30" customHeight="1">
      <c r="A10" s="7">
        <v>7</v>
      </c>
      <c r="B10" s="7" t="str">
        <f>"38662022042109474525462"</f>
        <v>38662022042109474525462</v>
      </c>
      <c r="C10" s="7" t="s">
        <v>7</v>
      </c>
      <c r="D10" s="7" t="str">
        <f>"王晨雨"</f>
        <v>王晨雨</v>
      </c>
      <c r="E10" s="7" t="str">
        <f t="shared" si="0"/>
        <v>女</v>
      </c>
    </row>
    <row r="11" spans="1:5" ht="30" customHeight="1">
      <c r="A11" s="7">
        <v>8</v>
      </c>
      <c r="B11" s="7" t="str">
        <f>"38662022042109501525488"</f>
        <v>38662022042109501525488</v>
      </c>
      <c r="C11" s="7" t="s">
        <v>7</v>
      </c>
      <c r="D11" s="7" t="str">
        <f>"张丽虹"</f>
        <v>张丽虹</v>
      </c>
      <c r="E11" s="7" t="str">
        <f t="shared" si="0"/>
        <v>女</v>
      </c>
    </row>
    <row r="12" spans="1:5" ht="30" customHeight="1">
      <c r="A12" s="7">
        <v>9</v>
      </c>
      <c r="B12" s="7" t="str">
        <f>"38662022042110040725681"</f>
        <v>38662022042110040725681</v>
      </c>
      <c r="C12" s="7" t="s">
        <v>7</v>
      </c>
      <c r="D12" s="7" t="str">
        <f>"王舒颖"</f>
        <v>王舒颖</v>
      </c>
      <c r="E12" s="7" t="str">
        <f t="shared" si="0"/>
        <v>女</v>
      </c>
    </row>
    <row r="13" spans="1:5" ht="30" customHeight="1">
      <c r="A13" s="7">
        <v>10</v>
      </c>
      <c r="B13" s="7" t="str">
        <f>"38662022042110062825711"</f>
        <v>38662022042110062825711</v>
      </c>
      <c r="C13" s="7" t="s">
        <v>7</v>
      </c>
      <c r="D13" s="7" t="str">
        <f>"陈玉婵"</f>
        <v>陈玉婵</v>
      </c>
      <c r="E13" s="7" t="str">
        <f t="shared" si="0"/>
        <v>女</v>
      </c>
    </row>
    <row r="14" spans="1:5" ht="30" customHeight="1">
      <c r="A14" s="7">
        <v>11</v>
      </c>
      <c r="B14" s="7" t="str">
        <f>"38662022042110082825735"</f>
        <v>38662022042110082825735</v>
      </c>
      <c r="C14" s="7" t="s">
        <v>7</v>
      </c>
      <c r="D14" s="7" t="str">
        <f>"梁静"</f>
        <v>梁静</v>
      </c>
      <c r="E14" s="7" t="str">
        <f t="shared" si="0"/>
        <v>女</v>
      </c>
    </row>
    <row r="15" spans="1:5" ht="30" customHeight="1">
      <c r="A15" s="7">
        <v>12</v>
      </c>
      <c r="B15" s="7" t="str">
        <f>"38662022042110183825866"</f>
        <v>38662022042110183825866</v>
      </c>
      <c r="C15" s="7" t="s">
        <v>7</v>
      </c>
      <c r="D15" s="7" t="str">
        <f>"云丽青"</f>
        <v>云丽青</v>
      </c>
      <c r="E15" s="7" t="str">
        <f t="shared" si="0"/>
        <v>女</v>
      </c>
    </row>
    <row r="16" spans="1:5" ht="30" customHeight="1">
      <c r="A16" s="7">
        <v>13</v>
      </c>
      <c r="B16" s="7" t="str">
        <f>"38662022042110195325878"</f>
        <v>38662022042110195325878</v>
      </c>
      <c r="C16" s="7" t="s">
        <v>7</v>
      </c>
      <c r="D16" s="7" t="str">
        <f>"陈伟妍"</f>
        <v>陈伟妍</v>
      </c>
      <c r="E16" s="7" t="str">
        <f t="shared" si="0"/>
        <v>女</v>
      </c>
    </row>
    <row r="17" spans="1:5" ht="30" customHeight="1">
      <c r="A17" s="7">
        <v>14</v>
      </c>
      <c r="B17" s="7" t="str">
        <f>"38662022042110493926256"</f>
        <v>38662022042110493926256</v>
      </c>
      <c r="C17" s="7" t="s">
        <v>7</v>
      </c>
      <c r="D17" s="7" t="str">
        <f>"徐永玲"</f>
        <v>徐永玲</v>
      </c>
      <c r="E17" s="7" t="str">
        <f t="shared" si="0"/>
        <v>女</v>
      </c>
    </row>
    <row r="18" spans="1:5" ht="30" customHeight="1">
      <c r="A18" s="7">
        <v>15</v>
      </c>
      <c r="B18" s="7" t="str">
        <f>"38662022042110585026359"</f>
        <v>38662022042110585026359</v>
      </c>
      <c r="C18" s="7" t="s">
        <v>7</v>
      </c>
      <c r="D18" s="7" t="str">
        <f>"温淑岚"</f>
        <v>温淑岚</v>
      </c>
      <c r="E18" s="7" t="str">
        <f t="shared" si="0"/>
        <v>女</v>
      </c>
    </row>
    <row r="19" spans="1:5" ht="30" customHeight="1">
      <c r="A19" s="7">
        <v>16</v>
      </c>
      <c r="B19" s="7" t="str">
        <f>"38662022042111022426398"</f>
        <v>38662022042111022426398</v>
      </c>
      <c r="C19" s="7" t="s">
        <v>7</v>
      </c>
      <c r="D19" s="7" t="str">
        <f>"王金玳"</f>
        <v>王金玳</v>
      </c>
      <c r="E19" s="7" t="str">
        <f t="shared" si="0"/>
        <v>女</v>
      </c>
    </row>
    <row r="20" spans="1:5" ht="30" customHeight="1">
      <c r="A20" s="7">
        <v>17</v>
      </c>
      <c r="B20" s="7" t="str">
        <f>"38662022042111033726409"</f>
        <v>38662022042111033726409</v>
      </c>
      <c r="C20" s="7" t="s">
        <v>7</v>
      </c>
      <c r="D20" s="7" t="str">
        <f>"汤博芬"</f>
        <v>汤博芬</v>
      </c>
      <c r="E20" s="7" t="str">
        <f t="shared" si="0"/>
        <v>女</v>
      </c>
    </row>
    <row r="21" spans="1:5" ht="30" customHeight="1">
      <c r="A21" s="7">
        <v>18</v>
      </c>
      <c r="B21" s="7" t="str">
        <f>"38662022042111195726557"</f>
        <v>38662022042111195726557</v>
      </c>
      <c r="C21" s="7" t="s">
        <v>7</v>
      </c>
      <c r="D21" s="7" t="str">
        <f>"吴刘蕊"</f>
        <v>吴刘蕊</v>
      </c>
      <c r="E21" s="7" t="str">
        <f t="shared" si="0"/>
        <v>女</v>
      </c>
    </row>
    <row r="22" spans="1:5" ht="30" customHeight="1">
      <c r="A22" s="7">
        <v>19</v>
      </c>
      <c r="B22" s="7" t="str">
        <f>"38662022042111401126753"</f>
        <v>38662022042111401126753</v>
      </c>
      <c r="C22" s="7" t="s">
        <v>7</v>
      </c>
      <c r="D22" s="7" t="str">
        <f>"丁海波"</f>
        <v>丁海波</v>
      </c>
      <c r="E22" s="7" t="str">
        <f t="shared" si="0"/>
        <v>女</v>
      </c>
    </row>
    <row r="23" spans="1:5" ht="30" customHeight="1">
      <c r="A23" s="7">
        <v>20</v>
      </c>
      <c r="B23" s="7" t="str">
        <f>"38662022042111475826808"</f>
        <v>38662022042111475826808</v>
      </c>
      <c r="C23" s="7" t="s">
        <v>7</v>
      </c>
      <c r="D23" s="7" t="str">
        <f>"符吉南"</f>
        <v>符吉南</v>
      </c>
      <c r="E23" s="7" t="str">
        <f t="shared" si="0"/>
        <v>女</v>
      </c>
    </row>
    <row r="24" spans="1:5" ht="30" customHeight="1">
      <c r="A24" s="7">
        <v>21</v>
      </c>
      <c r="B24" s="7" t="str">
        <f>"38662022042111504526825"</f>
        <v>38662022042111504526825</v>
      </c>
      <c r="C24" s="7" t="s">
        <v>7</v>
      </c>
      <c r="D24" s="7" t="str">
        <f>"吴开财"</f>
        <v>吴开财</v>
      </c>
      <c r="E24" s="7" t="str">
        <f t="shared" si="0"/>
        <v>女</v>
      </c>
    </row>
    <row r="25" spans="1:5" ht="30" customHeight="1">
      <c r="A25" s="7">
        <v>22</v>
      </c>
      <c r="B25" s="7" t="str">
        <f>"38662022042112104126973"</f>
        <v>38662022042112104126973</v>
      </c>
      <c r="C25" s="7" t="s">
        <v>7</v>
      </c>
      <c r="D25" s="7" t="str">
        <f>"范孟静"</f>
        <v>范孟静</v>
      </c>
      <c r="E25" s="7" t="str">
        <f t="shared" si="0"/>
        <v>女</v>
      </c>
    </row>
    <row r="26" spans="1:5" ht="30" customHeight="1">
      <c r="A26" s="7">
        <v>23</v>
      </c>
      <c r="B26" s="7" t="str">
        <f>"38662022042112105726975"</f>
        <v>38662022042112105726975</v>
      </c>
      <c r="C26" s="7" t="s">
        <v>7</v>
      </c>
      <c r="D26" s="7" t="str">
        <f>"夏彤"</f>
        <v>夏彤</v>
      </c>
      <c r="E26" s="7" t="str">
        <f t="shared" si="0"/>
        <v>女</v>
      </c>
    </row>
    <row r="27" spans="1:5" ht="30" customHeight="1">
      <c r="A27" s="7">
        <v>24</v>
      </c>
      <c r="B27" s="7" t="str">
        <f>"38662022042112360727139"</f>
        <v>38662022042112360727139</v>
      </c>
      <c r="C27" s="7" t="s">
        <v>7</v>
      </c>
      <c r="D27" s="7" t="str">
        <f>"符礼娜"</f>
        <v>符礼娜</v>
      </c>
      <c r="E27" s="7" t="str">
        <f t="shared" si="0"/>
        <v>女</v>
      </c>
    </row>
    <row r="28" spans="1:5" ht="30" customHeight="1">
      <c r="A28" s="7">
        <v>25</v>
      </c>
      <c r="B28" s="7" t="str">
        <f>"38662022042113050227316"</f>
        <v>38662022042113050227316</v>
      </c>
      <c r="C28" s="7" t="s">
        <v>7</v>
      </c>
      <c r="D28" s="7" t="str">
        <f>"王娟"</f>
        <v>王娟</v>
      </c>
      <c r="E28" s="7" t="str">
        <f t="shared" si="0"/>
        <v>女</v>
      </c>
    </row>
    <row r="29" spans="1:5" ht="30" customHeight="1">
      <c r="A29" s="7">
        <v>26</v>
      </c>
      <c r="B29" s="7" t="str">
        <f>"38662022042113095427343"</f>
        <v>38662022042113095427343</v>
      </c>
      <c r="C29" s="7" t="s">
        <v>7</v>
      </c>
      <c r="D29" s="7" t="str">
        <f>"李海坤"</f>
        <v>李海坤</v>
      </c>
      <c r="E29" s="7" t="str">
        <f t="shared" si="0"/>
        <v>女</v>
      </c>
    </row>
    <row r="30" spans="1:5" ht="30" customHeight="1">
      <c r="A30" s="7">
        <v>27</v>
      </c>
      <c r="B30" s="7" t="str">
        <f>"38662022042113474127502"</f>
        <v>38662022042113474127502</v>
      </c>
      <c r="C30" s="7" t="s">
        <v>7</v>
      </c>
      <c r="D30" s="7" t="str">
        <f>"黄小滨"</f>
        <v>黄小滨</v>
      </c>
      <c r="E30" s="7" t="str">
        <f t="shared" si="0"/>
        <v>女</v>
      </c>
    </row>
    <row r="31" spans="1:5" ht="30" customHeight="1">
      <c r="A31" s="7">
        <v>28</v>
      </c>
      <c r="B31" s="7" t="str">
        <f>"38662022042114122327618"</f>
        <v>38662022042114122327618</v>
      </c>
      <c r="C31" s="7" t="s">
        <v>7</v>
      </c>
      <c r="D31" s="7" t="str">
        <f>"梁英南"</f>
        <v>梁英南</v>
      </c>
      <c r="E31" s="7" t="str">
        <f t="shared" si="0"/>
        <v>女</v>
      </c>
    </row>
    <row r="32" spans="1:5" ht="30" customHeight="1">
      <c r="A32" s="7">
        <v>29</v>
      </c>
      <c r="B32" s="7" t="str">
        <f>"38662022042114302227718"</f>
        <v>38662022042114302227718</v>
      </c>
      <c r="C32" s="7" t="s">
        <v>7</v>
      </c>
      <c r="D32" s="7" t="str">
        <f>"吴琼丹"</f>
        <v>吴琼丹</v>
      </c>
      <c r="E32" s="7" t="str">
        <f t="shared" si="0"/>
        <v>女</v>
      </c>
    </row>
    <row r="33" spans="1:5" ht="30" customHeight="1">
      <c r="A33" s="7">
        <v>30</v>
      </c>
      <c r="B33" s="7" t="str">
        <f>"38662022042114370527762"</f>
        <v>38662022042114370527762</v>
      </c>
      <c r="C33" s="7" t="s">
        <v>7</v>
      </c>
      <c r="D33" s="7" t="str">
        <f>"任超"</f>
        <v>任超</v>
      </c>
      <c r="E33" s="7" t="str">
        <f t="shared" si="0"/>
        <v>女</v>
      </c>
    </row>
    <row r="34" spans="1:5" ht="30" customHeight="1">
      <c r="A34" s="7">
        <v>31</v>
      </c>
      <c r="B34" s="7" t="str">
        <f>"38662022042114403727793"</f>
        <v>38662022042114403727793</v>
      </c>
      <c r="C34" s="7" t="s">
        <v>7</v>
      </c>
      <c r="D34" s="7" t="str">
        <f>"陈彩云"</f>
        <v>陈彩云</v>
      </c>
      <c r="E34" s="7" t="str">
        <f t="shared" si="0"/>
        <v>女</v>
      </c>
    </row>
    <row r="35" spans="1:5" ht="30" customHeight="1">
      <c r="A35" s="7">
        <v>32</v>
      </c>
      <c r="B35" s="7" t="str">
        <f>"38662022042114404527795"</f>
        <v>38662022042114404527795</v>
      </c>
      <c r="C35" s="7" t="s">
        <v>7</v>
      </c>
      <c r="D35" s="7" t="str">
        <f>"符坤究"</f>
        <v>符坤究</v>
      </c>
      <c r="E35" s="7" t="str">
        <f t="shared" si="0"/>
        <v>女</v>
      </c>
    </row>
    <row r="36" spans="1:5" ht="30" customHeight="1">
      <c r="A36" s="7">
        <v>33</v>
      </c>
      <c r="B36" s="7" t="str">
        <f>"38662022042115103328057"</f>
        <v>38662022042115103328057</v>
      </c>
      <c r="C36" s="7" t="s">
        <v>7</v>
      </c>
      <c r="D36" s="7" t="str">
        <f>"顾倩"</f>
        <v>顾倩</v>
      </c>
      <c r="E36" s="7" t="str">
        <f t="shared" si="0"/>
        <v>女</v>
      </c>
    </row>
    <row r="37" spans="1:5" ht="30" customHeight="1">
      <c r="A37" s="7">
        <v>34</v>
      </c>
      <c r="B37" s="7" t="str">
        <f>"38662022042115222928166"</f>
        <v>38662022042115222928166</v>
      </c>
      <c r="C37" s="7" t="s">
        <v>7</v>
      </c>
      <c r="D37" s="7" t="str">
        <f>"吴爽"</f>
        <v>吴爽</v>
      </c>
      <c r="E37" s="7" t="str">
        <f t="shared" si="0"/>
        <v>女</v>
      </c>
    </row>
    <row r="38" spans="1:5" ht="30" customHeight="1">
      <c r="A38" s="7">
        <v>35</v>
      </c>
      <c r="B38" s="7" t="str">
        <f>"38662022042115254328195"</f>
        <v>38662022042115254328195</v>
      </c>
      <c r="C38" s="7" t="s">
        <v>7</v>
      </c>
      <c r="D38" s="7" t="str">
        <f>"薛贵娴"</f>
        <v>薛贵娴</v>
      </c>
      <c r="E38" s="7" t="str">
        <f t="shared" si="0"/>
        <v>女</v>
      </c>
    </row>
    <row r="39" spans="1:5" ht="30" customHeight="1">
      <c r="A39" s="7">
        <v>36</v>
      </c>
      <c r="B39" s="7" t="str">
        <f>"38662022042115323428254"</f>
        <v>38662022042115323428254</v>
      </c>
      <c r="C39" s="7" t="s">
        <v>7</v>
      </c>
      <c r="D39" s="7" t="str">
        <f>"杨忠燕"</f>
        <v>杨忠燕</v>
      </c>
      <c r="E39" s="7" t="str">
        <f t="shared" si="0"/>
        <v>女</v>
      </c>
    </row>
    <row r="40" spans="1:5" ht="30" customHeight="1">
      <c r="A40" s="7">
        <v>37</v>
      </c>
      <c r="B40" s="7" t="str">
        <f>"38662022042115373528290"</f>
        <v>38662022042115373528290</v>
      </c>
      <c r="C40" s="7" t="s">
        <v>7</v>
      </c>
      <c r="D40" s="7" t="str">
        <f>"袁道萃"</f>
        <v>袁道萃</v>
      </c>
      <c r="E40" s="7" t="str">
        <f t="shared" si="0"/>
        <v>女</v>
      </c>
    </row>
    <row r="41" spans="1:5" ht="30" customHeight="1">
      <c r="A41" s="7">
        <v>38</v>
      </c>
      <c r="B41" s="7" t="str">
        <f>"38662022042115445728349"</f>
        <v>38662022042115445728349</v>
      </c>
      <c r="C41" s="7" t="s">
        <v>7</v>
      </c>
      <c r="D41" s="7" t="str">
        <f>"李蓓"</f>
        <v>李蓓</v>
      </c>
      <c r="E41" s="7" t="str">
        <f t="shared" si="0"/>
        <v>女</v>
      </c>
    </row>
    <row r="42" spans="1:5" ht="30" customHeight="1">
      <c r="A42" s="7">
        <v>39</v>
      </c>
      <c r="B42" s="7" t="str">
        <f>"38662022042115551328425"</f>
        <v>38662022042115551328425</v>
      </c>
      <c r="C42" s="7" t="s">
        <v>7</v>
      </c>
      <c r="D42" s="7" t="str">
        <f>"钱丽云"</f>
        <v>钱丽云</v>
      </c>
      <c r="E42" s="7" t="str">
        <f t="shared" si="0"/>
        <v>女</v>
      </c>
    </row>
    <row r="43" spans="1:5" ht="30" customHeight="1">
      <c r="A43" s="7">
        <v>40</v>
      </c>
      <c r="B43" s="7" t="str">
        <f>"38662022042116032728470"</f>
        <v>38662022042116032728470</v>
      </c>
      <c r="C43" s="7" t="s">
        <v>7</v>
      </c>
      <c r="D43" s="7" t="str">
        <f>"陈万活"</f>
        <v>陈万活</v>
      </c>
      <c r="E43" s="7" t="str">
        <f t="shared" si="0"/>
        <v>女</v>
      </c>
    </row>
    <row r="44" spans="1:5" ht="30" customHeight="1">
      <c r="A44" s="7">
        <v>41</v>
      </c>
      <c r="B44" s="7" t="str">
        <f>"38662022042116122228526"</f>
        <v>38662022042116122228526</v>
      </c>
      <c r="C44" s="7" t="s">
        <v>7</v>
      </c>
      <c r="D44" s="7" t="str">
        <f>"王晓晗"</f>
        <v>王晓晗</v>
      </c>
      <c r="E44" s="7" t="str">
        <f t="shared" si="0"/>
        <v>女</v>
      </c>
    </row>
    <row r="45" spans="1:5" ht="30" customHeight="1">
      <c r="A45" s="7">
        <v>42</v>
      </c>
      <c r="B45" s="7" t="str">
        <f>"38662022042116283428654"</f>
        <v>38662022042116283428654</v>
      </c>
      <c r="C45" s="7" t="s">
        <v>7</v>
      </c>
      <c r="D45" s="7" t="str">
        <f>"范老钦"</f>
        <v>范老钦</v>
      </c>
      <c r="E45" s="7" t="str">
        <f t="shared" si="0"/>
        <v>女</v>
      </c>
    </row>
    <row r="46" spans="1:5" ht="30" customHeight="1">
      <c r="A46" s="7">
        <v>43</v>
      </c>
      <c r="B46" s="7" t="str">
        <f>"38662022042116343828686"</f>
        <v>38662022042116343828686</v>
      </c>
      <c r="C46" s="7" t="s">
        <v>7</v>
      </c>
      <c r="D46" s="7" t="str">
        <f>"吴小双"</f>
        <v>吴小双</v>
      </c>
      <c r="E46" s="7" t="str">
        <f t="shared" si="0"/>
        <v>女</v>
      </c>
    </row>
    <row r="47" spans="1:5" ht="30" customHeight="1">
      <c r="A47" s="7">
        <v>44</v>
      </c>
      <c r="B47" s="7" t="str">
        <f>"38662022042116375428710"</f>
        <v>38662022042116375428710</v>
      </c>
      <c r="C47" s="7" t="s">
        <v>7</v>
      </c>
      <c r="D47" s="7" t="str">
        <f>"邢增莹"</f>
        <v>邢增莹</v>
      </c>
      <c r="E47" s="7" t="str">
        <f t="shared" si="0"/>
        <v>女</v>
      </c>
    </row>
    <row r="48" spans="1:5" ht="30" customHeight="1">
      <c r="A48" s="7">
        <v>45</v>
      </c>
      <c r="B48" s="7" t="str">
        <f>"38662022042116502828793"</f>
        <v>38662022042116502828793</v>
      </c>
      <c r="C48" s="7" t="s">
        <v>7</v>
      </c>
      <c r="D48" s="7" t="str">
        <f>"唐苗"</f>
        <v>唐苗</v>
      </c>
      <c r="E48" s="7" t="str">
        <f t="shared" si="0"/>
        <v>女</v>
      </c>
    </row>
    <row r="49" spans="1:5" ht="30" customHeight="1">
      <c r="A49" s="7">
        <v>46</v>
      </c>
      <c r="B49" s="7" t="str">
        <f>"38662022042117003628853"</f>
        <v>38662022042117003628853</v>
      </c>
      <c r="C49" s="7" t="s">
        <v>7</v>
      </c>
      <c r="D49" s="7" t="str">
        <f>"吴多珍"</f>
        <v>吴多珍</v>
      </c>
      <c r="E49" s="7" t="str">
        <f t="shared" si="0"/>
        <v>女</v>
      </c>
    </row>
    <row r="50" spans="1:5" ht="30" customHeight="1">
      <c r="A50" s="7">
        <v>47</v>
      </c>
      <c r="B50" s="7" t="str">
        <f>"38662022042117044528881"</f>
        <v>38662022042117044528881</v>
      </c>
      <c r="C50" s="7" t="s">
        <v>7</v>
      </c>
      <c r="D50" s="7" t="str">
        <f>"符华艳"</f>
        <v>符华艳</v>
      </c>
      <c r="E50" s="7" t="str">
        <f t="shared" si="0"/>
        <v>女</v>
      </c>
    </row>
    <row r="51" spans="1:5" ht="30" customHeight="1">
      <c r="A51" s="7">
        <v>48</v>
      </c>
      <c r="B51" s="7" t="str">
        <f>"38662022042117060128890"</f>
        <v>38662022042117060128890</v>
      </c>
      <c r="C51" s="7" t="s">
        <v>7</v>
      </c>
      <c r="D51" s="7" t="str">
        <f>"羊秀庆"</f>
        <v>羊秀庆</v>
      </c>
      <c r="E51" s="7" t="str">
        <f t="shared" si="0"/>
        <v>女</v>
      </c>
    </row>
    <row r="52" spans="1:5" ht="30" customHeight="1">
      <c r="A52" s="7">
        <v>49</v>
      </c>
      <c r="B52" s="7" t="str">
        <f>"38662022042117370429084"</f>
        <v>38662022042117370429084</v>
      </c>
      <c r="C52" s="7" t="s">
        <v>7</v>
      </c>
      <c r="D52" s="7" t="str">
        <f>"王娜"</f>
        <v>王娜</v>
      </c>
      <c r="E52" s="7" t="str">
        <f t="shared" si="0"/>
        <v>女</v>
      </c>
    </row>
    <row r="53" spans="1:5" ht="30" customHeight="1">
      <c r="A53" s="7">
        <v>50</v>
      </c>
      <c r="B53" s="7" t="str">
        <f>"38662022042118131429253"</f>
        <v>38662022042118131429253</v>
      </c>
      <c r="C53" s="7" t="s">
        <v>7</v>
      </c>
      <c r="D53" s="7" t="str">
        <f>"杨珊"</f>
        <v>杨珊</v>
      </c>
      <c r="E53" s="7" t="str">
        <f t="shared" si="0"/>
        <v>女</v>
      </c>
    </row>
    <row r="54" spans="1:5" ht="30" customHeight="1">
      <c r="A54" s="7">
        <v>51</v>
      </c>
      <c r="B54" s="7" t="str">
        <f>"38662022042118372829353"</f>
        <v>38662022042118372829353</v>
      </c>
      <c r="C54" s="7" t="s">
        <v>7</v>
      </c>
      <c r="D54" s="7" t="str">
        <f>"陈婧"</f>
        <v>陈婧</v>
      </c>
      <c r="E54" s="7" t="str">
        <f t="shared" si="0"/>
        <v>女</v>
      </c>
    </row>
    <row r="55" spans="1:5" ht="30" customHeight="1">
      <c r="A55" s="7">
        <v>52</v>
      </c>
      <c r="B55" s="7" t="str">
        <f>"38662022042120382329922"</f>
        <v>38662022042120382329922</v>
      </c>
      <c r="C55" s="7" t="s">
        <v>7</v>
      </c>
      <c r="D55" s="7" t="str">
        <f>"韩琼琼"</f>
        <v>韩琼琼</v>
      </c>
      <c r="E55" s="7" t="str">
        <f t="shared" si="0"/>
        <v>女</v>
      </c>
    </row>
    <row r="56" spans="1:5" ht="30" customHeight="1">
      <c r="A56" s="7">
        <v>53</v>
      </c>
      <c r="B56" s="7" t="str">
        <f>"38662022042120492829987"</f>
        <v>38662022042120492829987</v>
      </c>
      <c r="C56" s="7" t="s">
        <v>7</v>
      </c>
      <c r="D56" s="7" t="str">
        <f>"林世妃"</f>
        <v>林世妃</v>
      </c>
      <c r="E56" s="7" t="str">
        <f t="shared" si="0"/>
        <v>女</v>
      </c>
    </row>
    <row r="57" spans="1:5" ht="30" customHeight="1">
      <c r="A57" s="7">
        <v>54</v>
      </c>
      <c r="B57" s="7" t="str">
        <f>"38662022042121011030040"</f>
        <v>38662022042121011030040</v>
      </c>
      <c r="C57" s="7" t="s">
        <v>7</v>
      </c>
      <c r="D57" s="7" t="str">
        <f>"金冬女"</f>
        <v>金冬女</v>
      </c>
      <c r="E57" s="7" t="str">
        <f t="shared" si="0"/>
        <v>女</v>
      </c>
    </row>
    <row r="58" spans="1:5" ht="30" customHeight="1">
      <c r="A58" s="7">
        <v>55</v>
      </c>
      <c r="B58" s="7" t="str">
        <f>"38662022042121225130167"</f>
        <v>38662022042121225130167</v>
      </c>
      <c r="C58" s="7" t="s">
        <v>7</v>
      </c>
      <c r="D58" s="7" t="str">
        <f>"吴姝莹"</f>
        <v>吴姝莹</v>
      </c>
      <c r="E58" s="7" t="str">
        <f t="shared" si="0"/>
        <v>女</v>
      </c>
    </row>
    <row r="59" spans="1:5" ht="30" customHeight="1">
      <c r="A59" s="7">
        <v>56</v>
      </c>
      <c r="B59" s="7" t="str">
        <f>"38662022042121291430202"</f>
        <v>38662022042121291430202</v>
      </c>
      <c r="C59" s="7" t="s">
        <v>7</v>
      </c>
      <c r="D59" s="7" t="str">
        <f>"王琦璐"</f>
        <v>王琦璐</v>
      </c>
      <c r="E59" s="7" t="str">
        <f t="shared" si="0"/>
        <v>女</v>
      </c>
    </row>
    <row r="60" spans="1:5" ht="30" customHeight="1">
      <c r="A60" s="7">
        <v>57</v>
      </c>
      <c r="B60" s="7" t="str">
        <f>"38662022042121432130268"</f>
        <v>38662022042121432130268</v>
      </c>
      <c r="C60" s="7" t="s">
        <v>7</v>
      </c>
      <c r="D60" s="7" t="str">
        <f>"孟丽君"</f>
        <v>孟丽君</v>
      </c>
      <c r="E60" s="7" t="str">
        <f t="shared" si="0"/>
        <v>女</v>
      </c>
    </row>
    <row r="61" spans="1:5" ht="30" customHeight="1">
      <c r="A61" s="7">
        <v>58</v>
      </c>
      <c r="B61" s="7" t="str">
        <f>"38662022042122034730376"</f>
        <v>38662022042122034730376</v>
      </c>
      <c r="C61" s="7" t="s">
        <v>7</v>
      </c>
      <c r="D61" s="7" t="str">
        <f>"陈瑞香"</f>
        <v>陈瑞香</v>
      </c>
      <c r="E61" s="7" t="str">
        <f t="shared" si="0"/>
        <v>女</v>
      </c>
    </row>
    <row r="62" spans="1:5" ht="30" customHeight="1">
      <c r="A62" s="7">
        <v>59</v>
      </c>
      <c r="B62" s="7" t="str">
        <f>"38662022042123201530713"</f>
        <v>38662022042123201530713</v>
      </c>
      <c r="C62" s="7" t="s">
        <v>7</v>
      </c>
      <c r="D62" s="7" t="str">
        <f>"吴谢苗"</f>
        <v>吴谢苗</v>
      </c>
      <c r="E62" s="7" t="str">
        <f t="shared" si="0"/>
        <v>女</v>
      </c>
    </row>
    <row r="63" spans="1:5" ht="30" customHeight="1">
      <c r="A63" s="7">
        <v>60</v>
      </c>
      <c r="B63" s="7" t="str">
        <f>"38662022042200142230828"</f>
        <v>38662022042200142230828</v>
      </c>
      <c r="C63" s="7" t="s">
        <v>7</v>
      </c>
      <c r="D63" s="7" t="str">
        <f>"陈柳红"</f>
        <v>陈柳红</v>
      </c>
      <c r="E63" s="7" t="str">
        <f t="shared" si="0"/>
        <v>女</v>
      </c>
    </row>
    <row r="64" spans="1:5" ht="30" customHeight="1">
      <c r="A64" s="7">
        <v>61</v>
      </c>
      <c r="B64" s="7" t="str">
        <f>"38662022042208465931057"</f>
        <v>38662022042208465931057</v>
      </c>
      <c r="C64" s="7" t="s">
        <v>7</v>
      </c>
      <c r="D64" s="7" t="str">
        <f>"许林尾"</f>
        <v>许林尾</v>
      </c>
      <c r="E64" s="7" t="str">
        <f t="shared" si="0"/>
        <v>女</v>
      </c>
    </row>
    <row r="65" spans="1:5" ht="30" customHeight="1">
      <c r="A65" s="7">
        <v>62</v>
      </c>
      <c r="B65" s="7" t="str">
        <f>"38662022042208474331061"</f>
        <v>38662022042208474331061</v>
      </c>
      <c r="C65" s="7" t="s">
        <v>7</v>
      </c>
      <c r="D65" s="7" t="str">
        <f>"欧兰贞"</f>
        <v>欧兰贞</v>
      </c>
      <c r="E65" s="7" t="str">
        <f t="shared" si="0"/>
        <v>女</v>
      </c>
    </row>
    <row r="66" spans="1:5" ht="30" customHeight="1">
      <c r="A66" s="7">
        <v>63</v>
      </c>
      <c r="B66" s="7" t="str">
        <f>"38662022042208503831075"</f>
        <v>38662022042208503831075</v>
      </c>
      <c r="C66" s="7" t="s">
        <v>7</v>
      </c>
      <c r="D66" s="7" t="str">
        <f>"刘莹"</f>
        <v>刘莹</v>
      </c>
      <c r="E66" s="7" t="str">
        <f t="shared" si="0"/>
        <v>女</v>
      </c>
    </row>
    <row r="67" spans="1:5" ht="30" customHeight="1">
      <c r="A67" s="7">
        <v>64</v>
      </c>
      <c r="B67" s="7" t="str">
        <f>"38662022042209055031154"</f>
        <v>38662022042209055031154</v>
      </c>
      <c r="C67" s="7" t="s">
        <v>7</v>
      </c>
      <c r="D67" s="7" t="str">
        <f>"韦柔交"</f>
        <v>韦柔交</v>
      </c>
      <c r="E67" s="7" t="str">
        <f t="shared" si="0"/>
        <v>女</v>
      </c>
    </row>
    <row r="68" spans="1:5" ht="30" customHeight="1">
      <c r="A68" s="7">
        <v>65</v>
      </c>
      <c r="B68" s="7" t="str">
        <f>"38662022042209113731175"</f>
        <v>38662022042209113731175</v>
      </c>
      <c r="C68" s="7" t="s">
        <v>7</v>
      </c>
      <c r="D68" s="7" t="str">
        <f>"陈婉茜"</f>
        <v>陈婉茜</v>
      </c>
      <c r="E68" s="7" t="str">
        <f aca="true" t="shared" si="1" ref="E68:E101">"女"</f>
        <v>女</v>
      </c>
    </row>
    <row r="69" spans="1:5" ht="30" customHeight="1">
      <c r="A69" s="7">
        <v>66</v>
      </c>
      <c r="B69" s="7" t="str">
        <f>"38662022042209233331240"</f>
        <v>38662022042209233331240</v>
      </c>
      <c r="C69" s="7" t="s">
        <v>7</v>
      </c>
      <c r="D69" s="7" t="str">
        <f>"饶敏"</f>
        <v>饶敏</v>
      </c>
      <c r="E69" s="7" t="str">
        <f t="shared" si="1"/>
        <v>女</v>
      </c>
    </row>
    <row r="70" spans="1:5" ht="30" customHeight="1">
      <c r="A70" s="7">
        <v>67</v>
      </c>
      <c r="B70" s="7" t="str">
        <f>"38662022042209481131368"</f>
        <v>38662022042209481131368</v>
      </c>
      <c r="C70" s="7" t="s">
        <v>7</v>
      </c>
      <c r="D70" s="7" t="str">
        <f>"李冬景"</f>
        <v>李冬景</v>
      </c>
      <c r="E70" s="7" t="str">
        <f t="shared" si="1"/>
        <v>女</v>
      </c>
    </row>
    <row r="71" spans="1:5" ht="30" customHeight="1">
      <c r="A71" s="7">
        <v>68</v>
      </c>
      <c r="B71" s="7" t="str">
        <f>"38662022042210055431463"</f>
        <v>38662022042210055431463</v>
      </c>
      <c r="C71" s="7" t="s">
        <v>7</v>
      </c>
      <c r="D71" s="7" t="str">
        <f>"马小燕"</f>
        <v>马小燕</v>
      </c>
      <c r="E71" s="7" t="str">
        <f t="shared" si="1"/>
        <v>女</v>
      </c>
    </row>
    <row r="72" spans="1:5" ht="30" customHeight="1">
      <c r="A72" s="7">
        <v>69</v>
      </c>
      <c r="B72" s="7" t="str">
        <f>"38662022042210103131493"</f>
        <v>38662022042210103131493</v>
      </c>
      <c r="C72" s="7" t="s">
        <v>7</v>
      </c>
      <c r="D72" s="7" t="str">
        <f>"张儒燕"</f>
        <v>张儒燕</v>
      </c>
      <c r="E72" s="7" t="str">
        <f t="shared" si="1"/>
        <v>女</v>
      </c>
    </row>
    <row r="73" spans="1:5" ht="30" customHeight="1">
      <c r="A73" s="7">
        <v>70</v>
      </c>
      <c r="B73" s="7" t="str">
        <f>"38662022042210342831657"</f>
        <v>38662022042210342831657</v>
      </c>
      <c r="C73" s="7" t="s">
        <v>7</v>
      </c>
      <c r="D73" s="7" t="str">
        <f>"王妍"</f>
        <v>王妍</v>
      </c>
      <c r="E73" s="7" t="str">
        <f t="shared" si="1"/>
        <v>女</v>
      </c>
    </row>
    <row r="74" spans="1:5" ht="30" customHeight="1">
      <c r="A74" s="7">
        <v>71</v>
      </c>
      <c r="B74" s="7" t="str">
        <f>"38662022042211011731820"</f>
        <v>38662022042211011731820</v>
      </c>
      <c r="C74" s="7" t="s">
        <v>7</v>
      </c>
      <c r="D74" s="7" t="str">
        <f>"蒲壮柳"</f>
        <v>蒲壮柳</v>
      </c>
      <c r="E74" s="7" t="str">
        <f t="shared" si="1"/>
        <v>女</v>
      </c>
    </row>
    <row r="75" spans="1:5" ht="30" customHeight="1">
      <c r="A75" s="7">
        <v>72</v>
      </c>
      <c r="B75" s="7" t="str">
        <f>"38662022042211061931845"</f>
        <v>38662022042211061931845</v>
      </c>
      <c r="C75" s="7" t="s">
        <v>7</v>
      </c>
      <c r="D75" s="7" t="str">
        <f>"张惠婷"</f>
        <v>张惠婷</v>
      </c>
      <c r="E75" s="7" t="str">
        <f t="shared" si="1"/>
        <v>女</v>
      </c>
    </row>
    <row r="76" spans="1:5" ht="30" customHeight="1">
      <c r="A76" s="7">
        <v>73</v>
      </c>
      <c r="B76" s="7" t="str">
        <f>"38662022042211211932104"</f>
        <v>38662022042211211932104</v>
      </c>
      <c r="C76" s="7" t="s">
        <v>7</v>
      </c>
      <c r="D76" s="7" t="str">
        <f>"何美玉"</f>
        <v>何美玉</v>
      </c>
      <c r="E76" s="7" t="str">
        <f t="shared" si="1"/>
        <v>女</v>
      </c>
    </row>
    <row r="77" spans="1:5" ht="30" customHeight="1">
      <c r="A77" s="7">
        <v>74</v>
      </c>
      <c r="B77" s="7" t="str">
        <f>"38662022042211250332120"</f>
        <v>38662022042211250332120</v>
      </c>
      <c r="C77" s="7" t="s">
        <v>7</v>
      </c>
      <c r="D77" s="7" t="str">
        <f>"符茂容"</f>
        <v>符茂容</v>
      </c>
      <c r="E77" s="7" t="str">
        <f t="shared" si="1"/>
        <v>女</v>
      </c>
    </row>
    <row r="78" spans="1:5" ht="30" customHeight="1">
      <c r="A78" s="7">
        <v>75</v>
      </c>
      <c r="B78" s="7" t="str">
        <f>"38662022042211292432137"</f>
        <v>38662022042211292432137</v>
      </c>
      <c r="C78" s="7" t="s">
        <v>7</v>
      </c>
      <c r="D78" s="7" t="str">
        <f>"邱利雅"</f>
        <v>邱利雅</v>
      </c>
      <c r="E78" s="7" t="str">
        <f t="shared" si="1"/>
        <v>女</v>
      </c>
    </row>
    <row r="79" spans="1:5" ht="30" customHeight="1">
      <c r="A79" s="7">
        <v>76</v>
      </c>
      <c r="B79" s="7" t="str">
        <f>"38662022042211524332424"</f>
        <v>38662022042211524332424</v>
      </c>
      <c r="C79" s="7" t="s">
        <v>7</v>
      </c>
      <c r="D79" s="7" t="str">
        <f>"李林妹"</f>
        <v>李林妹</v>
      </c>
      <c r="E79" s="7" t="str">
        <f t="shared" si="1"/>
        <v>女</v>
      </c>
    </row>
    <row r="80" spans="1:5" ht="30" customHeight="1">
      <c r="A80" s="7">
        <v>77</v>
      </c>
      <c r="B80" s="7" t="str">
        <f>"38662022042212315132575"</f>
        <v>38662022042212315132575</v>
      </c>
      <c r="C80" s="7" t="s">
        <v>7</v>
      </c>
      <c r="D80" s="7" t="str">
        <f>"陈惠仪"</f>
        <v>陈惠仪</v>
      </c>
      <c r="E80" s="7" t="str">
        <f t="shared" si="1"/>
        <v>女</v>
      </c>
    </row>
    <row r="81" spans="1:5" ht="30" customHeight="1">
      <c r="A81" s="7">
        <v>78</v>
      </c>
      <c r="B81" s="7" t="str">
        <f>"38662022042212574632678"</f>
        <v>38662022042212574632678</v>
      </c>
      <c r="C81" s="7" t="s">
        <v>7</v>
      </c>
      <c r="D81" s="7" t="str">
        <f>"王娜"</f>
        <v>王娜</v>
      </c>
      <c r="E81" s="7" t="str">
        <f t="shared" si="1"/>
        <v>女</v>
      </c>
    </row>
    <row r="82" spans="1:5" ht="30" customHeight="1">
      <c r="A82" s="7">
        <v>79</v>
      </c>
      <c r="B82" s="7" t="str">
        <f>"38662022042213265932798"</f>
        <v>38662022042213265932798</v>
      </c>
      <c r="C82" s="7" t="s">
        <v>7</v>
      </c>
      <c r="D82" s="7" t="str">
        <f>"吴高敏"</f>
        <v>吴高敏</v>
      </c>
      <c r="E82" s="7" t="str">
        <f t="shared" si="1"/>
        <v>女</v>
      </c>
    </row>
    <row r="83" spans="1:5" ht="30" customHeight="1">
      <c r="A83" s="7">
        <v>80</v>
      </c>
      <c r="B83" s="7" t="str">
        <f>"38662022042214061632918"</f>
        <v>38662022042214061632918</v>
      </c>
      <c r="C83" s="7" t="s">
        <v>7</v>
      </c>
      <c r="D83" s="7" t="str">
        <f>"邱兰玲"</f>
        <v>邱兰玲</v>
      </c>
      <c r="E83" s="7" t="str">
        <f t="shared" si="1"/>
        <v>女</v>
      </c>
    </row>
    <row r="84" spans="1:5" ht="30" customHeight="1">
      <c r="A84" s="7">
        <v>81</v>
      </c>
      <c r="B84" s="7" t="str">
        <f>"38662022042214411233069"</f>
        <v>38662022042214411233069</v>
      </c>
      <c r="C84" s="7" t="s">
        <v>7</v>
      </c>
      <c r="D84" s="7" t="str">
        <f>"莫春燕"</f>
        <v>莫春燕</v>
      </c>
      <c r="E84" s="7" t="str">
        <f t="shared" si="1"/>
        <v>女</v>
      </c>
    </row>
    <row r="85" spans="1:5" ht="30" customHeight="1">
      <c r="A85" s="7">
        <v>82</v>
      </c>
      <c r="B85" s="7" t="str">
        <f>"38662022042215064533200"</f>
        <v>38662022042215064533200</v>
      </c>
      <c r="C85" s="7" t="s">
        <v>7</v>
      </c>
      <c r="D85" s="7" t="str">
        <f>"梁钰娟"</f>
        <v>梁钰娟</v>
      </c>
      <c r="E85" s="7" t="str">
        <f t="shared" si="1"/>
        <v>女</v>
      </c>
    </row>
    <row r="86" spans="1:5" ht="30" customHeight="1">
      <c r="A86" s="7">
        <v>83</v>
      </c>
      <c r="B86" s="7" t="str">
        <f>"38662022042216050833571"</f>
        <v>38662022042216050833571</v>
      </c>
      <c r="C86" s="7" t="s">
        <v>7</v>
      </c>
      <c r="D86" s="7" t="str">
        <f>"黎英姣"</f>
        <v>黎英姣</v>
      </c>
      <c r="E86" s="7" t="str">
        <f t="shared" si="1"/>
        <v>女</v>
      </c>
    </row>
    <row r="87" spans="1:5" ht="30" customHeight="1">
      <c r="A87" s="7">
        <v>84</v>
      </c>
      <c r="B87" s="7" t="str">
        <f>"38662022042216201933666"</f>
        <v>38662022042216201933666</v>
      </c>
      <c r="C87" s="7" t="s">
        <v>7</v>
      </c>
      <c r="D87" s="7" t="str">
        <f>"钟梅"</f>
        <v>钟梅</v>
      </c>
      <c r="E87" s="7" t="str">
        <f t="shared" si="1"/>
        <v>女</v>
      </c>
    </row>
    <row r="88" spans="1:5" ht="30" customHeight="1">
      <c r="A88" s="7">
        <v>85</v>
      </c>
      <c r="B88" s="7" t="str">
        <f>"38662022042216450533828"</f>
        <v>38662022042216450533828</v>
      </c>
      <c r="C88" s="7" t="s">
        <v>7</v>
      </c>
      <c r="D88" s="7" t="str">
        <f>"曾露"</f>
        <v>曾露</v>
      </c>
      <c r="E88" s="7" t="str">
        <f t="shared" si="1"/>
        <v>女</v>
      </c>
    </row>
    <row r="89" spans="1:5" ht="30" customHeight="1">
      <c r="A89" s="7">
        <v>86</v>
      </c>
      <c r="B89" s="7" t="str">
        <f>"38662022042217074733979"</f>
        <v>38662022042217074733979</v>
      </c>
      <c r="C89" s="7" t="s">
        <v>7</v>
      </c>
      <c r="D89" s="7" t="str">
        <f>"黄凤"</f>
        <v>黄凤</v>
      </c>
      <c r="E89" s="7" t="str">
        <f t="shared" si="1"/>
        <v>女</v>
      </c>
    </row>
    <row r="90" spans="1:5" ht="30" customHeight="1">
      <c r="A90" s="7">
        <v>87</v>
      </c>
      <c r="B90" s="7" t="str">
        <f>"38662022042217273634072"</f>
        <v>38662022042217273634072</v>
      </c>
      <c r="C90" s="7" t="s">
        <v>7</v>
      </c>
      <c r="D90" s="7" t="str">
        <f>"罗婵"</f>
        <v>罗婵</v>
      </c>
      <c r="E90" s="7" t="str">
        <f t="shared" si="1"/>
        <v>女</v>
      </c>
    </row>
    <row r="91" spans="1:5" ht="30" customHeight="1">
      <c r="A91" s="7">
        <v>88</v>
      </c>
      <c r="B91" s="7" t="str">
        <f>"38662022042218020234218"</f>
        <v>38662022042218020234218</v>
      </c>
      <c r="C91" s="7" t="s">
        <v>7</v>
      </c>
      <c r="D91" s="7" t="str">
        <f>"朱龙聪"</f>
        <v>朱龙聪</v>
      </c>
      <c r="E91" s="7" t="str">
        <f t="shared" si="1"/>
        <v>女</v>
      </c>
    </row>
    <row r="92" spans="1:5" ht="30" customHeight="1">
      <c r="A92" s="7">
        <v>89</v>
      </c>
      <c r="B92" s="7" t="str">
        <f>"38662022042218225934266"</f>
        <v>38662022042218225934266</v>
      </c>
      <c r="C92" s="7" t="s">
        <v>7</v>
      </c>
      <c r="D92" s="7" t="str">
        <f>"朱文文"</f>
        <v>朱文文</v>
      </c>
      <c r="E92" s="7" t="str">
        <f t="shared" si="1"/>
        <v>女</v>
      </c>
    </row>
    <row r="93" spans="1:5" ht="30" customHeight="1">
      <c r="A93" s="7">
        <v>90</v>
      </c>
      <c r="B93" s="7" t="str">
        <f>"38662022042218562334340"</f>
        <v>38662022042218562334340</v>
      </c>
      <c r="C93" s="7" t="s">
        <v>7</v>
      </c>
      <c r="D93" s="7" t="str">
        <f>"王雨婷"</f>
        <v>王雨婷</v>
      </c>
      <c r="E93" s="7" t="str">
        <f t="shared" si="1"/>
        <v>女</v>
      </c>
    </row>
    <row r="94" spans="1:5" ht="30" customHeight="1">
      <c r="A94" s="7">
        <v>91</v>
      </c>
      <c r="B94" s="7" t="str">
        <f>"38662022042219061134363"</f>
        <v>38662022042219061134363</v>
      </c>
      <c r="C94" s="7" t="s">
        <v>7</v>
      </c>
      <c r="D94" s="7" t="str">
        <f>"蔡佳秀"</f>
        <v>蔡佳秀</v>
      </c>
      <c r="E94" s="7" t="str">
        <f t="shared" si="1"/>
        <v>女</v>
      </c>
    </row>
    <row r="95" spans="1:5" ht="30" customHeight="1">
      <c r="A95" s="7">
        <v>92</v>
      </c>
      <c r="B95" s="7" t="str">
        <f>"38662022042220434034548"</f>
        <v>38662022042220434034548</v>
      </c>
      <c r="C95" s="7" t="s">
        <v>7</v>
      </c>
      <c r="D95" s="7" t="str">
        <f>"杨鸿婷"</f>
        <v>杨鸿婷</v>
      </c>
      <c r="E95" s="7" t="str">
        <f t="shared" si="1"/>
        <v>女</v>
      </c>
    </row>
    <row r="96" spans="1:5" ht="30" customHeight="1">
      <c r="A96" s="7">
        <v>93</v>
      </c>
      <c r="B96" s="7" t="str">
        <f>"38662022042223021734788"</f>
        <v>38662022042223021734788</v>
      </c>
      <c r="C96" s="7" t="s">
        <v>7</v>
      </c>
      <c r="D96" s="7" t="str">
        <f>"薛春驳"</f>
        <v>薛春驳</v>
      </c>
      <c r="E96" s="7" t="str">
        <f t="shared" si="1"/>
        <v>女</v>
      </c>
    </row>
    <row r="97" spans="1:5" ht="30" customHeight="1">
      <c r="A97" s="7">
        <v>94</v>
      </c>
      <c r="B97" s="7" t="str">
        <f>"38662022042301075534862"</f>
        <v>38662022042301075534862</v>
      </c>
      <c r="C97" s="7" t="s">
        <v>7</v>
      </c>
      <c r="D97" s="7" t="str">
        <f>"詹嘉慧"</f>
        <v>詹嘉慧</v>
      </c>
      <c r="E97" s="7" t="str">
        <f t="shared" si="1"/>
        <v>女</v>
      </c>
    </row>
    <row r="98" spans="1:5" ht="30" customHeight="1">
      <c r="A98" s="7">
        <v>95</v>
      </c>
      <c r="B98" s="7" t="str">
        <f>"38662022042307450034889"</f>
        <v>38662022042307450034889</v>
      </c>
      <c r="C98" s="7" t="s">
        <v>7</v>
      </c>
      <c r="D98" s="7" t="str">
        <f>"吴雯雯"</f>
        <v>吴雯雯</v>
      </c>
      <c r="E98" s="7" t="str">
        <f t="shared" si="1"/>
        <v>女</v>
      </c>
    </row>
    <row r="99" spans="1:5" ht="30" customHeight="1">
      <c r="A99" s="7">
        <v>96</v>
      </c>
      <c r="B99" s="7" t="str">
        <f>"38662022042309123234934"</f>
        <v>38662022042309123234934</v>
      </c>
      <c r="C99" s="7" t="s">
        <v>7</v>
      </c>
      <c r="D99" s="7" t="str">
        <f>"陈晓凡"</f>
        <v>陈晓凡</v>
      </c>
      <c r="E99" s="7" t="str">
        <f t="shared" si="1"/>
        <v>女</v>
      </c>
    </row>
    <row r="100" spans="1:5" ht="30" customHeight="1">
      <c r="A100" s="7">
        <v>97</v>
      </c>
      <c r="B100" s="7" t="str">
        <f>"38662022042309152134939"</f>
        <v>38662022042309152134939</v>
      </c>
      <c r="C100" s="7" t="s">
        <v>7</v>
      </c>
      <c r="D100" s="7" t="str">
        <f>"蒋大波"</f>
        <v>蒋大波</v>
      </c>
      <c r="E100" s="7" t="str">
        <f t="shared" si="1"/>
        <v>女</v>
      </c>
    </row>
    <row r="101" spans="1:5" ht="30" customHeight="1">
      <c r="A101" s="7">
        <v>98</v>
      </c>
      <c r="B101" s="7" t="str">
        <f>"38662022042309300234957"</f>
        <v>38662022042309300234957</v>
      </c>
      <c r="C101" s="7" t="s">
        <v>7</v>
      </c>
      <c r="D101" s="7" t="str">
        <f>"何那女"</f>
        <v>何那女</v>
      </c>
      <c r="E101" s="7" t="str">
        <f t="shared" si="1"/>
        <v>女</v>
      </c>
    </row>
    <row r="102" spans="1:5" ht="30" customHeight="1">
      <c r="A102" s="7">
        <v>99</v>
      </c>
      <c r="B102" s="7" t="str">
        <f>"38662022042309531734990"</f>
        <v>38662022042309531734990</v>
      </c>
      <c r="C102" s="7" t="s">
        <v>7</v>
      </c>
      <c r="D102" s="7" t="str">
        <f>"朱强"</f>
        <v>朱强</v>
      </c>
      <c r="E102" s="7" t="str">
        <f>"男"</f>
        <v>男</v>
      </c>
    </row>
    <row r="103" spans="1:5" ht="30" customHeight="1">
      <c r="A103" s="7">
        <v>100</v>
      </c>
      <c r="B103" s="7" t="str">
        <f>"38662022042310503335066"</f>
        <v>38662022042310503335066</v>
      </c>
      <c r="C103" s="7" t="s">
        <v>7</v>
      </c>
      <c r="D103" s="7" t="str">
        <f>"陈小花"</f>
        <v>陈小花</v>
      </c>
      <c r="E103" s="7" t="str">
        <f aca="true" t="shared" si="2" ref="E103:E141">"女"</f>
        <v>女</v>
      </c>
    </row>
    <row r="104" spans="1:5" ht="30" customHeight="1">
      <c r="A104" s="7">
        <v>101</v>
      </c>
      <c r="B104" s="7" t="str">
        <f>"38662022042312340635209"</f>
        <v>38662022042312340635209</v>
      </c>
      <c r="C104" s="7" t="s">
        <v>7</v>
      </c>
      <c r="D104" s="7" t="str">
        <f>"林彩虹"</f>
        <v>林彩虹</v>
      </c>
      <c r="E104" s="7" t="str">
        <f t="shared" si="2"/>
        <v>女</v>
      </c>
    </row>
    <row r="105" spans="1:5" ht="30" customHeight="1">
      <c r="A105" s="7">
        <v>102</v>
      </c>
      <c r="B105" s="7" t="str">
        <f>"38662022042312551135230"</f>
        <v>38662022042312551135230</v>
      </c>
      <c r="C105" s="7" t="s">
        <v>7</v>
      </c>
      <c r="D105" s="7" t="str">
        <f>"洪婕"</f>
        <v>洪婕</v>
      </c>
      <c r="E105" s="7" t="str">
        <f t="shared" si="2"/>
        <v>女</v>
      </c>
    </row>
    <row r="106" spans="1:5" ht="30" customHeight="1">
      <c r="A106" s="7">
        <v>103</v>
      </c>
      <c r="B106" s="7" t="str">
        <f>"38662022042312593235237"</f>
        <v>38662022042312593235237</v>
      </c>
      <c r="C106" s="7" t="s">
        <v>7</v>
      </c>
      <c r="D106" s="7" t="str">
        <f>"陈秋如"</f>
        <v>陈秋如</v>
      </c>
      <c r="E106" s="7" t="str">
        <f t="shared" si="2"/>
        <v>女</v>
      </c>
    </row>
    <row r="107" spans="1:5" ht="30" customHeight="1">
      <c r="A107" s="7">
        <v>104</v>
      </c>
      <c r="B107" s="7" t="str">
        <f>"38662022042313245835263"</f>
        <v>38662022042313245835263</v>
      </c>
      <c r="C107" s="7" t="s">
        <v>7</v>
      </c>
      <c r="D107" s="7" t="str">
        <f>"刘南妃"</f>
        <v>刘南妃</v>
      </c>
      <c r="E107" s="7" t="str">
        <f t="shared" si="2"/>
        <v>女</v>
      </c>
    </row>
    <row r="108" spans="1:5" ht="30" customHeight="1">
      <c r="A108" s="7">
        <v>105</v>
      </c>
      <c r="B108" s="7" t="str">
        <f>"38662022042315154335404"</f>
        <v>38662022042315154335404</v>
      </c>
      <c r="C108" s="7" t="s">
        <v>7</v>
      </c>
      <c r="D108" s="7" t="str">
        <f>"文晓慧"</f>
        <v>文晓慧</v>
      </c>
      <c r="E108" s="7" t="str">
        <f t="shared" si="2"/>
        <v>女</v>
      </c>
    </row>
    <row r="109" spans="1:5" ht="30" customHeight="1">
      <c r="A109" s="7">
        <v>106</v>
      </c>
      <c r="B109" s="7" t="str">
        <f>"38662022042316015335482"</f>
        <v>38662022042316015335482</v>
      </c>
      <c r="C109" s="7" t="s">
        <v>7</v>
      </c>
      <c r="D109" s="7" t="str">
        <f>"王媛悦"</f>
        <v>王媛悦</v>
      </c>
      <c r="E109" s="7" t="str">
        <f t="shared" si="2"/>
        <v>女</v>
      </c>
    </row>
    <row r="110" spans="1:5" ht="30" customHeight="1">
      <c r="A110" s="7">
        <v>107</v>
      </c>
      <c r="B110" s="7" t="str">
        <f>"38662022042316231035509"</f>
        <v>38662022042316231035509</v>
      </c>
      <c r="C110" s="7" t="s">
        <v>7</v>
      </c>
      <c r="D110" s="7" t="str">
        <f>"吴健婵"</f>
        <v>吴健婵</v>
      </c>
      <c r="E110" s="7" t="str">
        <f t="shared" si="2"/>
        <v>女</v>
      </c>
    </row>
    <row r="111" spans="1:5" ht="30" customHeight="1">
      <c r="A111" s="7">
        <v>108</v>
      </c>
      <c r="B111" s="7" t="str">
        <f>"38662022042316243035512"</f>
        <v>38662022042316243035512</v>
      </c>
      <c r="C111" s="7" t="s">
        <v>7</v>
      </c>
      <c r="D111" s="7" t="str">
        <f>"吴美霖"</f>
        <v>吴美霖</v>
      </c>
      <c r="E111" s="7" t="str">
        <f t="shared" si="2"/>
        <v>女</v>
      </c>
    </row>
    <row r="112" spans="1:5" ht="30" customHeight="1">
      <c r="A112" s="7">
        <v>109</v>
      </c>
      <c r="B112" s="7" t="str">
        <f>"38662022042316265835515"</f>
        <v>38662022042316265835515</v>
      </c>
      <c r="C112" s="7" t="s">
        <v>7</v>
      </c>
      <c r="D112" s="7" t="str">
        <f>"王秋萍"</f>
        <v>王秋萍</v>
      </c>
      <c r="E112" s="7" t="str">
        <f t="shared" si="2"/>
        <v>女</v>
      </c>
    </row>
    <row r="113" spans="1:5" ht="30" customHeight="1">
      <c r="A113" s="7">
        <v>110</v>
      </c>
      <c r="B113" s="7" t="str">
        <f>"38662022042317010835565"</f>
        <v>38662022042317010835565</v>
      </c>
      <c r="C113" s="7" t="s">
        <v>7</v>
      </c>
      <c r="D113" s="7" t="str">
        <f>"刘锦桂"</f>
        <v>刘锦桂</v>
      </c>
      <c r="E113" s="7" t="str">
        <f t="shared" si="2"/>
        <v>女</v>
      </c>
    </row>
    <row r="114" spans="1:5" ht="30" customHeight="1">
      <c r="A114" s="7">
        <v>111</v>
      </c>
      <c r="B114" s="7" t="str">
        <f>"38662022042318583135676"</f>
        <v>38662022042318583135676</v>
      </c>
      <c r="C114" s="7" t="s">
        <v>7</v>
      </c>
      <c r="D114" s="7" t="str">
        <f>"吴海燕"</f>
        <v>吴海燕</v>
      </c>
      <c r="E114" s="7" t="str">
        <f t="shared" si="2"/>
        <v>女</v>
      </c>
    </row>
    <row r="115" spans="1:5" ht="30" customHeight="1">
      <c r="A115" s="7">
        <v>112</v>
      </c>
      <c r="B115" s="7" t="str">
        <f>"38662022042320254135771"</f>
        <v>38662022042320254135771</v>
      </c>
      <c r="C115" s="7" t="s">
        <v>7</v>
      </c>
      <c r="D115" s="7" t="str">
        <f>"吴冠英"</f>
        <v>吴冠英</v>
      </c>
      <c r="E115" s="7" t="str">
        <f t="shared" si="2"/>
        <v>女</v>
      </c>
    </row>
    <row r="116" spans="1:5" ht="30" customHeight="1">
      <c r="A116" s="7">
        <v>113</v>
      </c>
      <c r="B116" s="7" t="str">
        <f>"38662022042321023535838"</f>
        <v>38662022042321023535838</v>
      </c>
      <c r="C116" s="7" t="s">
        <v>7</v>
      </c>
      <c r="D116" s="7" t="str">
        <f>"程雪梅"</f>
        <v>程雪梅</v>
      </c>
      <c r="E116" s="7" t="str">
        <f t="shared" si="2"/>
        <v>女</v>
      </c>
    </row>
    <row r="117" spans="1:5" ht="30" customHeight="1">
      <c r="A117" s="7">
        <v>114</v>
      </c>
      <c r="B117" s="7" t="str">
        <f>"38662022042321342735887"</f>
        <v>38662022042321342735887</v>
      </c>
      <c r="C117" s="7" t="s">
        <v>7</v>
      </c>
      <c r="D117" s="7" t="str">
        <f>"王丽丽"</f>
        <v>王丽丽</v>
      </c>
      <c r="E117" s="7" t="str">
        <f t="shared" si="2"/>
        <v>女</v>
      </c>
    </row>
    <row r="118" spans="1:5" ht="30" customHeight="1">
      <c r="A118" s="7">
        <v>115</v>
      </c>
      <c r="B118" s="7" t="str">
        <f>"38662022042321360135889"</f>
        <v>38662022042321360135889</v>
      </c>
      <c r="C118" s="7" t="s">
        <v>7</v>
      </c>
      <c r="D118" s="7" t="str">
        <f>"陈逸荞"</f>
        <v>陈逸荞</v>
      </c>
      <c r="E118" s="7" t="str">
        <f t="shared" si="2"/>
        <v>女</v>
      </c>
    </row>
    <row r="119" spans="1:5" ht="30" customHeight="1">
      <c r="A119" s="7">
        <v>116</v>
      </c>
      <c r="B119" s="7" t="str">
        <f>"38662022042323383436087"</f>
        <v>38662022042323383436087</v>
      </c>
      <c r="C119" s="7" t="s">
        <v>7</v>
      </c>
      <c r="D119" s="7" t="str">
        <f>"王苗"</f>
        <v>王苗</v>
      </c>
      <c r="E119" s="7" t="str">
        <f t="shared" si="2"/>
        <v>女</v>
      </c>
    </row>
    <row r="120" spans="1:5" ht="30" customHeight="1">
      <c r="A120" s="7">
        <v>117</v>
      </c>
      <c r="B120" s="7" t="str">
        <f>"38662022042400480136125"</f>
        <v>38662022042400480136125</v>
      </c>
      <c r="C120" s="7" t="s">
        <v>7</v>
      </c>
      <c r="D120" s="7" t="str">
        <f>"温芳妹"</f>
        <v>温芳妹</v>
      </c>
      <c r="E120" s="7" t="str">
        <f t="shared" si="2"/>
        <v>女</v>
      </c>
    </row>
    <row r="121" spans="1:5" ht="30" customHeight="1">
      <c r="A121" s="7">
        <v>118</v>
      </c>
      <c r="B121" s="7" t="str">
        <f>"38662022042408360236192"</f>
        <v>38662022042408360236192</v>
      </c>
      <c r="C121" s="7" t="s">
        <v>7</v>
      </c>
      <c r="D121" s="7" t="str">
        <f>"马卓言"</f>
        <v>马卓言</v>
      </c>
      <c r="E121" s="7" t="str">
        <f t="shared" si="2"/>
        <v>女</v>
      </c>
    </row>
    <row r="122" spans="1:5" ht="30" customHeight="1">
      <c r="A122" s="7">
        <v>119</v>
      </c>
      <c r="B122" s="7" t="str">
        <f>"38662022042408571936235"</f>
        <v>38662022042408571936235</v>
      </c>
      <c r="C122" s="7" t="s">
        <v>7</v>
      </c>
      <c r="D122" s="7" t="str">
        <f>"谭艳菊"</f>
        <v>谭艳菊</v>
      </c>
      <c r="E122" s="7" t="str">
        <f t="shared" si="2"/>
        <v>女</v>
      </c>
    </row>
    <row r="123" spans="1:5" ht="30" customHeight="1">
      <c r="A123" s="7">
        <v>120</v>
      </c>
      <c r="B123" s="7" t="str">
        <f>"38662022042410153936399"</f>
        <v>38662022042410153936399</v>
      </c>
      <c r="C123" s="7" t="s">
        <v>7</v>
      </c>
      <c r="D123" s="7" t="str">
        <f>"符文玉"</f>
        <v>符文玉</v>
      </c>
      <c r="E123" s="7" t="str">
        <f t="shared" si="2"/>
        <v>女</v>
      </c>
    </row>
    <row r="124" spans="1:5" ht="30" customHeight="1">
      <c r="A124" s="7">
        <v>121</v>
      </c>
      <c r="B124" s="7" t="str">
        <f>"38662022042412241536629"</f>
        <v>38662022042412241536629</v>
      </c>
      <c r="C124" s="7" t="s">
        <v>7</v>
      </c>
      <c r="D124" s="7" t="str">
        <f>"王英"</f>
        <v>王英</v>
      </c>
      <c r="E124" s="7" t="str">
        <f t="shared" si="2"/>
        <v>女</v>
      </c>
    </row>
    <row r="125" spans="1:5" ht="30" customHeight="1">
      <c r="A125" s="7">
        <v>122</v>
      </c>
      <c r="B125" s="7" t="str">
        <f>"38662022042412465236674"</f>
        <v>38662022042412465236674</v>
      </c>
      <c r="C125" s="7" t="s">
        <v>7</v>
      </c>
      <c r="D125" s="7" t="str">
        <f>"曾载益"</f>
        <v>曾载益</v>
      </c>
      <c r="E125" s="7" t="str">
        <f t="shared" si="2"/>
        <v>女</v>
      </c>
    </row>
    <row r="126" spans="1:5" ht="30" customHeight="1">
      <c r="A126" s="7">
        <v>123</v>
      </c>
      <c r="B126" s="7" t="str">
        <f>"38662022042413021136706"</f>
        <v>38662022042413021136706</v>
      </c>
      <c r="C126" s="7" t="s">
        <v>7</v>
      </c>
      <c r="D126" s="7" t="str">
        <f>"钟小梅"</f>
        <v>钟小梅</v>
      </c>
      <c r="E126" s="7" t="str">
        <f t="shared" si="2"/>
        <v>女</v>
      </c>
    </row>
    <row r="127" spans="1:5" ht="30" customHeight="1">
      <c r="A127" s="7">
        <v>124</v>
      </c>
      <c r="B127" s="7" t="str">
        <f>"38662022042413112236720"</f>
        <v>38662022042413112236720</v>
      </c>
      <c r="C127" s="7" t="s">
        <v>7</v>
      </c>
      <c r="D127" s="7" t="str">
        <f>"陈婷"</f>
        <v>陈婷</v>
      </c>
      <c r="E127" s="7" t="str">
        <f t="shared" si="2"/>
        <v>女</v>
      </c>
    </row>
    <row r="128" spans="1:5" ht="30" customHeight="1">
      <c r="A128" s="7">
        <v>125</v>
      </c>
      <c r="B128" s="7" t="str">
        <f>"38662022042414292736800"</f>
        <v>38662022042414292736800</v>
      </c>
      <c r="C128" s="7" t="s">
        <v>7</v>
      </c>
      <c r="D128" s="7" t="str">
        <f>"王越"</f>
        <v>王越</v>
      </c>
      <c r="E128" s="7" t="str">
        <f t="shared" si="2"/>
        <v>女</v>
      </c>
    </row>
    <row r="129" spans="1:5" ht="30" customHeight="1">
      <c r="A129" s="7">
        <v>126</v>
      </c>
      <c r="B129" s="7" t="str">
        <f>"38662022042414593336852"</f>
        <v>38662022042414593336852</v>
      </c>
      <c r="C129" s="7" t="s">
        <v>7</v>
      </c>
      <c r="D129" s="7" t="str">
        <f>"韩燕冰"</f>
        <v>韩燕冰</v>
      </c>
      <c r="E129" s="7" t="str">
        <f t="shared" si="2"/>
        <v>女</v>
      </c>
    </row>
    <row r="130" spans="1:5" ht="30" customHeight="1">
      <c r="A130" s="7">
        <v>127</v>
      </c>
      <c r="B130" s="7" t="str">
        <f>"38662022042415161336890"</f>
        <v>38662022042415161336890</v>
      </c>
      <c r="C130" s="7" t="s">
        <v>7</v>
      </c>
      <c r="D130" s="7" t="str">
        <f>"李娇萍"</f>
        <v>李娇萍</v>
      </c>
      <c r="E130" s="7" t="str">
        <f t="shared" si="2"/>
        <v>女</v>
      </c>
    </row>
    <row r="131" spans="1:5" ht="30" customHeight="1">
      <c r="A131" s="7">
        <v>128</v>
      </c>
      <c r="B131" s="7" t="str">
        <f>"38662022042415240536902"</f>
        <v>38662022042415240536902</v>
      </c>
      <c r="C131" s="7" t="s">
        <v>7</v>
      </c>
      <c r="D131" s="7" t="str">
        <f>"陈海芳"</f>
        <v>陈海芳</v>
      </c>
      <c r="E131" s="7" t="str">
        <f t="shared" si="2"/>
        <v>女</v>
      </c>
    </row>
    <row r="132" spans="1:5" ht="30" customHeight="1">
      <c r="A132" s="7">
        <v>129</v>
      </c>
      <c r="B132" s="7" t="str">
        <f>"38662022042415243936904"</f>
        <v>38662022042415243936904</v>
      </c>
      <c r="C132" s="7" t="s">
        <v>7</v>
      </c>
      <c r="D132" s="7" t="str">
        <f>"黄子倪"</f>
        <v>黄子倪</v>
      </c>
      <c r="E132" s="7" t="str">
        <f t="shared" si="2"/>
        <v>女</v>
      </c>
    </row>
    <row r="133" spans="1:5" ht="30" customHeight="1">
      <c r="A133" s="7">
        <v>130</v>
      </c>
      <c r="B133" s="7" t="str">
        <f>"38662022042415492236968"</f>
        <v>38662022042415492236968</v>
      </c>
      <c r="C133" s="7" t="s">
        <v>7</v>
      </c>
      <c r="D133" s="7" t="str">
        <f>"卜开英"</f>
        <v>卜开英</v>
      </c>
      <c r="E133" s="7" t="str">
        <f t="shared" si="2"/>
        <v>女</v>
      </c>
    </row>
    <row r="134" spans="1:5" ht="30" customHeight="1">
      <c r="A134" s="7">
        <v>131</v>
      </c>
      <c r="B134" s="7" t="str">
        <f>"38662022042416112237020"</f>
        <v>38662022042416112237020</v>
      </c>
      <c r="C134" s="7" t="s">
        <v>7</v>
      </c>
      <c r="D134" s="7" t="str">
        <f>"钟小碧"</f>
        <v>钟小碧</v>
      </c>
      <c r="E134" s="7" t="str">
        <f t="shared" si="2"/>
        <v>女</v>
      </c>
    </row>
    <row r="135" spans="1:5" ht="30" customHeight="1">
      <c r="A135" s="7">
        <v>132</v>
      </c>
      <c r="B135" s="7" t="str">
        <f>"38662022042416180337032"</f>
        <v>38662022042416180337032</v>
      </c>
      <c r="C135" s="7" t="s">
        <v>7</v>
      </c>
      <c r="D135" s="7" t="str">
        <f>"林季花"</f>
        <v>林季花</v>
      </c>
      <c r="E135" s="7" t="str">
        <f t="shared" si="2"/>
        <v>女</v>
      </c>
    </row>
    <row r="136" spans="1:5" ht="30" customHeight="1">
      <c r="A136" s="7">
        <v>133</v>
      </c>
      <c r="B136" s="7" t="str">
        <f>"38662022042416221037042"</f>
        <v>38662022042416221037042</v>
      </c>
      <c r="C136" s="7" t="s">
        <v>7</v>
      </c>
      <c r="D136" s="7" t="str">
        <f>"盘冬妮"</f>
        <v>盘冬妮</v>
      </c>
      <c r="E136" s="7" t="str">
        <f t="shared" si="2"/>
        <v>女</v>
      </c>
    </row>
    <row r="137" spans="1:5" ht="30" customHeight="1">
      <c r="A137" s="7">
        <v>134</v>
      </c>
      <c r="B137" s="7" t="str">
        <f>"38662022042417032037138"</f>
        <v>38662022042417032037138</v>
      </c>
      <c r="C137" s="7" t="s">
        <v>7</v>
      </c>
      <c r="D137" s="7" t="str">
        <f>"李祝秀"</f>
        <v>李祝秀</v>
      </c>
      <c r="E137" s="7" t="str">
        <f t="shared" si="2"/>
        <v>女</v>
      </c>
    </row>
    <row r="138" spans="1:5" ht="30" customHeight="1">
      <c r="A138" s="7">
        <v>135</v>
      </c>
      <c r="B138" s="7" t="str">
        <f>"38662022042417522437215"</f>
        <v>38662022042417522437215</v>
      </c>
      <c r="C138" s="7" t="s">
        <v>7</v>
      </c>
      <c r="D138" s="7" t="str">
        <f>"邢诗贞"</f>
        <v>邢诗贞</v>
      </c>
      <c r="E138" s="7" t="str">
        <f t="shared" si="2"/>
        <v>女</v>
      </c>
    </row>
    <row r="139" spans="1:5" ht="30" customHeight="1">
      <c r="A139" s="7">
        <v>136</v>
      </c>
      <c r="B139" s="7" t="str">
        <f>"38662022042417560037225"</f>
        <v>38662022042417560037225</v>
      </c>
      <c r="C139" s="7" t="s">
        <v>7</v>
      </c>
      <c r="D139" s="7" t="str">
        <f>"符珠廷"</f>
        <v>符珠廷</v>
      </c>
      <c r="E139" s="7" t="str">
        <f t="shared" si="2"/>
        <v>女</v>
      </c>
    </row>
    <row r="140" spans="1:5" ht="30" customHeight="1">
      <c r="A140" s="7">
        <v>137</v>
      </c>
      <c r="B140" s="7" t="str">
        <f>"38662022042418141237256"</f>
        <v>38662022042418141237256</v>
      </c>
      <c r="C140" s="7" t="s">
        <v>7</v>
      </c>
      <c r="D140" s="7" t="str">
        <f>"陈玲"</f>
        <v>陈玲</v>
      </c>
      <c r="E140" s="7" t="str">
        <f t="shared" si="2"/>
        <v>女</v>
      </c>
    </row>
    <row r="141" spans="1:5" ht="30" customHeight="1">
      <c r="A141" s="7">
        <v>138</v>
      </c>
      <c r="B141" s="7" t="str">
        <f>"38662022042418541737312"</f>
        <v>38662022042418541737312</v>
      </c>
      <c r="C141" s="7" t="s">
        <v>7</v>
      </c>
      <c r="D141" s="7" t="str">
        <f>"韩海霞"</f>
        <v>韩海霞</v>
      </c>
      <c r="E141" s="7" t="str">
        <f t="shared" si="2"/>
        <v>女</v>
      </c>
    </row>
    <row r="142" spans="1:5" ht="30" customHeight="1">
      <c r="A142" s="7">
        <v>139</v>
      </c>
      <c r="B142" s="7" t="str">
        <f>"38662022042420171237422"</f>
        <v>38662022042420171237422</v>
      </c>
      <c r="C142" s="7" t="s">
        <v>7</v>
      </c>
      <c r="D142" s="7" t="str">
        <f>"吴清宇"</f>
        <v>吴清宇</v>
      </c>
      <c r="E142" s="7" t="str">
        <f>"男"</f>
        <v>男</v>
      </c>
    </row>
    <row r="143" spans="1:5" ht="30" customHeight="1">
      <c r="A143" s="7">
        <v>140</v>
      </c>
      <c r="B143" s="7" t="str">
        <f>"38662022042421041437508"</f>
        <v>38662022042421041437508</v>
      </c>
      <c r="C143" s="7" t="s">
        <v>7</v>
      </c>
      <c r="D143" s="7" t="str">
        <f>"吴娜二"</f>
        <v>吴娜二</v>
      </c>
      <c r="E143" s="7" t="str">
        <f aca="true" t="shared" si="3" ref="E143:E201">"女"</f>
        <v>女</v>
      </c>
    </row>
    <row r="144" spans="1:5" ht="30" customHeight="1">
      <c r="A144" s="7">
        <v>141</v>
      </c>
      <c r="B144" s="7" t="str">
        <f>"38662022042421420237570"</f>
        <v>38662022042421420237570</v>
      </c>
      <c r="C144" s="7" t="s">
        <v>7</v>
      </c>
      <c r="D144" s="7" t="str">
        <f>"刘易菲"</f>
        <v>刘易菲</v>
      </c>
      <c r="E144" s="7" t="str">
        <f t="shared" si="3"/>
        <v>女</v>
      </c>
    </row>
    <row r="145" spans="1:5" ht="30" customHeight="1">
      <c r="A145" s="7">
        <v>142</v>
      </c>
      <c r="B145" s="7" t="str">
        <f>"38662022042508153837811"</f>
        <v>38662022042508153837811</v>
      </c>
      <c r="C145" s="7" t="s">
        <v>7</v>
      </c>
      <c r="D145" s="7" t="str">
        <f>"符年丽"</f>
        <v>符年丽</v>
      </c>
      <c r="E145" s="7" t="str">
        <f t="shared" si="3"/>
        <v>女</v>
      </c>
    </row>
    <row r="146" spans="1:5" ht="30" customHeight="1">
      <c r="A146" s="7">
        <v>143</v>
      </c>
      <c r="B146" s="7" t="str">
        <f>"38662022042510040437954"</f>
        <v>38662022042510040437954</v>
      </c>
      <c r="C146" s="7" t="s">
        <v>7</v>
      </c>
      <c r="D146" s="7" t="str">
        <f>"吴彦梅"</f>
        <v>吴彦梅</v>
      </c>
      <c r="E146" s="7" t="str">
        <f t="shared" si="3"/>
        <v>女</v>
      </c>
    </row>
    <row r="147" spans="1:5" ht="30" customHeight="1">
      <c r="A147" s="7">
        <v>144</v>
      </c>
      <c r="B147" s="7" t="str">
        <f>"38662022042510413138025"</f>
        <v>38662022042510413138025</v>
      </c>
      <c r="C147" s="7" t="s">
        <v>7</v>
      </c>
      <c r="D147" s="7" t="str">
        <f>"羊丽秀"</f>
        <v>羊丽秀</v>
      </c>
      <c r="E147" s="7" t="str">
        <f t="shared" si="3"/>
        <v>女</v>
      </c>
    </row>
    <row r="148" spans="1:5" ht="30" customHeight="1">
      <c r="A148" s="7">
        <v>145</v>
      </c>
      <c r="B148" s="7" t="str">
        <f>"38662022042510580138059"</f>
        <v>38662022042510580138059</v>
      </c>
      <c r="C148" s="7" t="s">
        <v>7</v>
      </c>
      <c r="D148" s="7" t="str">
        <f>"朱诗凤"</f>
        <v>朱诗凤</v>
      </c>
      <c r="E148" s="7" t="str">
        <f t="shared" si="3"/>
        <v>女</v>
      </c>
    </row>
    <row r="149" spans="1:5" ht="30" customHeight="1">
      <c r="A149" s="7">
        <v>146</v>
      </c>
      <c r="B149" s="7" t="str">
        <f>"38662022042513510438250"</f>
        <v>38662022042513510438250</v>
      </c>
      <c r="C149" s="7" t="s">
        <v>7</v>
      </c>
      <c r="D149" s="7" t="str">
        <f>"孙静"</f>
        <v>孙静</v>
      </c>
      <c r="E149" s="7" t="str">
        <f t="shared" si="3"/>
        <v>女</v>
      </c>
    </row>
    <row r="150" spans="1:5" ht="30" customHeight="1">
      <c r="A150" s="7">
        <v>147</v>
      </c>
      <c r="B150" s="7" t="str">
        <f>"38662022042515002938324"</f>
        <v>38662022042515002938324</v>
      </c>
      <c r="C150" s="7" t="s">
        <v>7</v>
      </c>
      <c r="D150" s="7" t="str">
        <f>"郑丹妹"</f>
        <v>郑丹妹</v>
      </c>
      <c r="E150" s="7" t="str">
        <f t="shared" si="3"/>
        <v>女</v>
      </c>
    </row>
    <row r="151" spans="1:5" ht="30" customHeight="1">
      <c r="A151" s="7">
        <v>148</v>
      </c>
      <c r="B151" s="7" t="str">
        <f>"38662022042515070938337"</f>
        <v>38662022042515070938337</v>
      </c>
      <c r="C151" s="7" t="s">
        <v>7</v>
      </c>
      <c r="D151" s="7" t="str">
        <f>"彭觉乐"</f>
        <v>彭觉乐</v>
      </c>
      <c r="E151" s="7" t="str">
        <f t="shared" si="3"/>
        <v>女</v>
      </c>
    </row>
    <row r="152" spans="1:5" ht="30" customHeight="1">
      <c r="A152" s="7">
        <v>149</v>
      </c>
      <c r="B152" s="7" t="str">
        <f>"38662022042515400938408"</f>
        <v>38662022042515400938408</v>
      </c>
      <c r="C152" s="7" t="s">
        <v>7</v>
      </c>
      <c r="D152" s="7" t="str">
        <f>"吴宇思"</f>
        <v>吴宇思</v>
      </c>
      <c r="E152" s="7" t="str">
        <f t="shared" si="3"/>
        <v>女</v>
      </c>
    </row>
    <row r="153" spans="1:5" ht="30" customHeight="1">
      <c r="A153" s="7">
        <v>150</v>
      </c>
      <c r="B153" s="7" t="str">
        <f>"38662022042516011838447"</f>
        <v>38662022042516011838447</v>
      </c>
      <c r="C153" s="7" t="s">
        <v>7</v>
      </c>
      <c r="D153" s="7" t="str">
        <f>"黄潮霞"</f>
        <v>黄潮霞</v>
      </c>
      <c r="E153" s="7" t="str">
        <f t="shared" si="3"/>
        <v>女</v>
      </c>
    </row>
    <row r="154" spans="1:5" ht="30" customHeight="1">
      <c r="A154" s="7">
        <v>151</v>
      </c>
      <c r="B154" s="7" t="str">
        <f>"38662022042516331438489"</f>
        <v>38662022042516331438489</v>
      </c>
      <c r="C154" s="7" t="s">
        <v>7</v>
      </c>
      <c r="D154" s="7" t="str">
        <f>"黎姑"</f>
        <v>黎姑</v>
      </c>
      <c r="E154" s="7" t="str">
        <f t="shared" si="3"/>
        <v>女</v>
      </c>
    </row>
    <row r="155" spans="1:5" ht="30" customHeight="1">
      <c r="A155" s="7">
        <v>152</v>
      </c>
      <c r="B155" s="7" t="str">
        <f>"38662022042518283438645"</f>
        <v>38662022042518283438645</v>
      </c>
      <c r="C155" s="7" t="s">
        <v>7</v>
      </c>
      <c r="D155" s="7" t="str">
        <f>"郑银萍"</f>
        <v>郑银萍</v>
      </c>
      <c r="E155" s="7" t="str">
        <f t="shared" si="3"/>
        <v>女</v>
      </c>
    </row>
    <row r="156" spans="1:5" ht="30" customHeight="1">
      <c r="A156" s="7">
        <v>153</v>
      </c>
      <c r="B156" s="7" t="str">
        <f>"38662022042519063238693"</f>
        <v>38662022042519063238693</v>
      </c>
      <c r="C156" s="7" t="s">
        <v>7</v>
      </c>
      <c r="D156" s="7" t="str">
        <f>"章秋花"</f>
        <v>章秋花</v>
      </c>
      <c r="E156" s="7" t="str">
        <f t="shared" si="3"/>
        <v>女</v>
      </c>
    </row>
    <row r="157" spans="1:5" ht="30" customHeight="1">
      <c r="A157" s="7">
        <v>154</v>
      </c>
      <c r="B157" s="7" t="str">
        <f>"38662022042520364738788"</f>
        <v>38662022042520364738788</v>
      </c>
      <c r="C157" s="7" t="s">
        <v>7</v>
      </c>
      <c r="D157" s="7" t="str">
        <f>"何金虹"</f>
        <v>何金虹</v>
      </c>
      <c r="E157" s="7" t="str">
        <f t="shared" si="3"/>
        <v>女</v>
      </c>
    </row>
    <row r="158" spans="1:5" ht="30" customHeight="1">
      <c r="A158" s="7">
        <v>155</v>
      </c>
      <c r="B158" s="7" t="str">
        <f>"38662022042520493638807"</f>
        <v>38662022042520493638807</v>
      </c>
      <c r="C158" s="7" t="s">
        <v>7</v>
      </c>
      <c r="D158" s="7" t="str">
        <f>"邱金秀"</f>
        <v>邱金秀</v>
      </c>
      <c r="E158" s="7" t="str">
        <f t="shared" si="3"/>
        <v>女</v>
      </c>
    </row>
    <row r="159" spans="1:5" ht="30" customHeight="1">
      <c r="A159" s="7">
        <v>156</v>
      </c>
      <c r="B159" s="7" t="str">
        <f>"38662022042521122838839"</f>
        <v>38662022042521122838839</v>
      </c>
      <c r="C159" s="7" t="s">
        <v>7</v>
      </c>
      <c r="D159" s="7" t="str">
        <f>"吴梅铭"</f>
        <v>吴梅铭</v>
      </c>
      <c r="E159" s="7" t="str">
        <f t="shared" si="3"/>
        <v>女</v>
      </c>
    </row>
    <row r="160" spans="1:5" ht="30" customHeight="1">
      <c r="A160" s="7">
        <v>157</v>
      </c>
      <c r="B160" s="7" t="str">
        <f>"38662022042521421638883"</f>
        <v>38662022042521421638883</v>
      </c>
      <c r="C160" s="7" t="s">
        <v>7</v>
      </c>
      <c r="D160" s="7" t="str">
        <f>"赵贵音"</f>
        <v>赵贵音</v>
      </c>
      <c r="E160" s="7" t="str">
        <f t="shared" si="3"/>
        <v>女</v>
      </c>
    </row>
    <row r="161" spans="1:5" ht="30" customHeight="1">
      <c r="A161" s="7">
        <v>158</v>
      </c>
      <c r="B161" s="7" t="str">
        <f>"38662022042522151238929"</f>
        <v>38662022042522151238929</v>
      </c>
      <c r="C161" s="7" t="s">
        <v>7</v>
      </c>
      <c r="D161" s="7" t="str">
        <f>"杨环逢"</f>
        <v>杨环逢</v>
      </c>
      <c r="E161" s="7" t="str">
        <f t="shared" si="3"/>
        <v>女</v>
      </c>
    </row>
    <row r="162" spans="1:5" ht="30" customHeight="1">
      <c r="A162" s="7">
        <v>159</v>
      </c>
      <c r="B162" s="7" t="str">
        <f>"38662022042522391938966"</f>
        <v>38662022042522391938966</v>
      </c>
      <c r="C162" s="7" t="s">
        <v>7</v>
      </c>
      <c r="D162" s="7" t="str">
        <f>"陈红"</f>
        <v>陈红</v>
      </c>
      <c r="E162" s="7" t="str">
        <f t="shared" si="3"/>
        <v>女</v>
      </c>
    </row>
    <row r="163" spans="1:5" ht="30" customHeight="1">
      <c r="A163" s="7">
        <v>160</v>
      </c>
      <c r="B163" s="7" t="str">
        <f>"38662022042523344239026"</f>
        <v>38662022042523344239026</v>
      </c>
      <c r="C163" s="7" t="s">
        <v>7</v>
      </c>
      <c r="D163" s="7" t="str">
        <f>"柯维贺"</f>
        <v>柯维贺</v>
      </c>
      <c r="E163" s="7" t="str">
        <f t="shared" si="3"/>
        <v>女</v>
      </c>
    </row>
    <row r="164" spans="1:5" ht="30" customHeight="1">
      <c r="A164" s="7">
        <v>161</v>
      </c>
      <c r="B164" s="7" t="str">
        <f>"38662022042609113139183"</f>
        <v>38662022042609113139183</v>
      </c>
      <c r="C164" s="7" t="s">
        <v>7</v>
      </c>
      <c r="D164" s="7" t="str">
        <f>"林文雅"</f>
        <v>林文雅</v>
      </c>
      <c r="E164" s="7" t="str">
        <f t="shared" si="3"/>
        <v>女</v>
      </c>
    </row>
    <row r="165" spans="1:5" ht="30" customHeight="1">
      <c r="A165" s="7">
        <v>162</v>
      </c>
      <c r="B165" s="7" t="str">
        <f>"38662022042609140639187"</f>
        <v>38662022042609140639187</v>
      </c>
      <c r="C165" s="7" t="s">
        <v>7</v>
      </c>
      <c r="D165" s="7" t="str">
        <f>"许小连"</f>
        <v>许小连</v>
      </c>
      <c r="E165" s="7" t="str">
        <f t="shared" si="3"/>
        <v>女</v>
      </c>
    </row>
    <row r="166" spans="1:5" ht="30" customHeight="1">
      <c r="A166" s="7">
        <v>163</v>
      </c>
      <c r="B166" s="7" t="str">
        <f>"38662022042610242639298"</f>
        <v>38662022042610242639298</v>
      </c>
      <c r="C166" s="7" t="s">
        <v>7</v>
      </c>
      <c r="D166" s="7" t="str">
        <f>"陈燕萍"</f>
        <v>陈燕萍</v>
      </c>
      <c r="E166" s="7" t="str">
        <f t="shared" si="3"/>
        <v>女</v>
      </c>
    </row>
    <row r="167" spans="1:5" ht="30" customHeight="1">
      <c r="A167" s="7">
        <v>164</v>
      </c>
      <c r="B167" s="7" t="str">
        <f>"38662022042611042339355"</f>
        <v>38662022042611042339355</v>
      </c>
      <c r="C167" s="7" t="s">
        <v>7</v>
      </c>
      <c r="D167" s="7" t="str">
        <f>"符方虹"</f>
        <v>符方虹</v>
      </c>
      <c r="E167" s="7" t="str">
        <f t="shared" si="3"/>
        <v>女</v>
      </c>
    </row>
    <row r="168" spans="1:5" ht="30" customHeight="1">
      <c r="A168" s="7">
        <v>165</v>
      </c>
      <c r="B168" s="7" t="str">
        <f>"38662022042611200139378"</f>
        <v>38662022042611200139378</v>
      </c>
      <c r="C168" s="7" t="s">
        <v>7</v>
      </c>
      <c r="D168" s="7" t="str">
        <f>"吴清周"</f>
        <v>吴清周</v>
      </c>
      <c r="E168" s="7" t="str">
        <f t="shared" si="3"/>
        <v>女</v>
      </c>
    </row>
    <row r="169" spans="1:5" ht="30" customHeight="1">
      <c r="A169" s="7">
        <v>166</v>
      </c>
      <c r="B169" s="7" t="str">
        <f>"38662022042612263439469"</f>
        <v>38662022042612263439469</v>
      </c>
      <c r="C169" s="7" t="s">
        <v>7</v>
      </c>
      <c r="D169" s="7" t="str">
        <f>"李冰"</f>
        <v>李冰</v>
      </c>
      <c r="E169" s="7" t="str">
        <f t="shared" si="3"/>
        <v>女</v>
      </c>
    </row>
    <row r="170" spans="1:5" ht="30" customHeight="1">
      <c r="A170" s="7">
        <v>167</v>
      </c>
      <c r="B170" s="7" t="str">
        <f>"38662022042612325939480"</f>
        <v>38662022042612325939480</v>
      </c>
      <c r="C170" s="7" t="s">
        <v>7</v>
      </c>
      <c r="D170" s="7" t="str">
        <f>"文莹莹"</f>
        <v>文莹莹</v>
      </c>
      <c r="E170" s="7" t="str">
        <f t="shared" si="3"/>
        <v>女</v>
      </c>
    </row>
    <row r="171" spans="1:5" ht="30" customHeight="1">
      <c r="A171" s="7">
        <v>168</v>
      </c>
      <c r="B171" s="7" t="str">
        <f>"38662022042613075339528"</f>
        <v>38662022042613075339528</v>
      </c>
      <c r="C171" s="7" t="s">
        <v>7</v>
      </c>
      <c r="D171" s="7" t="str">
        <f>"杨婉艳"</f>
        <v>杨婉艳</v>
      </c>
      <c r="E171" s="7" t="str">
        <f t="shared" si="3"/>
        <v>女</v>
      </c>
    </row>
    <row r="172" spans="1:5" ht="30" customHeight="1">
      <c r="A172" s="7">
        <v>169</v>
      </c>
      <c r="B172" s="7" t="str">
        <f>"38662022042614102739576"</f>
        <v>38662022042614102739576</v>
      </c>
      <c r="C172" s="7" t="s">
        <v>7</v>
      </c>
      <c r="D172" s="7" t="str">
        <f>"钟海燕"</f>
        <v>钟海燕</v>
      </c>
      <c r="E172" s="7" t="str">
        <f t="shared" si="3"/>
        <v>女</v>
      </c>
    </row>
    <row r="173" spans="1:5" ht="30" customHeight="1">
      <c r="A173" s="7">
        <v>170</v>
      </c>
      <c r="B173" s="7" t="str">
        <f>"38662022042616274439805"</f>
        <v>38662022042616274439805</v>
      </c>
      <c r="C173" s="7" t="s">
        <v>7</v>
      </c>
      <c r="D173" s="7" t="str">
        <f>"黄俊莉"</f>
        <v>黄俊莉</v>
      </c>
      <c r="E173" s="7" t="str">
        <f t="shared" si="3"/>
        <v>女</v>
      </c>
    </row>
    <row r="174" spans="1:5" ht="30" customHeight="1">
      <c r="A174" s="7">
        <v>171</v>
      </c>
      <c r="B174" s="7" t="str">
        <f>"38662022042618233239978"</f>
        <v>38662022042618233239978</v>
      </c>
      <c r="C174" s="7" t="s">
        <v>7</v>
      </c>
      <c r="D174" s="7" t="str">
        <f>"高静雅"</f>
        <v>高静雅</v>
      </c>
      <c r="E174" s="7" t="str">
        <f t="shared" si="3"/>
        <v>女</v>
      </c>
    </row>
    <row r="175" spans="1:5" ht="30" customHeight="1">
      <c r="A175" s="7">
        <v>172</v>
      </c>
      <c r="B175" s="7" t="str">
        <f>"38662022042620001040088"</f>
        <v>38662022042620001040088</v>
      </c>
      <c r="C175" s="7" t="s">
        <v>7</v>
      </c>
      <c r="D175" s="7" t="str">
        <f>"符燕丽"</f>
        <v>符燕丽</v>
      </c>
      <c r="E175" s="7" t="str">
        <f t="shared" si="3"/>
        <v>女</v>
      </c>
    </row>
    <row r="176" spans="1:5" ht="30" customHeight="1">
      <c r="A176" s="7">
        <v>173</v>
      </c>
      <c r="B176" s="7" t="str">
        <f>"38662022042620200840121"</f>
        <v>38662022042620200840121</v>
      </c>
      <c r="C176" s="7" t="s">
        <v>7</v>
      </c>
      <c r="D176" s="7" t="str">
        <f>"黄雪绮"</f>
        <v>黄雪绮</v>
      </c>
      <c r="E176" s="7" t="str">
        <f t="shared" si="3"/>
        <v>女</v>
      </c>
    </row>
    <row r="177" spans="1:5" ht="30" customHeight="1">
      <c r="A177" s="7">
        <v>174</v>
      </c>
      <c r="B177" s="7" t="str">
        <f>"38662022042621582440288"</f>
        <v>38662022042621582440288</v>
      </c>
      <c r="C177" s="7" t="s">
        <v>7</v>
      </c>
      <c r="D177" s="7" t="str">
        <f>"杨澄渝"</f>
        <v>杨澄渝</v>
      </c>
      <c r="E177" s="7" t="str">
        <f t="shared" si="3"/>
        <v>女</v>
      </c>
    </row>
    <row r="178" spans="1:5" ht="30" customHeight="1">
      <c r="A178" s="7">
        <v>175</v>
      </c>
      <c r="B178" s="7" t="str">
        <f>"38662022042622212340324"</f>
        <v>38662022042622212340324</v>
      </c>
      <c r="C178" s="7" t="s">
        <v>7</v>
      </c>
      <c r="D178" s="7" t="str">
        <f>"陈春来"</f>
        <v>陈春来</v>
      </c>
      <c r="E178" s="7" t="str">
        <f t="shared" si="3"/>
        <v>女</v>
      </c>
    </row>
    <row r="179" spans="1:5" ht="30" customHeight="1">
      <c r="A179" s="7">
        <v>176</v>
      </c>
      <c r="B179" s="7" t="str">
        <f>"38662022042622512640378"</f>
        <v>38662022042622512640378</v>
      </c>
      <c r="C179" s="7" t="s">
        <v>7</v>
      </c>
      <c r="D179" s="7" t="str">
        <f>"徐文玲"</f>
        <v>徐文玲</v>
      </c>
      <c r="E179" s="7" t="str">
        <f t="shared" si="3"/>
        <v>女</v>
      </c>
    </row>
    <row r="180" spans="1:5" ht="30" customHeight="1">
      <c r="A180" s="7">
        <v>177</v>
      </c>
      <c r="B180" s="7" t="str">
        <f>"38662022042623040640406"</f>
        <v>38662022042623040640406</v>
      </c>
      <c r="C180" s="7" t="s">
        <v>7</v>
      </c>
      <c r="D180" s="7" t="str">
        <f>"符彩莲"</f>
        <v>符彩莲</v>
      </c>
      <c r="E180" s="7" t="str">
        <f t="shared" si="3"/>
        <v>女</v>
      </c>
    </row>
    <row r="181" spans="1:5" ht="30" customHeight="1">
      <c r="A181" s="7">
        <v>178</v>
      </c>
      <c r="B181" s="7" t="str">
        <f>"38662022042700041840493"</f>
        <v>38662022042700041840493</v>
      </c>
      <c r="C181" s="7" t="s">
        <v>7</v>
      </c>
      <c r="D181" s="7" t="str">
        <f>"徐志萍"</f>
        <v>徐志萍</v>
      </c>
      <c r="E181" s="7" t="str">
        <f t="shared" si="3"/>
        <v>女</v>
      </c>
    </row>
    <row r="182" spans="1:5" ht="30" customHeight="1">
      <c r="A182" s="7">
        <v>179</v>
      </c>
      <c r="B182" s="7" t="str">
        <f>"38662022042709070940768"</f>
        <v>38662022042709070940768</v>
      </c>
      <c r="C182" s="7" t="s">
        <v>7</v>
      </c>
      <c r="D182" s="7" t="str">
        <f>"苏天玉"</f>
        <v>苏天玉</v>
      </c>
      <c r="E182" s="7" t="str">
        <f t="shared" si="3"/>
        <v>女</v>
      </c>
    </row>
    <row r="183" spans="1:5" ht="30" customHeight="1">
      <c r="A183" s="7">
        <v>180</v>
      </c>
      <c r="B183" s="7" t="str">
        <f>"38662022042709072640773"</f>
        <v>38662022042709072640773</v>
      </c>
      <c r="C183" s="7" t="s">
        <v>7</v>
      </c>
      <c r="D183" s="7" t="str">
        <f>"符晓玉"</f>
        <v>符晓玉</v>
      </c>
      <c r="E183" s="7" t="str">
        <f t="shared" si="3"/>
        <v>女</v>
      </c>
    </row>
    <row r="184" spans="1:5" ht="30" customHeight="1">
      <c r="A184" s="7">
        <v>181</v>
      </c>
      <c r="B184" s="7" t="str">
        <f>"38662022042709241440989"</f>
        <v>38662022042709241440989</v>
      </c>
      <c r="C184" s="7" t="s">
        <v>7</v>
      </c>
      <c r="D184" s="7" t="str">
        <f>"钟小珍"</f>
        <v>钟小珍</v>
      </c>
      <c r="E184" s="7" t="str">
        <f t="shared" si="3"/>
        <v>女</v>
      </c>
    </row>
    <row r="185" spans="1:5" ht="30" customHeight="1">
      <c r="A185" s="7">
        <v>182</v>
      </c>
      <c r="B185" s="7" t="str">
        <f>"38662022042709313941098"</f>
        <v>38662022042709313941098</v>
      </c>
      <c r="C185" s="7" t="s">
        <v>7</v>
      </c>
      <c r="D185" s="7" t="str">
        <f>"冯娴恬"</f>
        <v>冯娴恬</v>
      </c>
      <c r="E185" s="7" t="str">
        <f t="shared" si="3"/>
        <v>女</v>
      </c>
    </row>
    <row r="186" spans="1:5" ht="30" customHeight="1">
      <c r="A186" s="7">
        <v>183</v>
      </c>
      <c r="B186" s="7" t="str">
        <f>"38662022042709444741254"</f>
        <v>38662022042709444741254</v>
      </c>
      <c r="C186" s="7" t="s">
        <v>7</v>
      </c>
      <c r="D186" s="7" t="str">
        <f>"邓静"</f>
        <v>邓静</v>
      </c>
      <c r="E186" s="7" t="str">
        <f t="shared" si="3"/>
        <v>女</v>
      </c>
    </row>
    <row r="187" spans="1:5" ht="30" customHeight="1">
      <c r="A187" s="7">
        <v>184</v>
      </c>
      <c r="B187" s="7" t="str">
        <f>"38662022042710093141553"</f>
        <v>38662022042710093141553</v>
      </c>
      <c r="C187" s="7" t="s">
        <v>7</v>
      </c>
      <c r="D187" s="7" t="str">
        <f>"陈雪盈"</f>
        <v>陈雪盈</v>
      </c>
      <c r="E187" s="7" t="str">
        <f t="shared" si="3"/>
        <v>女</v>
      </c>
    </row>
    <row r="188" spans="1:5" ht="30" customHeight="1">
      <c r="A188" s="7">
        <v>185</v>
      </c>
      <c r="B188" s="7" t="str">
        <f>"38662022042710145541598"</f>
        <v>38662022042710145541598</v>
      </c>
      <c r="C188" s="7" t="s">
        <v>7</v>
      </c>
      <c r="D188" s="7" t="str">
        <f>"张薇"</f>
        <v>张薇</v>
      </c>
      <c r="E188" s="7" t="str">
        <f t="shared" si="3"/>
        <v>女</v>
      </c>
    </row>
    <row r="189" spans="1:5" ht="30" customHeight="1">
      <c r="A189" s="7">
        <v>186</v>
      </c>
      <c r="B189" s="7" t="str">
        <f>"38662022042710261241712"</f>
        <v>38662022042710261241712</v>
      </c>
      <c r="C189" s="7" t="s">
        <v>7</v>
      </c>
      <c r="D189" s="7" t="str">
        <f>"何潮潮"</f>
        <v>何潮潮</v>
      </c>
      <c r="E189" s="7" t="str">
        <f t="shared" si="3"/>
        <v>女</v>
      </c>
    </row>
    <row r="190" spans="1:5" ht="30" customHeight="1">
      <c r="A190" s="7">
        <v>187</v>
      </c>
      <c r="B190" s="7" t="str">
        <f>"38662022042711555742518"</f>
        <v>38662022042711555742518</v>
      </c>
      <c r="C190" s="7" t="s">
        <v>7</v>
      </c>
      <c r="D190" s="7" t="str">
        <f>"陈琪琪"</f>
        <v>陈琪琪</v>
      </c>
      <c r="E190" s="7" t="str">
        <f t="shared" si="3"/>
        <v>女</v>
      </c>
    </row>
    <row r="191" spans="1:5" ht="30" customHeight="1">
      <c r="A191" s="7">
        <v>188</v>
      </c>
      <c r="B191" s="7" t="str">
        <f>"38662022042711590742541"</f>
        <v>38662022042711590742541</v>
      </c>
      <c r="C191" s="7" t="s">
        <v>7</v>
      </c>
      <c r="D191" s="7" t="str">
        <f>"吴李莲"</f>
        <v>吴李莲</v>
      </c>
      <c r="E191" s="7" t="str">
        <f t="shared" si="3"/>
        <v>女</v>
      </c>
    </row>
    <row r="192" spans="1:5" ht="30" customHeight="1">
      <c r="A192" s="7">
        <v>189</v>
      </c>
      <c r="B192" s="7" t="str">
        <f>"38662022042712115842610"</f>
        <v>38662022042712115842610</v>
      </c>
      <c r="C192" s="7" t="s">
        <v>7</v>
      </c>
      <c r="D192" s="7" t="str">
        <f>"方小芳"</f>
        <v>方小芳</v>
      </c>
      <c r="E192" s="7" t="str">
        <f t="shared" si="3"/>
        <v>女</v>
      </c>
    </row>
    <row r="193" spans="1:5" ht="30" customHeight="1">
      <c r="A193" s="7">
        <v>190</v>
      </c>
      <c r="B193" s="7" t="str">
        <f>"38662022042712355842754"</f>
        <v>38662022042712355842754</v>
      </c>
      <c r="C193" s="7" t="s">
        <v>7</v>
      </c>
      <c r="D193" s="7" t="str">
        <f>"郑梅娃"</f>
        <v>郑梅娃</v>
      </c>
      <c r="E193" s="7" t="str">
        <f t="shared" si="3"/>
        <v>女</v>
      </c>
    </row>
    <row r="194" spans="1:5" ht="30" customHeight="1">
      <c r="A194" s="7">
        <v>191</v>
      </c>
      <c r="B194" s="7" t="str">
        <f>"38662022042714292543450"</f>
        <v>38662022042714292543450</v>
      </c>
      <c r="C194" s="7" t="s">
        <v>7</v>
      </c>
      <c r="D194" s="7" t="str">
        <f>"王华萍"</f>
        <v>王华萍</v>
      </c>
      <c r="E194" s="7" t="str">
        <f t="shared" si="3"/>
        <v>女</v>
      </c>
    </row>
    <row r="195" spans="1:5" ht="30" customHeight="1">
      <c r="A195" s="7">
        <v>192</v>
      </c>
      <c r="B195" s="7" t="str">
        <f>"38662022042715473343940"</f>
        <v>38662022042715473343940</v>
      </c>
      <c r="C195" s="7" t="s">
        <v>7</v>
      </c>
      <c r="D195" s="7" t="str">
        <f>"林井婷"</f>
        <v>林井婷</v>
      </c>
      <c r="E195" s="7" t="str">
        <f t="shared" si="3"/>
        <v>女</v>
      </c>
    </row>
    <row r="196" spans="1:5" ht="30" customHeight="1">
      <c r="A196" s="7">
        <v>193</v>
      </c>
      <c r="B196" s="7" t="str">
        <f>"38662022042715502343959"</f>
        <v>38662022042715502343959</v>
      </c>
      <c r="C196" s="7" t="s">
        <v>7</v>
      </c>
      <c r="D196" s="7" t="str">
        <f>"陈也"</f>
        <v>陈也</v>
      </c>
      <c r="E196" s="7" t="str">
        <f t="shared" si="3"/>
        <v>女</v>
      </c>
    </row>
    <row r="197" spans="1:5" ht="30" customHeight="1">
      <c r="A197" s="7">
        <v>194</v>
      </c>
      <c r="B197" s="7" t="str">
        <f>"38662022042716120744095"</f>
        <v>38662022042716120744095</v>
      </c>
      <c r="C197" s="7" t="s">
        <v>7</v>
      </c>
      <c r="D197" s="7" t="str">
        <f>"林文静"</f>
        <v>林文静</v>
      </c>
      <c r="E197" s="7" t="str">
        <f t="shared" si="3"/>
        <v>女</v>
      </c>
    </row>
    <row r="198" spans="1:5" ht="30" customHeight="1">
      <c r="A198" s="7">
        <v>195</v>
      </c>
      <c r="B198" s="7" t="str">
        <f>"38662022042109524525521"</f>
        <v>38662022042109524525521</v>
      </c>
      <c r="C198" s="7" t="s">
        <v>8</v>
      </c>
      <c r="D198" s="7" t="str">
        <f>"王健汝"</f>
        <v>王健汝</v>
      </c>
      <c r="E198" s="7" t="str">
        <f t="shared" si="3"/>
        <v>女</v>
      </c>
    </row>
    <row r="199" spans="1:5" ht="30" customHeight="1">
      <c r="A199" s="7">
        <v>196</v>
      </c>
      <c r="B199" s="7" t="str">
        <f>"38662022042113095627344"</f>
        <v>38662022042113095627344</v>
      </c>
      <c r="C199" s="7" t="s">
        <v>8</v>
      </c>
      <c r="D199" s="7" t="str">
        <f>"王初乾"</f>
        <v>王初乾</v>
      </c>
      <c r="E199" s="7" t="str">
        <f t="shared" si="3"/>
        <v>女</v>
      </c>
    </row>
    <row r="200" spans="1:5" ht="30" customHeight="1">
      <c r="A200" s="7">
        <v>197</v>
      </c>
      <c r="B200" s="7" t="str">
        <f>"38662022042113261727415"</f>
        <v>38662022042113261727415</v>
      </c>
      <c r="C200" s="7" t="s">
        <v>8</v>
      </c>
      <c r="D200" s="7" t="str">
        <f>"符素仙"</f>
        <v>符素仙</v>
      </c>
      <c r="E200" s="7" t="str">
        <f t="shared" si="3"/>
        <v>女</v>
      </c>
    </row>
    <row r="201" spans="1:5" ht="30" customHeight="1">
      <c r="A201" s="7">
        <v>198</v>
      </c>
      <c r="B201" s="7" t="str">
        <f>"38662022042115494428387"</f>
        <v>38662022042115494428387</v>
      </c>
      <c r="C201" s="7" t="s">
        <v>8</v>
      </c>
      <c r="D201" s="7" t="str">
        <f>"吴云"</f>
        <v>吴云</v>
      </c>
      <c r="E201" s="7" t="str">
        <f t="shared" si="3"/>
        <v>女</v>
      </c>
    </row>
    <row r="202" spans="1:5" ht="30" customHeight="1">
      <c r="A202" s="7">
        <v>199</v>
      </c>
      <c r="B202" s="7" t="str">
        <f>"38662022042116393128718"</f>
        <v>38662022042116393128718</v>
      </c>
      <c r="C202" s="7" t="s">
        <v>8</v>
      </c>
      <c r="D202" s="7" t="str">
        <f>"令仕欣"</f>
        <v>令仕欣</v>
      </c>
      <c r="E202" s="7" t="str">
        <f>"男"</f>
        <v>男</v>
      </c>
    </row>
    <row r="203" spans="1:5" ht="30" customHeight="1">
      <c r="A203" s="7">
        <v>200</v>
      </c>
      <c r="B203" s="7" t="str">
        <f>"38662022042117140428952"</f>
        <v>38662022042117140428952</v>
      </c>
      <c r="C203" s="7" t="s">
        <v>8</v>
      </c>
      <c r="D203" s="7" t="str">
        <f>"吴丽贞"</f>
        <v>吴丽贞</v>
      </c>
      <c r="E203" s="7" t="str">
        <f aca="true" t="shared" si="4" ref="E203:E222">"女"</f>
        <v>女</v>
      </c>
    </row>
    <row r="204" spans="1:5" ht="30" customHeight="1">
      <c r="A204" s="7">
        <v>201</v>
      </c>
      <c r="B204" s="7" t="str">
        <f>"38662022042118405829364"</f>
        <v>38662022042118405829364</v>
      </c>
      <c r="C204" s="7" t="s">
        <v>8</v>
      </c>
      <c r="D204" s="7" t="str">
        <f>"符玉妃"</f>
        <v>符玉妃</v>
      </c>
      <c r="E204" s="7" t="str">
        <f t="shared" si="4"/>
        <v>女</v>
      </c>
    </row>
    <row r="205" spans="1:5" ht="30" customHeight="1">
      <c r="A205" s="7">
        <v>202</v>
      </c>
      <c r="B205" s="7" t="str">
        <f>"38662022042118410529368"</f>
        <v>38662022042118410529368</v>
      </c>
      <c r="C205" s="7" t="s">
        <v>8</v>
      </c>
      <c r="D205" s="7" t="str">
        <f>"符坤梅"</f>
        <v>符坤梅</v>
      </c>
      <c r="E205" s="7" t="str">
        <f t="shared" si="4"/>
        <v>女</v>
      </c>
    </row>
    <row r="206" spans="1:5" ht="30" customHeight="1">
      <c r="A206" s="7">
        <v>203</v>
      </c>
      <c r="B206" s="7" t="str">
        <f>"38662022042123092730671"</f>
        <v>38662022042123092730671</v>
      </c>
      <c r="C206" s="7" t="s">
        <v>8</v>
      </c>
      <c r="D206" s="7" t="str">
        <f>"符尾女"</f>
        <v>符尾女</v>
      </c>
      <c r="E206" s="7" t="str">
        <f t="shared" si="4"/>
        <v>女</v>
      </c>
    </row>
    <row r="207" spans="1:5" ht="30" customHeight="1">
      <c r="A207" s="7">
        <v>204</v>
      </c>
      <c r="B207" s="7" t="str">
        <f>"38662022042123380530758"</f>
        <v>38662022042123380530758</v>
      </c>
      <c r="C207" s="7" t="s">
        <v>8</v>
      </c>
      <c r="D207" s="7" t="str">
        <f>"赵肖云"</f>
        <v>赵肖云</v>
      </c>
      <c r="E207" s="7" t="str">
        <f t="shared" si="4"/>
        <v>女</v>
      </c>
    </row>
    <row r="208" spans="1:5" ht="30" customHeight="1">
      <c r="A208" s="7">
        <v>205</v>
      </c>
      <c r="B208" s="7" t="str">
        <f>"38662022042208293430999"</f>
        <v>38662022042208293430999</v>
      </c>
      <c r="C208" s="7" t="s">
        <v>8</v>
      </c>
      <c r="D208" s="7" t="str">
        <f>"王丹女"</f>
        <v>王丹女</v>
      </c>
      <c r="E208" s="7" t="str">
        <f t="shared" si="4"/>
        <v>女</v>
      </c>
    </row>
    <row r="209" spans="1:5" ht="30" customHeight="1">
      <c r="A209" s="7">
        <v>206</v>
      </c>
      <c r="B209" s="7" t="str">
        <f>"38662022042209324831284"</f>
        <v>38662022042209324831284</v>
      </c>
      <c r="C209" s="7" t="s">
        <v>8</v>
      </c>
      <c r="D209" s="7" t="str">
        <f>"黎姝姹"</f>
        <v>黎姝姹</v>
      </c>
      <c r="E209" s="7" t="str">
        <f t="shared" si="4"/>
        <v>女</v>
      </c>
    </row>
    <row r="210" spans="1:5" ht="30" customHeight="1">
      <c r="A210" s="7">
        <v>207</v>
      </c>
      <c r="B210" s="7" t="str">
        <f>"38662022042209471731365"</f>
        <v>38662022042209471731365</v>
      </c>
      <c r="C210" s="7" t="s">
        <v>8</v>
      </c>
      <c r="D210" s="7" t="str">
        <f>"陈积霞"</f>
        <v>陈积霞</v>
      </c>
      <c r="E210" s="7" t="str">
        <f t="shared" si="4"/>
        <v>女</v>
      </c>
    </row>
    <row r="211" spans="1:5" ht="30" customHeight="1">
      <c r="A211" s="7">
        <v>208</v>
      </c>
      <c r="B211" s="7" t="str">
        <f>"38662022042210592931808"</f>
        <v>38662022042210592931808</v>
      </c>
      <c r="C211" s="7" t="s">
        <v>8</v>
      </c>
      <c r="D211" s="7" t="str">
        <f>"裴日巧"</f>
        <v>裴日巧</v>
      </c>
      <c r="E211" s="7" t="str">
        <f t="shared" si="4"/>
        <v>女</v>
      </c>
    </row>
    <row r="212" spans="1:5" ht="30" customHeight="1">
      <c r="A212" s="7">
        <v>209</v>
      </c>
      <c r="B212" s="7" t="str">
        <f>"38662022042214402433066"</f>
        <v>38662022042214402433066</v>
      </c>
      <c r="C212" s="7" t="s">
        <v>8</v>
      </c>
      <c r="D212" s="7" t="str">
        <f>"黄淑美"</f>
        <v>黄淑美</v>
      </c>
      <c r="E212" s="7" t="str">
        <f t="shared" si="4"/>
        <v>女</v>
      </c>
    </row>
    <row r="213" spans="1:5" ht="30" customHeight="1">
      <c r="A213" s="7">
        <v>210</v>
      </c>
      <c r="B213" s="7" t="str">
        <f>"38662022042316371635524"</f>
        <v>38662022042316371635524</v>
      </c>
      <c r="C213" s="7" t="s">
        <v>8</v>
      </c>
      <c r="D213" s="7" t="str">
        <f>"任金辉"</f>
        <v>任金辉</v>
      </c>
      <c r="E213" s="7" t="str">
        <f t="shared" si="4"/>
        <v>女</v>
      </c>
    </row>
    <row r="214" spans="1:5" ht="30" customHeight="1">
      <c r="A214" s="7">
        <v>211</v>
      </c>
      <c r="B214" s="7" t="str">
        <f>"38662022042323272636077"</f>
        <v>38662022042323272636077</v>
      </c>
      <c r="C214" s="7" t="s">
        <v>8</v>
      </c>
      <c r="D214" s="7" t="str">
        <f>"庞广灵"</f>
        <v>庞广灵</v>
      </c>
      <c r="E214" s="7" t="str">
        <f t="shared" si="4"/>
        <v>女</v>
      </c>
    </row>
    <row r="215" spans="1:5" ht="30" customHeight="1">
      <c r="A215" s="7">
        <v>212</v>
      </c>
      <c r="B215" s="7" t="str">
        <f>"38662022042411564036593"</f>
        <v>38662022042411564036593</v>
      </c>
      <c r="C215" s="7" t="s">
        <v>8</v>
      </c>
      <c r="D215" s="7" t="str">
        <f>"苏悦"</f>
        <v>苏悦</v>
      </c>
      <c r="E215" s="7" t="str">
        <f t="shared" si="4"/>
        <v>女</v>
      </c>
    </row>
    <row r="216" spans="1:5" ht="30" customHeight="1">
      <c r="A216" s="7">
        <v>213</v>
      </c>
      <c r="B216" s="7" t="str">
        <f>"38662022042412361436651"</f>
        <v>38662022042412361436651</v>
      </c>
      <c r="C216" s="7" t="s">
        <v>8</v>
      </c>
      <c r="D216" s="7" t="str">
        <f>"庞海玉"</f>
        <v>庞海玉</v>
      </c>
      <c r="E216" s="7" t="str">
        <f t="shared" si="4"/>
        <v>女</v>
      </c>
    </row>
    <row r="217" spans="1:5" ht="30" customHeight="1">
      <c r="A217" s="7">
        <v>214</v>
      </c>
      <c r="B217" s="7" t="str">
        <f>"38662022042419593737396"</f>
        <v>38662022042419593737396</v>
      </c>
      <c r="C217" s="7" t="s">
        <v>8</v>
      </c>
      <c r="D217" s="7" t="str">
        <f>"王锡慧"</f>
        <v>王锡慧</v>
      </c>
      <c r="E217" s="7" t="str">
        <f t="shared" si="4"/>
        <v>女</v>
      </c>
    </row>
    <row r="218" spans="1:5" ht="30" customHeight="1">
      <c r="A218" s="7">
        <v>215</v>
      </c>
      <c r="B218" s="7" t="str">
        <f>"38662022042509350637896"</f>
        <v>38662022042509350637896</v>
      </c>
      <c r="C218" s="7" t="s">
        <v>8</v>
      </c>
      <c r="D218" s="7" t="str">
        <f>"陈欣"</f>
        <v>陈欣</v>
      </c>
      <c r="E218" s="7" t="str">
        <f t="shared" si="4"/>
        <v>女</v>
      </c>
    </row>
    <row r="219" spans="1:5" ht="30" customHeight="1">
      <c r="A219" s="7">
        <v>216</v>
      </c>
      <c r="B219" s="7" t="str">
        <f>"38662022042511571038142"</f>
        <v>38662022042511571038142</v>
      </c>
      <c r="C219" s="7" t="s">
        <v>8</v>
      </c>
      <c r="D219" s="7" t="str">
        <f>"张海虹"</f>
        <v>张海虹</v>
      </c>
      <c r="E219" s="7" t="str">
        <f t="shared" si="4"/>
        <v>女</v>
      </c>
    </row>
    <row r="220" spans="1:5" ht="30" customHeight="1">
      <c r="A220" s="7">
        <v>217</v>
      </c>
      <c r="B220" s="7" t="str">
        <f>"38662022042612032939436"</f>
        <v>38662022042612032939436</v>
      </c>
      <c r="C220" s="7" t="s">
        <v>8</v>
      </c>
      <c r="D220" s="7" t="str">
        <f>"羊立腾"</f>
        <v>羊立腾</v>
      </c>
      <c r="E220" s="7" t="str">
        <f t="shared" si="4"/>
        <v>女</v>
      </c>
    </row>
    <row r="221" spans="1:5" ht="30" customHeight="1">
      <c r="A221" s="7">
        <v>218</v>
      </c>
      <c r="B221" s="7" t="str">
        <f>"38662022042622402940360"</f>
        <v>38662022042622402940360</v>
      </c>
      <c r="C221" s="7" t="s">
        <v>8</v>
      </c>
      <c r="D221" s="7" t="str">
        <f>"梁锦"</f>
        <v>梁锦</v>
      </c>
      <c r="E221" s="7" t="str">
        <f t="shared" si="4"/>
        <v>女</v>
      </c>
    </row>
    <row r="222" spans="1:5" ht="30" customHeight="1">
      <c r="A222" s="7">
        <v>219</v>
      </c>
      <c r="B222" s="7" t="str">
        <f>"38662022042109322525269"</f>
        <v>38662022042109322525269</v>
      </c>
      <c r="C222" s="7" t="s">
        <v>9</v>
      </c>
      <c r="D222" s="7" t="str">
        <f>"符卫丹"</f>
        <v>符卫丹</v>
      </c>
      <c r="E222" s="7" t="str">
        <f t="shared" si="4"/>
        <v>女</v>
      </c>
    </row>
    <row r="223" spans="1:5" ht="30" customHeight="1">
      <c r="A223" s="7">
        <v>220</v>
      </c>
      <c r="B223" s="7" t="str">
        <f>"38662022042109480425465"</f>
        <v>38662022042109480425465</v>
      </c>
      <c r="C223" s="7" t="s">
        <v>9</v>
      </c>
      <c r="D223" s="7" t="str">
        <f>"梁振文"</f>
        <v>梁振文</v>
      </c>
      <c r="E223" s="7" t="str">
        <f>"男"</f>
        <v>男</v>
      </c>
    </row>
    <row r="224" spans="1:5" ht="30" customHeight="1">
      <c r="A224" s="7">
        <v>221</v>
      </c>
      <c r="B224" s="7" t="str">
        <f>"38662022042109544125555"</f>
        <v>38662022042109544125555</v>
      </c>
      <c r="C224" s="7" t="s">
        <v>9</v>
      </c>
      <c r="D224" s="7" t="str">
        <f>"符乃娟"</f>
        <v>符乃娟</v>
      </c>
      <c r="E224" s="7" t="str">
        <f aca="true" t="shared" si="5" ref="E224:E233">"女"</f>
        <v>女</v>
      </c>
    </row>
    <row r="225" spans="1:5" ht="30" customHeight="1">
      <c r="A225" s="7">
        <v>222</v>
      </c>
      <c r="B225" s="7" t="str">
        <f>"38662022042110225325915"</f>
        <v>38662022042110225325915</v>
      </c>
      <c r="C225" s="7" t="s">
        <v>9</v>
      </c>
      <c r="D225" s="7" t="str">
        <f>"曾显花"</f>
        <v>曾显花</v>
      </c>
      <c r="E225" s="7" t="str">
        <f t="shared" si="5"/>
        <v>女</v>
      </c>
    </row>
    <row r="226" spans="1:5" ht="30" customHeight="1">
      <c r="A226" s="7">
        <v>223</v>
      </c>
      <c r="B226" s="7" t="str">
        <f>"38662022042110285626000"</f>
        <v>38662022042110285626000</v>
      </c>
      <c r="C226" s="7" t="s">
        <v>9</v>
      </c>
      <c r="D226" s="7" t="str">
        <f>"刘海云"</f>
        <v>刘海云</v>
      </c>
      <c r="E226" s="7" t="str">
        <f t="shared" si="5"/>
        <v>女</v>
      </c>
    </row>
    <row r="227" spans="1:5" ht="30" customHeight="1">
      <c r="A227" s="7">
        <v>224</v>
      </c>
      <c r="B227" s="7" t="str">
        <f>"38662022042110421426158"</f>
        <v>38662022042110421426158</v>
      </c>
      <c r="C227" s="7" t="s">
        <v>9</v>
      </c>
      <c r="D227" s="7" t="str">
        <f>"黄雪润"</f>
        <v>黄雪润</v>
      </c>
      <c r="E227" s="7" t="str">
        <f t="shared" si="5"/>
        <v>女</v>
      </c>
    </row>
    <row r="228" spans="1:5" ht="30" customHeight="1">
      <c r="A228" s="7">
        <v>225</v>
      </c>
      <c r="B228" s="7" t="str">
        <f>"38662022042110491826252"</f>
        <v>38662022042110491826252</v>
      </c>
      <c r="C228" s="7" t="s">
        <v>9</v>
      </c>
      <c r="D228" s="7" t="str">
        <f>"何丽丁"</f>
        <v>何丽丁</v>
      </c>
      <c r="E228" s="7" t="str">
        <f t="shared" si="5"/>
        <v>女</v>
      </c>
    </row>
    <row r="229" spans="1:5" ht="30" customHeight="1">
      <c r="A229" s="7">
        <v>226</v>
      </c>
      <c r="B229" s="7" t="str">
        <f>"38662022042111024726403"</f>
        <v>38662022042111024726403</v>
      </c>
      <c r="C229" s="7" t="s">
        <v>9</v>
      </c>
      <c r="D229" s="7" t="str">
        <f>"林家芬"</f>
        <v>林家芬</v>
      </c>
      <c r="E229" s="7" t="str">
        <f t="shared" si="5"/>
        <v>女</v>
      </c>
    </row>
    <row r="230" spans="1:5" ht="30" customHeight="1">
      <c r="A230" s="7">
        <v>227</v>
      </c>
      <c r="B230" s="7" t="str">
        <f>"38662022042112342327131"</f>
        <v>38662022042112342327131</v>
      </c>
      <c r="C230" s="7" t="s">
        <v>9</v>
      </c>
      <c r="D230" s="7" t="str">
        <f>"李云珠"</f>
        <v>李云珠</v>
      </c>
      <c r="E230" s="7" t="str">
        <f t="shared" si="5"/>
        <v>女</v>
      </c>
    </row>
    <row r="231" spans="1:5" ht="30" customHeight="1">
      <c r="A231" s="7">
        <v>228</v>
      </c>
      <c r="B231" s="7" t="str">
        <f>"38662022042113571727543"</f>
        <v>38662022042113571727543</v>
      </c>
      <c r="C231" s="7" t="s">
        <v>9</v>
      </c>
      <c r="D231" s="7" t="str">
        <f>"符小瑶"</f>
        <v>符小瑶</v>
      </c>
      <c r="E231" s="7" t="str">
        <f t="shared" si="5"/>
        <v>女</v>
      </c>
    </row>
    <row r="232" spans="1:5" ht="30" customHeight="1">
      <c r="A232" s="7">
        <v>229</v>
      </c>
      <c r="B232" s="7" t="str">
        <f>"38662022042113595627553"</f>
        <v>38662022042113595627553</v>
      </c>
      <c r="C232" s="7" t="s">
        <v>9</v>
      </c>
      <c r="D232" s="7" t="str">
        <f>"吴关娇"</f>
        <v>吴关娇</v>
      </c>
      <c r="E232" s="7" t="str">
        <f t="shared" si="5"/>
        <v>女</v>
      </c>
    </row>
    <row r="233" spans="1:5" ht="30" customHeight="1">
      <c r="A233" s="7">
        <v>230</v>
      </c>
      <c r="B233" s="7" t="str">
        <f>"38662022042115234528178"</f>
        <v>38662022042115234528178</v>
      </c>
      <c r="C233" s="7" t="s">
        <v>9</v>
      </c>
      <c r="D233" s="7" t="str">
        <f>"王钰淇"</f>
        <v>王钰淇</v>
      </c>
      <c r="E233" s="7" t="str">
        <f t="shared" si="5"/>
        <v>女</v>
      </c>
    </row>
    <row r="234" spans="1:5" ht="30" customHeight="1">
      <c r="A234" s="7">
        <v>231</v>
      </c>
      <c r="B234" s="7" t="str">
        <f>"38662022042115311428242"</f>
        <v>38662022042115311428242</v>
      </c>
      <c r="C234" s="7" t="s">
        <v>9</v>
      </c>
      <c r="D234" s="7" t="str">
        <f>"黄炳杰"</f>
        <v>黄炳杰</v>
      </c>
      <c r="E234" s="7" t="str">
        <f aca="true" t="shared" si="6" ref="E234:E238">"男"</f>
        <v>男</v>
      </c>
    </row>
    <row r="235" spans="1:5" ht="30" customHeight="1">
      <c r="A235" s="7">
        <v>232</v>
      </c>
      <c r="B235" s="7" t="str">
        <f>"38662022042119044729471"</f>
        <v>38662022042119044729471</v>
      </c>
      <c r="C235" s="7" t="s">
        <v>9</v>
      </c>
      <c r="D235" s="7" t="str">
        <f>"王女婷"</f>
        <v>王女婷</v>
      </c>
      <c r="E235" s="7" t="str">
        <f aca="true" t="shared" si="7" ref="E235:E239">"女"</f>
        <v>女</v>
      </c>
    </row>
    <row r="236" spans="1:5" ht="30" customHeight="1">
      <c r="A236" s="7">
        <v>233</v>
      </c>
      <c r="B236" s="7" t="str">
        <f>"38662022042120052529740"</f>
        <v>38662022042120052529740</v>
      </c>
      <c r="C236" s="7" t="s">
        <v>9</v>
      </c>
      <c r="D236" s="7" t="str">
        <f>"纪新龙"</f>
        <v>纪新龙</v>
      </c>
      <c r="E236" s="7" t="str">
        <f t="shared" si="6"/>
        <v>男</v>
      </c>
    </row>
    <row r="237" spans="1:5" ht="30" customHeight="1">
      <c r="A237" s="7">
        <v>234</v>
      </c>
      <c r="B237" s="7" t="str">
        <f>"38662022042120373029917"</f>
        <v>38662022042120373029917</v>
      </c>
      <c r="C237" s="7" t="s">
        <v>9</v>
      </c>
      <c r="D237" s="7" t="str">
        <f>"曾慧"</f>
        <v>曾慧</v>
      </c>
      <c r="E237" s="7" t="str">
        <f t="shared" si="7"/>
        <v>女</v>
      </c>
    </row>
    <row r="238" spans="1:5" ht="30" customHeight="1">
      <c r="A238" s="7">
        <v>235</v>
      </c>
      <c r="B238" s="7" t="str">
        <f>"38662022042120483229979"</f>
        <v>38662022042120483229979</v>
      </c>
      <c r="C238" s="7" t="s">
        <v>9</v>
      </c>
      <c r="D238" s="7" t="str">
        <f>"王经宾"</f>
        <v>王经宾</v>
      </c>
      <c r="E238" s="7" t="str">
        <f t="shared" si="6"/>
        <v>男</v>
      </c>
    </row>
    <row r="239" spans="1:5" ht="30" customHeight="1">
      <c r="A239" s="7">
        <v>236</v>
      </c>
      <c r="B239" s="7" t="str">
        <f>"38662022042122204130465"</f>
        <v>38662022042122204130465</v>
      </c>
      <c r="C239" s="7" t="s">
        <v>9</v>
      </c>
      <c r="D239" s="7" t="str">
        <f>"杨晶"</f>
        <v>杨晶</v>
      </c>
      <c r="E239" s="7" t="str">
        <f t="shared" si="7"/>
        <v>女</v>
      </c>
    </row>
    <row r="240" spans="1:5" ht="30" customHeight="1">
      <c r="A240" s="7">
        <v>237</v>
      </c>
      <c r="B240" s="7" t="str">
        <f>"38662022042122430530571"</f>
        <v>38662022042122430530571</v>
      </c>
      <c r="C240" s="7" t="s">
        <v>9</v>
      </c>
      <c r="D240" s="7" t="str">
        <f>"吴柏"</f>
        <v>吴柏</v>
      </c>
      <c r="E240" s="7" t="str">
        <f>"男"</f>
        <v>男</v>
      </c>
    </row>
    <row r="241" spans="1:5" ht="30" customHeight="1">
      <c r="A241" s="7">
        <v>238</v>
      </c>
      <c r="B241" s="7" t="str">
        <f>"38662022042123431130770"</f>
        <v>38662022042123431130770</v>
      </c>
      <c r="C241" s="7" t="s">
        <v>9</v>
      </c>
      <c r="D241" s="7" t="str">
        <f>"钟赛丽"</f>
        <v>钟赛丽</v>
      </c>
      <c r="E241" s="7" t="str">
        <f aca="true" t="shared" si="8" ref="E241:E247">"女"</f>
        <v>女</v>
      </c>
    </row>
    <row r="242" spans="1:5" ht="30" customHeight="1">
      <c r="A242" s="7">
        <v>239</v>
      </c>
      <c r="B242" s="7" t="str">
        <f>"38662022042208495531071"</f>
        <v>38662022042208495531071</v>
      </c>
      <c r="C242" s="7" t="s">
        <v>9</v>
      </c>
      <c r="D242" s="7" t="str">
        <f>"王小妮"</f>
        <v>王小妮</v>
      </c>
      <c r="E242" s="7" t="str">
        <f t="shared" si="8"/>
        <v>女</v>
      </c>
    </row>
    <row r="243" spans="1:5" ht="30" customHeight="1">
      <c r="A243" s="7">
        <v>240</v>
      </c>
      <c r="B243" s="7" t="str">
        <f>"38662022042209212331220"</f>
        <v>38662022042209212331220</v>
      </c>
      <c r="C243" s="7" t="s">
        <v>9</v>
      </c>
      <c r="D243" s="7" t="str">
        <f>"周曼"</f>
        <v>周曼</v>
      </c>
      <c r="E243" s="7" t="str">
        <f t="shared" si="8"/>
        <v>女</v>
      </c>
    </row>
    <row r="244" spans="1:5" ht="30" customHeight="1">
      <c r="A244" s="7">
        <v>241</v>
      </c>
      <c r="B244" s="7" t="str">
        <f>"38662022042210294031630"</f>
        <v>38662022042210294031630</v>
      </c>
      <c r="C244" s="7" t="s">
        <v>9</v>
      </c>
      <c r="D244" s="7" t="str">
        <f>"肖唯鹃"</f>
        <v>肖唯鹃</v>
      </c>
      <c r="E244" s="7" t="str">
        <f t="shared" si="8"/>
        <v>女</v>
      </c>
    </row>
    <row r="245" spans="1:5" ht="30" customHeight="1">
      <c r="A245" s="7">
        <v>242</v>
      </c>
      <c r="B245" s="7" t="str">
        <f>"38662022042211285932135"</f>
        <v>38662022042211285932135</v>
      </c>
      <c r="C245" s="7" t="s">
        <v>9</v>
      </c>
      <c r="D245" s="7" t="str">
        <f>"杨小清"</f>
        <v>杨小清</v>
      </c>
      <c r="E245" s="7" t="str">
        <f t="shared" si="8"/>
        <v>女</v>
      </c>
    </row>
    <row r="246" spans="1:5" ht="30" customHeight="1">
      <c r="A246" s="7">
        <v>243</v>
      </c>
      <c r="B246" s="7" t="str">
        <f>"38662022042211352232342"</f>
        <v>38662022042211352232342</v>
      </c>
      <c r="C246" s="7" t="s">
        <v>9</v>
      </c>
      <c r="D246" s="7" t="str">
        <f>"谢慧芬"</f>
        <v>谢慧芬</v>
      </c>
      <c r="E246" s="7" t="str">
        <f t="shared" si="8"/>
        <v>女</v>
      </c>
    </row>
    <row r="247" spans="1:5" ht="30" customHeight="1">
      <c r="A247" s="7">
        <v>244</v>
      </c>
      <c r="B247" s="7" t="str">
        <f>"38662022042211354032343"</f>
        <v>38662022042211354032343</v>
      </c>
      <c r="C247" s="7" t="s">
        <v>9</v>
      </c>
      <c r="D247" s="7" t="str">
        <f>"洪真荣"</f>
        <v>洪真荣</v>
      </c>
      <c r="E247" s="7" t="str">
        <f t="shared" si="8"/>
        <v>女</v>
      </c>
    </row>
    <row r="248" spans="1:5" ht="30" customHeight="1">
      <c r="A248" s="7">
        <v>245</v>
      </c>
      <c r="B248" s="7" t="str">
        <f>"38662022042217332434109"</f>
        <v>38662022042217332434109</v>
      </c>
      <c r="C248" s="7" t="s">
        <v>9</v>
      </c>
      <c r="D248" s="7" t="str">
        <f>"胡声浩"</f>
        <v>胡声浩</v>
      </c>
      <c r="E248" s="7" t="str">
        <f>"男"</f>
        <v>男</v>
      </c>
    </row>
    <row r="249" spans="1:5" ht="30" customHeight="1">
      <c r="A249" s="7">
        <v>246</v>
      </c>
      <c r="B249" s="7" t="str">
        <f>"38662022042220131434492"</f>
        <v>38662022042220131434492</v>
      </c>
      <c r="C249" s="7" t="s">
        <v>9</v>
      </c>
      <c r="D249" s="7" t="str">
        <f>"云茹"</f>
        <v>云茹</v>
      </c>
      <c r="E249" s="7" t="str">
        <f aca="true" t="shared" si="9" ref="E249:E254">"女"</f>
        <v>女</v>
      </c>
    </row>
    <row r="250" spans="1:5" ht="30" customHeight="1">
      <c r="A250" s="7">
        <v>247</v>
      </c>
      <c r="B250" s="7" t="str">
        <f>"38662022042220591934578"</f>
        <v>38662022042220591934578</v>
      </c>
      <c r="C250" s="7" t="s">
        <v>9</v>
      </c>
      <c r="D250" s="7" t="str">
        <f>"张素"</f>
        <v>张素</v>
      </c>
      <c r="E250" s="7" t="str">
        <f t="shared" si="9"/>
        <v>女</v>
      </c>
    </row>
    <row r="251" spans="1:5" ht="30" customHeight="1">
      <c r="A251" s="7">
        <v>248</v>
      </c>
      <c r="B251" s="7" t="str">
        <f>"38662022042319361635708"</f>
        <v>38662022042319361635708</v>
      </c>
      <c r="C251" s="7" t="s">
        <v>9</v>
      </c>
      <c r="D251" s="7" t="str">
        <f>"刘家龙"</f>
        <v>刘家龙</v>
      </c>
      <c r="E251" s="7" t="str">
        <f>"男"</f>
        <v>男</v>
      </c>
    </row>
    <row r="252" spans="1:5" ht="30" customHeight="1">
      <c r="A252" s="7">
        <v>249</v>
      </c>
      <c r="B252" s="7" t="str">
        <f>"38662022042320271335774"</f>
        <v>38662022042320271335774</v>
      </c>
      <c r="C252" s="7" t="s">
        <v>9</v>
      </c>
      <c r="D252" s="7" t="str">
        <f>"冯丽丽"</f>
        <v>冯丽丽</v>
      </c>
      <c r="E252" s="7" t="str">
        <f t="shared" si="9"/>
        <v>女</v>
      </c>
    </row>
    <row r="253" spans="1:5" ht="30" customHeight="1">
      <c r="A253" s="7">
        <v>250</v>
      </c>
      <c r="B253" s="7" t="str">
        <f>"38662022042321003735833"</f>
        <v>38662022042321003735833</v>
      </c>
      <c r="C253" s="7" t="s">
        <v>9</v>
      </c>
      <c r="D253" s="7" t="str">
        <f>"黄正"</f>
        <v>黄正</v>
      </c>
      <c r="E253" s="7" t="str">
        <f t="shared" si="9"/>
        <v>女</v>
      </c>
    </row>
    <row r="254" spans="1:5" ht="30" customHeight="1">
      <c r="A254" s="7">
        <v>251</v>
      </c>
      <c r="B254" s="7" t="str">
        <f>"38662022042411405336568"</f>
        <v>38662022042411405336568</v>
      </c>
      <c r="C254" s="7" t="s">
        <v>9</v>
      </c>
      <c r="D254" s="7" t="str">
        <f>"纪新婷"</f>
        <v>纪新婷</v>
      </c>
      <c r="E254" s="7" t="str">
        <f t="shared" si="9"/>
        <v>女</v>
      </c>
    </row>
    <row r="255" spans="1:5" ht="30" customHeight="1">
      <c r="A255" s="7">
        <v>252</v>
      </c>
      <c r="B255" s="7" t="str">
        <f>"38662022042419330137362"</f>
        <v>38662022042419330137362</v>
      </c>
      <c r="C255" s="7" t="s">
        <v>9</v>
      </c>
      <c r="D255" s="7" t="str">
        <f>"蒲德广"</f>
        <v>蒲德广</v>
      </c>
      <c r="E255" s="7" t="str">
        <f>"男"</f>
        <v>男</v>
      </c>
    </row>
    <row r="256" spans="1:5" ht="30" customHeight="1">
      <c r="A256" s="7">
        <v>253</v>
      </c>
      <c r="B256" s="7" t="str">
        <f>"38662022042422590837692"</f>
        <v>38662022042422590837692</v>
      </c>
      <c r="C256" s="7" t="s">
        <v>9</v>
      </c>
      <c r="D256" s="7" t="str">
        <f>"陈淑君"</f>
        <v>陈淑君</v>
      </c>
      <c r="E256" s="7" t="str">
        <f aca="true" t="shared" si="10" ref="E256:E262">"女"</f>
        <v>女</v>
      </c>
    </row>
    <row r="257" spans="1:5" ht="30" customHeight="1">
      <c r="A257" s="7">
        <v>254</v>
      </c>
      <c r="B257" s="7" t="str">
        <f>"38662022042423272537732"</f>
        <v>38662022042423272537732</v>
      </c>
      <c r="C257" s="7" t="s">
        <v>9</v>
      </c>
      <c r="D257" s="7" t="str">
        <f>"翁连敏"</f>
        <v>翁连敏</v>
      </c>
      <c r="E257" s="7" t="str">
        <f>"男"</f>
        <v>男</v>
      </c>
    </row>
    <row r="258" spans="1:5" ht="30" customHeight="1">
      <c r="A258" s="7">
        <v>255</v>
      </c>
      <c r="B258" s="7" t="str">
        <f>"38662022042501174337777"</f>
        <v>38662022042501174337777</v>
      </c>
      <c r="C258" s="7" t="s">
        <v>9</v>
      </c>
      <c r="D258" s="7" t="str">
        <f>"文娉婷"</f>
        <v>文娉婷</v>
      </c>
      <c r="E258" s="7" t="str">
        <f t="shared" si="10"/>
        <v>女</v>
      </c>
    </row>
    <row r="259" spans="1:5" ht="30" customHeight="1">
      <c r="A259" s="7">
        <v>256</v>
      </c>
      <c r="B259" s="7" t="str">
        <f>"38662022042508353237829"</f>
        <v>38662022042508353237829</v>
      </c>
      <c r="C259" s="7" t="s">
        <v>9</v>
      </c>
      <c r="D259" s="7" t="str">
        <f>"陈荣"</f>
        <v>陈荣</v>
      </c>
      <c r="E259" s="7" t="str">
        <f t="shared" si="10"/>
        <v>女</v>
      </c>
    </row>
    <row r="260" spans="1:5" ht="30" customHeight="1">
      <c r="A260" s="7">
        <v>257</v>
      </c>
      <c r="B260" s="7" t="str">
        <f>"38662022042515463738424"</f>
        <v>38662022042515463738424</v>
      </c>
      <c r="C260" s="7" t="s">
        <v>9</v>
      </c>
      <c r="D260" s="7" t="str">
        <f>"陆晓英"</f>
        <v>陆晓英</v>
      </c>
      <c r="E260" s="7" t="str">
        <f t="shared" si="10"/>
        <v>女</v>
      </c>
    </row>
    <row r="261" spans="1:5" ht="30" customHeight="1">
      <c r="A261" s="7">
        <v>258</v>
      </c>
      <c r="B261" s="7" t="str">
        <f>"38662022042517352138586"</f>
        <v>38662022042517352138586</v>
      </c>
      <c r="C261" s="7" t="s">
        <v>9</v>
      </c>
      <c r="D261" s="7" t="str">
        <f>"王媛"</f>
        <v>王媛</v>
      </c>
      <c r="E261" s="7" t="str">
        <f t="shared" si="10"/>
        <v>女</v>
      </c>
    </row>
    <row r="262" spans="1:5" ht="30" customHeight="1">
      <c r="A262" s="7">
        <v>259</v>
      </c>
      <c r="B262" s="7" t="str">
        <f>"38662022042606392939100"</f>
        <v>38662022042606392939100</v>
      </c>
      <c r="C262" s="7" t="s">
        <v>9</v>
      </c>
      <c r="D262" s="7" t="str">
        <f>"文子双"</f>
        <v>文子双</v>
      </c>
      <c r="E262" s="7" t="str">
        <f t="shared" si="10"/>
        <v>女</v>
      </c>
    </row>
    <row r="263" spans="1:5" ht="30" customHeight="1">
      <c r="A263" s="7">
        <v>260</v>
      </c>
      <c r="B263" s="7" t="str">
        <f>"38662022042614305639592"</f>
        <v>38662022042614305639592</v>
      </c>
      <c r="C263" s="7" t="s">
        <v>9</v>
      </c>
      <c r="D263" s="7" t="str">
        <f>"黎天合"</f>
        <v>黎天合</v>
      </c>
      <c r="E263" s="7" t="str">
        <f>"男"</f>
        <v>男</v>
      </c>
    </row>
    <row r="264" spans="1:5" ht="30" customHeight="1">
      <c r="A264" s="7">
        <v>261</v>
      </c>
      <c r="B264" s="7" t="str">
        <f>"38662022042621440340267"</f>
        <v>38662022042621440340267</v>
      </c>
      <c r="C264" s="7" t="s">
        <v>9</v>
      </c>
      <c r="D264" s="7" t="str">
        <f>"符翠庆"</f>
        <v>符翠庆</v>
      </c>
      <c r="E264" s="7" t="str">
        <f aca="true" t="shared" si="11" ref="E264:E328">"女"</f>
        <v>女</v>
      </c>
    </row>
    <row r="265" spans="1:5" ht="30" customHeight="1">
      <c r="A265" s="7">
        <v>262</v>
      </c>
      <c r="B265" s="7" t="str">
        <f>"38662022042623274440446"</f>
        <v>38662022042623274440446</v>
      </c>
      <c r="C265" s="7" t="s">
        <v>9</v>
      </c>
      <c r="D265" s="7" t="str">
        <f>"何艺东"</f>
        <v>何艺东</v>
      </c>
      <c r="E265" s="7" t="str">
        <f>"男"</f>
        <v>男</v>
      </c>
    </row>
    <row r="266" spans="1:5" ht="30" customHeight="1">
      <c r="A266" s="7">
        <v>263</v>
      </c>
      <c r="B266" s="7" t="str">
        <f>"38662022042710121441576"</f>
        <v>38662022042710121441576</v>
      </c>
      <c r="C266" s="7" t="s">
        <v>9</v>
      </c>
      <c r="D266" s="7" t="str">
        <f>"陈颖颖"</f>
        <v>陈颖颖</v>
      </c>
      <c r="E266" s="7" t="str">
        <f t="shared" si="11"/>
        <v>女</v>
      </c>
    </row>
    <row r="267" spans="1:5" ht="30" customHeight="1">
      <c r="A267" s="7">
        <v>264</v>
      </c>
      <c r="B267" s="7" t="str">
        <f>"38662022042109202625126"</f>
        <v>38662022042109202625126</v>
      </c>
      <c r="C267" s="7" t="s">
        <v>10</v>
      </c>
      <c r="D267" s="7" t="str">
        <f>"王冰"</f>
        <v>王冰</v>
      </c>
      <c r="E267" s="7" t="str">
        <f t="shared" si="11"/>
        <v>女</v>
      </c>
    </row>
    <row r="268" spans="1:5" ht="30" customHeight="1">
      <c r="A268" s="7">
        <v>265</v>
      </c>
      <c r="B268" s="7" t="str">
        <f>"38662022042109205725129"</f>
        <v>38662022042109205725129</v>
      </c>
      <c r="C268" s="7" t="s">
        <v>10</v>
      </c>
      <c r="D268" s="7" t="str">
        <f>"叶碧菁"</f>
        <v>叶碧菁</v>
      </c>
      <c r="E268" s="7" t="str">
        <f t="shared" si="11"/>
        <v>女</v>
      </c>
    </row>
    <row r="269" spans="1:5" ht="30" customHeight="1">
      <c r="A269" s="7">
        <v>266</v>
      </c>
      <c r="B269" s="7" t="str">
        <f>"38662022042109254225189"</f>
        <v>38662022042109254225189</v>
      </c>
      <c r="C269" s="7" t="s">
        <v>10</v>
      </c>
      <c r="D269" s="7" t="str">
        <f>"周吉慧"</f>
        <v>周吉慧</v>
      </c>
      <c r="E269" s="7" t="str">
        <f t="shared" si="11"/>
        <v>女</v>
      </c>
    </row>
    <row r="270" spans="1:5" ht="30" customHeight="1">
      <c r="A270" s="7">
        <v>267</v>
      </c>
      <c r="B270" s="7" t="str">
        <f>"38662022042109580325597"</f>
        <v>38662022042109580325597</v>
      </c>
      <c r="C270" s="7" t="s">
        <v>10</v>
      </c>
      <c r="D270" s="7" t="str">
        <f>"邢诗心"</f>
        <v>邢诗心</v>
      </c>
      <c r="E270" s="7" t="str">
        <f t="shared" si="11"/>
        <v>女</v>
      </c>
    </row>
    <row r="271" spans="1:5" ht="30" customHeight="1">
      <c r="A271" s="7">
        <v>268</v>
      </c>
      <c r="B271" s="7" t="str">
        <f>"38662022042110492726253"</f>
        <v>38662022042110492726253</v>
      </c>
      <c r="C271" s="7" t="s">
        <v>10</v>
      </c>
      <c r="D271" s="7" t="str">
        <f>"方飞曼"</f>
        <v>方飞曼</v>
      </c>
      <c r="E271" s="7" t="str">
        <f t="shared" si="11"/>
        <v>女</v>
      </c>
    </row>
    <row r="272" spans="1:5" ht="30" customHeight="1">
      <c r="A272" s="7">
        <v>269</v>
      </c>
      <c r="B272" s="7" t="str">
        <f>"38662022042111003226375"</f>
        <v>38662022042111003226375</v>
      </c>
      <c r="C272" s="7" t="s">
        <v>10</v>
      </c>
      <c r="D272" s="7" t="str">
        <f>"孙卓"</f>
        <v>孙卓</v>
      </c>
      <c r="E272" s="7" t="str">
        <f t="shared" si="11"/>
        <v>女</v>
      </c>
    </row>
    <row r="273" spans="1:5" ht="30" customHeight="1">
      <c r="A273" s="7">
        <v>270</v>
      </c>
      <c r="B273" s="7" t="str">
        <f>"38662022042111063226432"</f>
        <v>38662022042111063226432</v>
      </c>
      <c r="C273" s="7" t="s">
        <v>10</v>
      </c>
      <c r="D273" s="7" t="str">
        <f>"曾佑见"</f>
        <v>曾佑见</v>
      </c>
      <c r="E273" s="7" t="str">
        <f t="shared" si="11"/>
        <v>女</v>
      </c>
    </row>
    <row r="274" spans="1:5" ht="30" customHeight="1">
      <c r="A274" s="7">
        <v>271</v>
      </c>
      <c r="B274" s="7" t="str">
        <f>"38662022042111172826536"</f>
        <v>38662022042111172826536</v>
      </c>
      <c r="C274" s="7" t="s">
        <v>10</v>
      </c>
      <c r="D274" s="7" t="str">
        <f>"游蕊华"</f>
        <v>游蕊华</v>
      </c>
      <c r="E274" s="7" t="str">
        <f t="shared" si="11"/>
        <v>女</v>
      </c>
    </row>
    <row r="275" spans="1:5" ht="30" customHeight="1">
      <c r="A275" s="7">
        <v>272</v>
      </c>
      <c r="B275" s="7" t="str">
        <f>"38662022042111344226679"</f>
        <v>38662022042111344226679</v>
      </c>
      <c r="C275" s="7" t="s">
        <v>10</v>
      </c>
      <c r="D275" s="7" t="str">
        <f>"林燕梅"</f>
        <v>林燕梅</v>
      </c>
      <c r="E275" s="7" t="str">
        <f t="shared" si="11"/>
        <v>女</v>
      </c>
    </row>
    <row r="276" spans="1:5" ht="30" customHeight="1">
      <c r="A276" s="7">
        <v>273</v>
      </c>
      <c r="B276" s="7" t="str">
        <f>"38662022042111383826733"</f>
        <v>38662022042111383826733</v>
      </c>
      <c r="C276" s="7" t="s">
        <v>10</v>
      </c>
      <c r="D276" s="7" t="str">
        <f>"冯露"</f>
        <v>冯露</v>
      </c>
      <c r="E276" s="7" t="str">
        <f t="shared" si="11"/>
        <v>女</v>
      </c>
    </row>
    <row r="277" spans="1:5" ht="30" customHeight="1">
      <c r="A277" s="7">
        <v>274</v>
      </c>
      <c r="B277" s="7" t="str">
        <f>"38662022042111422526768"</f>
        <v>38662022042111422526768</v>
      </c>
      <c r="C277" s="7" t="s">
        <v>10</v>
      </c>
      <c r="D277" s="7" t="str">
        <f>"范星妤"</f>
        <v>范星妤</v>
      </c>
      <c r="E277" s="7" t="str">
        <f t="shared" si="11"/>
        <v>女</v>
      </c>
    </row>
    <row r="278" spans="1:5" ht="30" customHeight="1">
      <c r="A278" s="7">
        <v>275</v>
      </c>
      <c r="B278" s="7" t="str">
        <f>"38662022042112534227240"</f>
        <v>38662022042112534227240</v>
      </c>
      <c r="C278" s="7" t="s">
        <v>10</v>
      </c>
      <c r="D278" s="7" t="str">
        <f>"高隽熙"</f>
        <v>高隽熙</v>
      </c>
      <c r="E278" s="7" t="str">
        <f t="shared" si="11"/>
        <v>女</v>
      </c>
    </row>
    <row r="279" spans="1:5" ht="30" customHeight="1">
      <c r="A279" s="7">
        <v>276</v>
      </c>
      <c r="B279" s="7" t="str">
        <f>"38662022042113324527438"</f>
        <v>38662022042113324527438</v>
      </c>
      <c r="C279" s="7" t="s">
        <v>10</v>
      </c>
      <c r="D279" s="7" t="str">
        <f>"孙玲"</f>
        <v>孙玲</v>
      </c>
      <c r="E279" s="7" t="str">
        <f t="shared" si="11"/>
        <v>女</v>
      </c>
    </row>
    <row r="280" spans="1:5" ht="30" customHeight="1">
      <c r="A280" s="7">
        <v>277</v>
      </c>
      <c r="B280" s="7" t="str">
        <f>"38662022042114262927692"</f>
        <v>38662022042114262927692</v>
      </c>
      <c r="C280" s="7" t="s">
        <v>10</v>
      </c>
      <c r="D280" s="7" t="str">
        <f>"纪佩伶"</f>
        <v>纪佩伶</v>
      </c>
      <c r="E280" s="7" t="str">
        <f t="shared" si="11"/>
        <v>女</v>
      </c>
    </row>
    <row r="281" spans="1:5" ht="30" customHeight="1">
      <c r="A281" s="7">
        <v>278</v>
      </c>
      <c r="B281" s="7" t="str">
        <f>"38662022042114495627876"</f>
        <v>38662022042114495627876</v>
      </c>
      <c r="C281" s="7" t="s">
        <v>10</v>
      </c>
      <c r="D281" s="7" t="str">
        <f>"王小惠"</f>
        <v>王小惠</v>
      </c>
      <c r="E281" s="7" t="str">
        <f t="shared" si="11"/>
        <v>女</v>
      </c>
    </row>
    <row r="282" spans="1:5" ht="30" customHeight="1">
      <c r="A282" s="7">
        <v>279</v>
      </c>
      <c r="B282" s="7" t="str">
        <f>"38662022042115011427966"</f>
        <v>38662022042115011427966</v>
      </c>
      <c r="C282" s="7" t="s">
        <v>10</v>
      </c>
      <c r="D282" s="7" t="str">
        <f>"郑井亮"</f>
        <v>郑井亮</v>
      </c>
      <c r="E282" s="7" t="str">
        <f t="shared" si="11"/>
        <v>女</v>
      </c>
    </row>
    <row r="283" spans="1:5" ht="30" customHeight="1">
      <c r="A283" s="7">
        <v>280</v>
      </c>
      <c r="B283" s="7" t="str">
        <f>"38662022042115031927989"</f>
        <v>38662022042115031927989</v>
      </c>
      <c r="C283" s="7" t="s">
        <v>10</v>
      </c>
      <c r="D283" s="7" t="str">
        <f>"邹佳每"</f>
        <v>邹佳每</v>
      </c>
      <c r="E283" s="7" t="str">
        <f t="shared" si="11"/>
        <v>女</v>
      </c>
    </row>
    <row r="284" spans="1:5" ht="30" customHeight="1">
      <c r="A284" s="7">
        <v>281</v>
      </c>
      <c r="B284" s="7" t="str">
        <f>"38662022042115051028006"</f>
        <v>38662022042115051028006</v>
      </c>
      <c r="C284" s="7" t="s">
        <v>10</v>
      </c>
      <c r="D284" s="7" t="str">
        <f>"阮丽芸"</f>
        <v>阮丽芸</v>
      </c>
      <c r="E284" s="7" t="str">
        <f t="shared" si="11"/>
        <v>女</v>
      </c>
    </row>
    <row r="285" spans="1:5" ht="30" customHeight="1">
      <c r="A285" s="7">
        <v>282</v>
      </c>
      <c r="B285" s="7" t="str">
        <f>"38662022042115271428210"</f>
        <v>38662022042115271428210</v>
      </c>
      <c r="C285" s="7" t="s">
        <v>10</v>
      </c>
      <c r="D285" s="7" t="str">
        <f>"王隆红"</f>
        <v>王隆红</v>
      </c>
      <c r="E285" s="7" t="str">
        <f t="shared" si="11"/>
        <v>女</v>
      </c>
    </row>
    <row r="286" spans="1:5" ht="30" customHeight="1">
      <c r="A286" s="7">
        <v>283</v>
      </c>
      <c r="B286" s="7" t="str">
        <f>"38662022042119160829520"</f>
        <v>38662022042119160829520</v>
      </c>
      <c r="C286" s="7" t="s">
        <v>10</v>
      </c>
      <c r="D286" s="7" t="str">
        <f>"王彦媛"</f>
        <v>王彦媛</v>
      </c>
      <c r="E286" s="7" t="str">
        <f t="shared" si="11"/>
        <v>女</v>
      </c>
    </row>
    <row r="287" spans="1:5" ht="30" customHeight="1">
      <c r="A287" s="7">
        <v>284</v>
      </c>
      <c r="B287" s="7" t="str">
        <f>"38662022042119272329571"</f>
        <v>38662022042119272329571</v>
      </c>
      <c r="C287" s="7" t="s">
        <v>10</v>
      </c>
      <c r="D287" s="7" t="str">
        <f>"马思瑞"</f>
        <v>马思瑞</v>
      </c>
      <c r="E287" s="7" t="str">
        <f t="shared" si="11"/>
        <v>女</v>
      </c>
    </row>
    <row r="288" spans="1:5" ht="30" customHeight="1">
      <c r="A288" s="7">
        <v>285</v>
      </c>
      <c r="B288" s="7" t="str">
        <f>"38662022042121072830078"</f>
        <v>38662022042121072830078</v>
      </c>
      <c r="C288" s="7" t="s">
        <v>10</v>
      </c>
      <c r="D288" s="7" t="str">
        <f>"曾萍"</f>
        <v>曾萍</v>
      </c>
      <c r="E288" s="7" t="str">
        <f t="shared" si="11"/>
        <v>女</v>
      </c>
    </row>
    <row r="289" spans="1:5" ht="30" customHeight="1">
      <c r="A289" s="7">
        <v>286</v>
      </c>
      <c r="B289" s="7" t="str">
        <f>"38662022042121280330192"</f>
        <v>38662022042121280330192</v>
      </c>
      <c r="C289" s="7" t="s">
        <v>10</v>
      </c>
      <c r="D289" s="7" t="str">
        <f>"刘秀萍"</f>
        <v>刘秀萍</v>
      </c>
      <c r="E289" s="7" t="str">
        <f t="shared" si="11"/>
        <v>女</v>
      </c>
    </row>
    <row r="290" spans="1:5" ht="30" customHeight="1">
      <c r="A290" s="7">
        <v>287</v>
      </c>
      <c r="B290" s="7" t="str">
        <f>"38662022042121355430235"</f>
        <v>38662022042121355430235</v>
      </c>
      <c r="C290" s="7" t="s">
        <v>10</v>
      </c>
      <c r="D290" s="7" t="str">
        <f>"舒敏"</f>
        <v>舒敏</v>
      </c>
      <c r="E290" s="7" t="str">
        <f t="shared" si="11"/>
        <v>女</v>
      </c>
    </row>
    <row r="291" spans="1:5" ht="30" customHeight="1">
      <c r="A291" s="7">
        <v>288</v>
      </c>
      <c r="B291" s="7" t="str">
        <f>"38662022042121470030283"</f>
        <v>38662022042121470030283</v>
      </c>
      <c r="C291" s="7" t="s">
        <v>10</v>
      </c>
      <c r="D291" s="7" t="str">
        <f>"赵芳"</f>
        <v>赵芳</v>
      </c>
      <c r="E291" s="7" t="str">
        <f t="shared" si="11"/>
        <v>女</v>
      </c>
    </row>
    <row r="292" spans="1:5" ht="30" customHeight="1">
      <c r="A292" s="7">
        <v>289</v>
      </c>
      <c r="B292" s="7" t="str">
        <f>"38662022042121575630339"</f>
        <v>38662022042121575630339</v>
      </c>
      <c r="C292" s="7" t="s">
        <v>10</v>
      </c>
      <c r="D292" s="7" t="str">
        <f>"韦嘉"</f>
        <v>韦嘉</v>
      </c>
      <c r="E292" s="7" t="str">
        <f t="shared" si="11"/>
        <v>女</v>
      </c>
    </row>
    <row r="293" spans="1:5" ht="30" customHeight="1">
      <c r="A293" s="7">
        <v>290</v>
      </c>
      <c r="B293" s="7" t="str">
        <f>"38662022042122012030358"</f>
        <v>38662022042122012030358</v>
      </c>
      <c r="C293" s="7" t="s">
        <v>10</v>
      </c>
      <c r="D293" s="7" t="str">
        <f>"郑妮"</f>
        <v>郑妮</v>
      </c>
      <c r="E293" s="7" t="str">
        <f t="shared" si="11"/>
        <v>女</v>
      </c>
    </row>
    <row r="294" spans="1:5" ht="30" customHeight="1">
      <c r="A294" s="7">
        <v>291</v>
      </c>
      <c r="B294" s="7" t="str">
        <f>"38662022042122112130422"</f>
        <v>38662022042122112130422</v>
      </c>
      <c r="C294" s="7" t="s">
        <v>10</v>
      </c>
      <c r="D294" s="7" t="str">
        <f>"陈夏薇"</f>
        <v>陈夏薇</v>
      </c>
      <c r="E294" s="7" t="str">
        <f t="shared" si="11"/>
        <v>女</v>
      </c>
    </row>
    <row r="295" spans="1:5" ht="30" customHeight="1">
      <c r="A295" s="7">
        <v>292</v>
      </c>
      <c r="B295" s="7" t="str">
        <f>"38662022042123385730762"</f>
        <v>38662022042123385730762</v>
      </c>
      <c r="C295" s="7" t="s">
        <v>10</v>
      </c>
      <c r="D295" s="7" t="str">
        <f>"吴昕恬"</f>
        <v>吴昕恬</v>
      </c>
      <c r="E295" s="7" t="str">
        <f t="shared" si="11"/>
        <v>女</v>
      </c>
    </row>
    <row r="296" spans="1:5" ht="30" customHeight="1">
      <c r="A296" s="7">
        <v>293</v>
      </c>
      <c r="B296" s="7" t="str">
        <f>"38662022042208324831015"</f>
        <v>38662022042208324831015</v>
      </c>
      <c r="C296" s="7" t="s">
        <v>10</v>
      </c>
      <c r="D296" s="7" t="str">
        <f>"郭小榴"</f>
        <v>郭小榴</v>
      </c>
      <c r="E296" s="7" t="str">
        <f t="shared" si="11"/>
        <v>女</v>
      </c>
    </row>
    <row r="297" spans="1:5" ht="30" customHeight="1">
      <c r="A297" s="7">
        <v>294</v>
      </c>
      <c r="B297" s="7" t="str">
        <f>"38662022042210262131611"</f>
        <v>38662022042210262131611</v>
      </c>
      <c r="C297" s="7" t="s">
        <v>10</v>
      </c>
      <c r="D297" s="7" t="str">
        <f>"陈尼"</f>
        <v>陈尼</v>
      </c>
      <c r="E297" s="7" t="str">
        <f t="shared" si="11"/>
        <v>女</v>
      </c>
    </row>
    <row r="298" spans="1:5" ht="30" customHeight="1">
      <c r="A298" s="7">
        <v>295</v>
      </c>
      <c r="B298" s="7" t="str">
        <f>"38662022042212322832578"</f>
        <v>38662022042212322832578</v>
      </c>
      <c r="C298" s="7" t="s">
        <v>10</v>
      </c>
      <c r="D298" s="7" t="str">
        <f>"许媛媛"</f>
        <v>许媛媛</v>
      </c>
      <c r="E298" s="7" t="str">
        <f t="shared" si="11"/>
        <v>女</v>
      </c>
    </row>
    <row r="299" spans="1:5" ht="30" customHeight="1">
      <c r="A299" s="7">
        <v>296</v>
      </c>
      <c r="B299" s="7" t="str">
        <f>"38662022042213305132811"</f>
        <v>38662022042213305132811</v>
      </c>
      <c r="C299" s="7" t="s">
        <v>10</v>
      </c>
      <c r="D299" s="7" t="str">
        <f>"许雯怡"</f>
        <v>许雯怡</v>
      </c>
      <c r="E299" s="7" t="str">
        <f t="shared" si="11"/>
        <v>女</v>
      </c>
    </row>
    <row r="300" spans="1:5" ht="30" customHeight="1">
      <c r="A300" s="7">
        <v>297</v>
      </c>
      <c r="B300" s="7" t="str">
        <f>"38662022042214591033165"</f>
        <v>38662022042214591033165</v>
      </c>
      <c r="C300" s="7" t="s">
        <v>10</v>
      </c>
      <c r="D300" s="7" t="str">
        <f>"王海兰"</f>
        <v>王海兰</v>
      </c>
      <c r="E300" s="7" t="str">
        <f t="shared" si="11"/>
        <v>女</v>
      </c>
    </row>
    <row r="301" spans="1:5" ht="30" customHeight="1">
      <c r="A301" s="7">
        <v>298</v>
      </c>
      <c r="B301" s="7" t="str">
        <f>"38662022042215502033477"</f>
        <v>38662022042215502033477</v>
      </c>
      <c r="C301" s="7" t="s">
        <v>10</v>
      </c>
      <c r="D301" s="7" t="str">
        <f>"冯大娇"</f>
        <v>冯大娇</v>
      </c>
      <c r="E301" s="7" t="str">
        <f t="shared" si="11"/>
        <v>女</v>
      </c>
    </row>
    <row r="302" spans="1:5" ht="30" customHeight="1">
      <c r="A302" s="7">
        <v>299</v>
      </c>
      <c r="B302" s="7" t="str">
        <f>"38662022042217201434038"</f>
        <v>38662022042217201434038</v>
      </c>
      <c r="C302" s="7" t="s">
        <v>10</v>
      </c>
      <c r="D302" s="7" t="str">
        <f>"黄舒婷"</f>
        <v>黄舒婷</v>
      </c>
      <c r="E302" s="7" t="str">
        <f t="shared" si="11"/>
        <v>女</v>
      </c>
    </row>
    <row r="303" spans="1:5" ht="30" customHeight="1">
      <c r="A303" s="7">
        <v>300</v>
      </c>
      <c r="B303" s="7" t="str">
        <f>"38662022042218140634251"</f>
        <v>38662022042218140634251</v>
      </c>
      <c r="C303" s="7" t="s">
        <v>10</v>
      </c>
      <c r="D303" s="7" t="str">
        <f>"符兰妍"</f>
        <v>符兰妍</v>
      </c>
      <c r="E303" s="7" t="str">
        <f t="shared" si="11"/>
        <v>女</v>
      </c>
    </row>
    <row r="304" spans="1:5" ht="30" customHeight="1">
      <c r="A304" s="7">
        <v>301</v>
      </c>
      <c r="B304" s="7" t="str">
        <f>"38662022042222254034741"</f>
        <v>38662022042222254034741</v>
      </c>
      <c r="C304" s="7" t="s">
        <v>10</v>
      </c>
      <c r="D304" s="7" t="str">
        <f>"符升炜"</f>
        <v>符升炜</v>
      </c>
      <c r="E304" s="7" t="str">
        <f t="shared" si="11"/>
        <v>女</v>
      </c>
    </row>
    <row r="305" spans="1:5" ht="30" customHeight="1">
      <c r="A305" s="7">
        <v>302</v>
      </c>
      <c r="B305" s="7" t="str">
        <f>"38662022042311131235097"</f>
        <v>38662022042311131235097</v>
      </c>
      <c r="C305" s="7" t="s">
        <v>10</v>
      </c>
      <c r="D305" s="7" t="str">
        <f>"林圆好"</f>
        <v>林圆好</v>
      </c>
      <c r="E305" s="7" t="str">
        <f t="shared" si="11"/>
        <v>女</v>
      </c>
    </row>
    <row r="306" spans="1:5" ht="30" customHeight="1">
      <c r="A306" s="7">
        <v>303</v>
      </c>
      <c r="B306" s="7" t="str">
        <f>"38662022042311570335165"</f>
        <v>38662022042311570335165</v>
      </c>
      <c r="C306" s="7" t="s">
        <v>10</v>
      </c>
      <c r="D306" s="7" t="str">
        <f>"罗慧芳"</f>
        <v>罗慧芳</v>
      </c>
      <c r="E306" s="7" t="str">
        <f t="shared" si="11"/>
        <v>女</v>
      </c>
    </row>
    <row r="307" spans="1:5" ht="30" customHeight="1">
      <c r="A307" s="7">
        <v>304</v>
      </c>
      <c r="B307" s="7" t="str">
        <f>"38662022042313540535298"</f>
        <v>38662022042313540535298</v>
      </c>
      <c r="C307" s="7" t="s">
        <v>10</v>
      </c>
      <c r="D307" s="7" t="str">
        <f>"何恋"</f>
        <v>何恋</v>
      </c>
      <c r="E307" s="7" t="str">
        <f t="shared" si="11"/>
        <v>女</v>
      </c>
    </row>
    <row r="308" spans="1:5" ht="30" customHeight="1">
      <c r="A308" s="7">
        <v>305</v>
      </c>
      <c r="B308" s="7" t="str">
        <f>"38662022042315262435414"</f>
        <v>38662022042315262435414</v>
      </c>
      <c r="C308" s="7" t="s">
        <v>10</v>
      </c>
      <c r="D308" s="7" t="str">
        <f>"苏二妹"</f>
        <v>苏二妹</v>
      </c>
      <c r="E308" s="7" t="str">
        <f t="shared" si="11"/>
        <v>女</v>
      </c>
    </row>
    <row r="309" spans="1:5" ht="30" customHeight="1">
      <c r="A309" s="7">
        <v>306</v>
      </c>
      <c r="B309" s="7" t="str">
        <f>"38662022042315500435463"</f>
        <v>38662022042315500435463</v>
      </c>
      <c r="C309" s="7" t="s">
        <v>10</v>
      </c>
      <c r="D309" s="7" t="str">
        <f>"李梦茹"</f>
        <v>李梦茹</v>
      </c>
      <c r="E309" s="7" t="str">
        <f t="shared" si="11"/>
        <v>女</v>
      </c>
    </row>
    <row r="310" spans="1:5" ht="30" customHeight="1">
      <c r="A310" s="7">
        <v>307</v>
      </c>
      <c r="B310" s="7" t="str">
        <f>"38662022042316383235526"</f>
        <v>38662022042316383235526</v>
      </c>
      <c r="C310" s="7" t="s">
        <v>10</v>
      </c>
      <c r="D310" s="7" t="str">
        <f>"吴昊天"</f>
        <v>吴昊天</v>
      </c>
      <c r="E310" s="7" t="str">
        <f t="shared" si="11"/>
        <v>女</v>
      </c>
    </row>
    <row r="311" spans="1:5" ht="30" customHeight="1">
      <c r="A311" s="7">
        <v>308</v>
      </c>
      <c r="B311" s="7" t="str">
        <f>"38662022042316522235552"</f>
        <v>38662022042316522235552</v>
      </c>
      <c r="C311" s="7" t="s">
        <v>10</v>
      </c>
      <c r="D311" s="7" t="str">
        <f>"符美英"</f>
        <v>符美英</v>
      </c>
      <c r="E311" s="7" t="str">
        <f t="shared" si="11"/>
        <v>女</v>
      </c>
    </row>
    <row r="312" spans="1:5" ht="30" customHeight="1">
      <c r="A312" s="7">
        <v>309</v>
      </c>
      <c r="B312" s="7" t="str">
        <f>"38662022042319551135733"</f>
        <v>38662022042319551135733</v>
      </c>
      <c r="C312" s="7" t="s">
        <v>10</v>
      </c>
      <c r="D312" s="7" t="str">
        <f>"莫国霞"</f>
        <v>莫国霞</v>
      </c>
      <c r="E312" s="7" t="str">
        <f t="shared" si="11"/>
        <v>女</v>
      </c>
    </row>
    <row r="313" spans="1:5" ht="30" customHeight="1">
      <c r="A313" s="7">
        <v>310</v>
      </c>
      <c r="B313" s="7" t="str">
        <f>"38662022042322394636006"</f>
        <v>38662022042322394636006</v>
      </c>
      <c r="C313" s="7" t="s">
        <v>10</v>
      </c>
      <c r="D313" s="7" t="str">
        <f>"钟教敏"</f>
        <v>钟教敏</v>
      </c>
      <c r="E313" s="7" t="str">
        <f t="shared" si="11"/>
        <v>女</v>
      </c>
    </row>
    <row r="314" spans="1:5" ht="30" customHeight="1">
      <c r="A314" s="7">
        <v>311</v>
      </c>
      <c r="B314" s="7" t="str">
        <f>"38662022042323421736091"</f>
        <v>38662022042323421736091</v>
      </c>
      <c r="C314" s="7" t="s">
        <v>10</v>
      </c>
      <c r="D314" s="7" t="str">
        <f>"曾垂花"</f>
        <v>曾垂花</v>
      </c>
      <c r="E314" s="7" t="str">
        <f t="shared" si="11"/>
        <v>女</v>
      </c>
    </row>
    <row r="315" spans="1:5" ht="30" customHeight="1">
      <c r="A315" s="7">
        <v>312</v>
      </c>
      <c r="B315" s="7" t="str">
        <f>"38662022042400275336119"</f>
        <v>38662022042400275336119</v>
      </c>
      <c r="C315" s="7" t="s">
        <v>10</v>
      </c>
      <c r="D315" s="7" t="str">
        <f>"郭学坤"</f>
        <v>郭学坤</v>
      </c>
      <c r="E315" s="7" t="str">
        <f t="shared" si="11"/>
        <v>女</v>
      </c>
    </row>
    <row r="316" spans="1:5" ht="30" customHeight="1">
      <c r="A316" s="7">
        <v>313</v>
      </c>
      <c r="B316" s="7" t="str">
        <f>"38662022042409455836338"</f>
        <v>38662022042409455836338</v>
      </c>
      <c r="C316" s="7" t="s">
        <v>10</v>
      </c>
      <c r="D316" s="7" t="str">
        <f>"苏娜"</f>
        <v>苏娜</v>
      </c>
      <c r="E316" s="7" t="str">
        <f t="shared" si="11"/>
        <v>女</v>
      </c>
    </row>
    <row r="317" spans="1:5" ht="30" customHeight="1">
      <c r="A317" s="7">
        <v>314</v>
      </c>
      <c r="B317" s="7" t="str">
        <f>"38662022042409541036352"</f>
        <v>38662022042409541036352</v>
      </c>
      <c r="C317" s="7" t="s">
        <v>10</v>
      </c>
      <c r="D317" s="7" t="str">
        <f>"钟海婷"</f>
        <v>钟海婷</v>
      </c>
      <c r="E317" s="7" t="str">
        <f t="shared" si="11"/>
        <v>女</v>
      </c>
    </row>
    <row r="318" spans="1:5" ht="30" customHeight="1">
      <c r="A318" s="7">
        <v>315</v>
      </c>
      <c r="B318" s="7" t="str">
        <f>"38662022042410312036428"</f>
        <v>38662022042410312036428</v>
      </c>
      <c r="C318" s="7" t="s">
        <v>10</v>
      </c>
      <c r="D318" s="7" t="str">
        <f>"刘冬莹"</f>
        <v>刘冬莹</v>
      </c>
      <c r="E318" s="7" t="str">
        <f t="shared" si="11"/>
        <v>女</v>
      </c>
    </row>
    <row r="319" spans="1:5" ht="30" customHeight="1">
      <c r="A319" s="7">
        <v>316</v>
      </c>
      <c r="B319" s="7" t="str">
        <f>"38662022042415002236856"</f>
        <v>38662022042415002236856</v>
      </c>
      <c r="C319" s="7" t="s">
        <v>10</v>
      </c>
      <c r="D319" s="7" t="str">
        <f>"刘佳"</f>
        <v>刘佳</v>
      </c>
      <c r="E319" s="7" t="str">
        <f t="shared" si="11"/>
        <v>女</v>
      </c>
    </row>
    <row r="320" spans="1:5" ht="30" customHeight="1">
      <c r="A320" s="7">
        <v>317</v>
      </c>
      <c r="B320" s="7" t="str">
        <f>"38662022042417501137210"</f>
        <v>38662022042417501137210</v>
      </c>
      <c r="C320" s="7" t="s">
        <v>10</v>
      </c>
      <c r="D320" s="7" t="str">
        <f>"周思萌"</f>
        <v>周思萌</v>
      </c>
      <c r="E320" s="7" t="str">
        <f t="shared" si="11"/>
        <v>女</v>
      </c>
    </row>
    <row r="321" spans="1:5" ht="30" customHeight="1">
      <c r="A321" s="7">
        <v>318</v>
      </c>
      <c r="B321" s="7" t="str">
        <f>"38662022042422342937647"</f>
        <v>38662022042422342937647</v>
      </c>
      <c r="C321" s="7" t="s">
        <v>10</v>
      </c>
      <c r="D321" s="7" t="str">
        <f>"姚银"</f>
        <v>姚银</v>
      </c>
      <c r="E321" s="7" t="str">
        <f t="shared" si="11"/>
        <v>女</v>
      </c>
    </row>
    <row r="322" spans="1:5" ht="30" customHeight="1">
      <c r="A322" s="7">
        <v>319</v>
      </c>
      <c r="B322" s="7" t="str">
        <f>"38662022042422594937696"</f>
        <v>38662022042422594937696</v>
      </c>
      <c r="C322" s="7" t="s">
        <v>10</v>
      </c>
      <c r="D322" s="7" t="str">
        <f>"俞淑珍"</f>
        <v>俞淑珍</v>
      </c>
      <c r="E322" s="7" t="str">
        <f t="shared" si="11"/>
        <v>女</v>
      </c>
    </row>
    <row r="323" spans="1:5" ht="30" customHeight="1">
      <c r="A323" s="7">
        <v>320</v>
      </c>
      <c r="B323" s="7" t="str">
        <f>"38662022042423054037701"</f>
        <v>38662022042423054037701</v>
      </c>
      <c r="C323" s="7" t="s">
        <v>10</v>
      </c>
      <c r="D323" s="7" t="str">
        <f>"陈冰"</f>
        <v>陈冰</v>
      </c>
      <c r="E323" s="7" t="str">
        <f t="shared" si="11"/>
        <v>女</v>
      </c>
    </row>
    <row r="324" spans="1:5" ht="30" customHeight="1">
      <c r="A324" s="7">
        <v>321</v>
      </c>
      <c r="B324" s="7" t="str">
        <f>"38662022042423140637711"</f>
        <v>38662022042423140637711</v>
      </c>
      <c r="C324" s="7" t="s">
        <v>10</v>
      </c>
      <c r="D324" s="7" t="str">
        <f>"何小芳"</f>
        <v>何小芳</v>
      </c>
      <c r="E324" s="7" t="str">
        <f t="shared" si="11"/>
        <v>女</v>
      </c>
    </row>
    <row r="325" spans="1:5" ht="30" customHeight="1">
      <c r="A325" s="7">
        <v>322</v>
      </c>
      <c r="B325" s="7" t="str">
        <f>"38662022042510492038046"</f>
        <v>38662022042510492038046</v>
      </c>
      <c r="C325" s="7" t="s">
        <v>10</v>
      </c>
      <c r="D325" s="7" t="str">
        <f>"林羚"</f>
        <v>林羚</v>
      </c>
      <c r="E325" s="7" t="str">
        <f t="shared" si="11"/>
        <v>女</v>
      </c>
    </row>
    <row r="326" spans="1:5" ht="30" customHeight="1">
      <c r="A326" s="7">
        <v>323</v>
      </c>
      <c r="B326" s="7" t="str">
        <f>"38662022042512352538183"</f>
        <v>38662022042512352538183</v>
      </c>
      <c r="C326" s="7" t="s">
        <v>10</v>
      </c>
      <c r="D326" s="7" t="str">
        <f>"黄冠玉"</f>
        <v>黄冠玉</v>
      </c>
      <c r="E326" s="7" t="str">
        <f t="shared" si="11"/>
        <v>女</v>
      </c>
    </row>
    <row r="327" spans="1:5" ht="30" customHeight="1">
      <c r="A327" s="7">
        <v>324</v>
      </c>
      <c r="B327" s="7" t="str">
        <f>"38662022042516325438488"</f>
        <v>38662022042516325438488</v>
      </c>
      <c r="C327" s="7" t="s">
        <v>10</v>
      </c>
      <c r="D327" s="7" t="str">
        <f>"罗天蝉"</f>
        <v>罗天蝉</v>
      </c>
      <c r="E327" s="7" t="str">
        <f t="shared" si="11"/>
        <v>女</v>
      </c>
    </row>
    <row r="328" spans="1:5" ht="30" customHeight="1">
      <c r="A328" s="7">
        <v>325</v>
      </c>
      <c r="B328" s="7" t="str">
        <f>"38662022042520535538817"</f>
        <v>38662022042520535538817</v>
      </c>
      <c r="C328" s="7" t="s">
        <v>10</v>
      </c>
      <c r="D328" s="7" t="str">
        <f>"李丽那"</f>
        <v>李丽那</v>
      </c>
      <c r="E328" s="7" t="str">
        <f t="shared" si="11"/>
        <v>女</v>
      </c>
    </row>
    <row r="329" spans="1:5" ht="30" customHeight="1">
      <c r="A329" s="7">
        <v>326</v>
      </c>
      <c r="B329" s="7" t="str">
        <f>"38662022042521173738843"</f>
        <v>38662022042521173738843</v>
      </c>
      <c r="C329" s="7" t="s">
        <v>10</v>
      </c>
      <c r="D329" s="7" t="str">
        <f>"裴丽玥"</f>
        <v>裴丽玥</v>
      </c>
      <c r="E329" s="7" t="str">
        <f aca="true" t="shared" si="12" ref="E329:E353">"女"</f>
        <v>女</v>
      </c>
    </row>
    <row r="330" spans="1:5" ht="30" customHeight="1">
      <c r="A330" s="7">
        <v>327</v>
      </c>
      <c r="B330" s="7" t="str">
        <f>"38662022042521352938870"</f>
        <v>38662022042521352938870</v>
      </c>
      <c r="C330" s="7" t="s">
        <v>10</v>
      </c>
      <c r="D330" s="7" t="str">
        <f>"赖彦羽"</f>
        <v>赖彦羽</v>
      </c>
      <c r="E330" s="7" t="str">
        <f t="shared" si="12"/>
        <v>女</v>
      </c>
    </row>
    <row r="331" spans="1:5" ht="30" customHeight="1">
      <c r="A331" s="7">
        <v>328</v>
      </c>
      <c r="B331" s="7" t="str">
        <f>"38662022042523274439023"</f>
        <v>38662022042523274439023</v>
      </c>
      <c r="C331" s="7" t="s">
        <v>10</v>
      </c>
      <c r="D331" s="7" t="str">
        <f>"胡翼婷"</f>
        <v>胡翼婷</v>
      </c>
      <c r="E331" s="7" t="str">
        <f t="shared" si="12"/>
        <v>女</v>
      </c>
    </row>
    <row r="332" spans="1:5" ht="30" customHeight="1">
      <c r="A332" s="7">
        <v>329</v>
      </c>
      <c r="B332" s="7" t="str">
        <f>"38662022042523402639034"</f>
        <v>38662022042523402639034</v>
      </c>
      <c r="C332" s="7" t="s">
        <v>10</v>
      </c>
      <c r="D332" s="7" t="str">
        <f>"吴丽转"</f>
        <v>吴丽转</v>
      </c>
      <c r="E332" s="7" t="str">
        <f t="shared" si="12"/>
        <v>女</v>
      </c>
    </row>
    <row r="333" spans="1:5" ht="30" customHeight="1">
      <c r="A333" s="7">
        <v>330</v>
      </c>
      <c r="B333" s="7" t="str">
        <f>"38662022042609050439175"</f>
        <v>38662022042609050439175</v>
      </c>
      <c r="C333" s="7" t="s">
        <v>10</v>
      </c>
      <c r="D333" s="7" t="str">
        <f>"麦田芳"</f>
        <v>麦田芳</v>
      </c>
      <c r="E333" s="7" t="str">
        <f t="shared" si="12"/>
        <v>女</v>
      </c>
    </row>
    <row r="334" spans="1:5" ht="30" customHeight="1">
      <c r="A334" s="7">
        <v>331</v>
      </c>
      <c r="B334" s="7" t="str">
        <f>"38662022042610565739346"</f>
        <v>38662022042610565739346</v>
      </c>
      <c r="C334" s="7" t="s">
        <v>10</v>
      </c>
      <c r="D334" s="7" t="str">
        <f>"谢慧"</f>
        <v>谢慧</v>
      </c>
      <c r="E334" s="7" t="str">
        <f t="shared" si="12"/>
        <v>女</v>
      </c>
    </row>
    <row r="335" spans="1:5" ht="30" customHeight="1">
      <c r="A335" s="7">
        <v>332</v>
      </c>
      <c r="B335" s="7" t="str">
        <f>"38662022042611294239393"</f>
        <v>38662022042611294239393</v>
      </c>
      <c r="C335" s="7" t="s">
        <v>10</v>
      </c>
      <c r="D335" s="7" t="str">
        <f>"陈凤嫦"</f>
        <v>陈凤嫦</v>
      </c>
      <c r="E335" s="7" t="str">
        <f t="shared" si="12"/>
        <v>女</v>
      </c>
    </row>
    <row r="336" spans="1:5" ht="30" customHeight="1">
      <c r="A336" s="7">
        <v>333</v>
      </c>
      <c r="B336" s="7" t="str">
        <f>"38662022042613003339512"</f>
        <v>38662022042613003339512</v>
      </c>
      <c r="C336" s="7" t="s">
        <v>10</v>
      </c>
      <c r="D336" s="7" t="str">
        <f>"张颖"</f>
        <v>张颖</v>
      </c>
      <c r="E336" s="7" t="str">
        <f t="shared" si="12"/>
        <v>女</v>
      </c>
    </row>
    <row r="337" spans="1:5" ht="30" customHeight="1">
      <c r="A337" s="7">
        <v>334</v>
      </c>
      <c r="B337" s="7" t="str">
        <f>"38662022042613311039547"</f>
        <v>38662022042613311039547</v>
      </c>
      <c r="C337" s="7" t="s">
        <v>10</v>
      </c>
      <c r="D337" s="7" t="str">
        <f>"赵菊瑞"</f>
        <v>赵菊瑞</v>
      </c>
      <c r="E337" s="7" t="str">
        <f t="shared" si="12"/>
        <v>女</v>
      </c>
    </row>
    <row r="338" spans="1:5" ht="30" customHeight="1">
      <c r="A338" s="7">
        <v>335</v>
      </c>
      <c r="B338" s="7" t="str">
        <f>"38662022042615192439673"</f>
        <v>38662022042615192439673</v>
      </c>
      <c r="C338" s="7" t="s">
        <v>10</v>
      </c>
      <c r="D338" s="7" t="str">
        <f>"冯怡"</f>
        <v>冯怡</v>
      </c>
      <c r="E338" s="7" t="str">
        <f t="shared" si="12"/>
        <v>女</v>
      </c>
    </row>
    <row r="339" spans="1:5" ht="30" customHeight="1">
      <c r="A339" s="7">
        <v>336</v>
      </c>
      <c r="B339" s="7" t="str">
        <f>"38662022042616474839854"</f>
        <v>38662022042616474839854</v>
      </c>
      <c r="C339" s="7" t="s">
        <v>10</v>
      </c>
      <c r="D339" s="7" t="str">
        <f>"符玉湘"</f>
        <v>符玉湘</v>
      </c>
      <c r="E339" s="7" t="str">
        <f t="shared" si="12"/>
        <v>女</v>
      </c>
    </row>
    <row r="340" spans="1:5" ht="30" customHeight="1">
      <c r="A340" s="7">
        <v>337</v>
      </c>
      <c r="B340" s="7" t="str">
        <f>"38662022042617074339891"</f>
        <v>38662022042617074339891</v>
      </c>
      <c r="C340" s="7" t="s">
        <v>10</v>
      </c>
      <c r="D340" s="7" t="str">
        <f>"杨箫笛"</f>
        <v>杨箫笛</v>
      </c>
      <c r="E340" s="7" t="str">
        <f t="shared" si="12"/>
        <v>女</v>
      </c>
    </row>
    <row r="341" spans="1:5" ht="30" customHeight="1">
      <c r="A341" s="7">
        <v>338</v>
      </c>
      <c r="B341" s="7" t="str">
        <f>"38662022042618383039999"</f>
        <v>38662022042618383039999</v>
      </c>
      <c r="C341" s="7" t="s">
        <v>10</v>
      </c>
      <c r="D341" s="7" t="str">
        <f>"唐天凤"</f>
        <v>唐天凤</v>
      </c>
      <c r="E341" s="7" t="str">
        <f t="shared" si="12"/>
        <v>女</v>
      </c>
    </row>
    <row r="342" spans="1:5" ht="30" customHeight="1">
      <c r="A342" s="7">
        <v>339</v>
      </c>
      <c r="B342" s="7" t="str">
        <f>"38662022042621014240192"</f>
        <v>38662022042621014240192</v>
      </c>
      <c r="C342" s="7" t="s">
        <v>10</v>
      </c>
      <c r="D342" s="7" t="str">
        <f>"尹言"</f>
        <v>尹言</v>
      </c>
      <c r="E342" s="7" t="str">
        <f t="shared" si="12"/>
        <v>女</v>
      </c>
    </row>
    <row r="343" spans="1:5" ht="30" customHeight="1">
      <c r="A343" s="7">
        <v>340</v>
      </c>
      <c r="B343" s="7" t="str">
        <f>"38662022042621094640212"</f>
        <v>38662022042621094640212</v>
      </c>
      <c r="C343" s="7" t="s">
        <v>10</v>
      </c>
      <c r="D343" s="7" t="str">
        <f>"肖转南"</f>
        <v>肖转南</v>
      </c>
      <c r="E343" s="7" t="str">
        <f t="shared" si="12"/>
        <v>女</v>
      </c>
    </row>
    <row r="344" spans="1:5" ht="30" customHeight="1">
      <c r="A344" s="7">
        <v>341</v>
      </c>
      <c r="B344" s="7" t="str">
        <f>"38662022042621380840259"</f>
        <v>38662022042621380840259</v>
      </c>
      <c r="C344" s="7" t="s">
        <v>10</v>
      </c>
      <c r="D344" s="7" t="str">
        <f>"邹强"</f>
        <v>邹强</v>
      </c>
      <c r="E344" s="7" t="str">
        <f t="shared" si="12"/>
        <v>女</v>
      </c>
    </row>
    <row r="345" spans="1:5" ht="30" customHeight="1">
      <c r="A345" s="7">
        <v>342</v>
      </c>
      <c r="B345" s="7" t="str">
        <f>"38662022042621522040279"</f>
        <v>38662022042621522040279</v>
      </c>
      <c r="C345" s="7" t="s">
        <v>10</v>
      </c>
      <c r="D345" s="7" t="str">
        <f>"许先娇"</f>
        <v>许先娇</v>
      </c>
      <c r="E345" s="7" t="str">
        <f t="shared" si="12"/>
        <v>女</v>
      </c>
    </row>
    <row r="346" spans="1:5" ht="30" customHeight="1">
      <c r="A346" s="7">
        <v>343</v>
      </c>
      <c r="B346" s="7" t="str">
        <f>"38662022042622283340338"</f>
        <v>38662022042622283340338</v>
      </c>
      <c r="C346" s="7" t="s">
        <v>10</v>
      </c>
      <c r="D346" s="7" t="str">
        <f>"谢光霞"</f>
        <v>谢光霞</v>
      </c>
      <c r="E346" s="7" t="str">
        <f t="shared" si="12"/>
        <v>女</v>
      </c>
    </row>
    <row r="347" spans="1:5" ht="30" customHeight="1">
      <c r="A347" s="7">
        <v>344</v>
      </c>
      <c r="B347" s="7" t="str">
        <f>"38662022042622570540391"</f>
        <v>38662022042622570540391</v>
      </c>
      <c r="C347" s="7" t="s">
        <v>10</v>
      </c>
      <c r="D347" s="7" t="str">
        <f>"周暖暖"</f>
        <v>周暖暖</v>
      </c>
      <c r="E347" s="7" t="str">
        <f t="shared" si="12"/>
        <v>女</v>
      </c>
    </row>
    <row r="348" spans="1:5" ht="30" customHeight="1">
      <c r="A348" s="7">
        <v>345</v>
      </c>
      <c r="B348" s="7" t="str">
        <f>"38662022042623133440423"</f>
        <v>38662022042623133440423</v>
      </c>
      <c r="C348" s="7" t="s">
        <v>10</v>
      </c>
      <c r="D348" s="7" t="str">
        <f>"刘小青"</f>
        <v>刘小青</v>
      </c>
      <c r="E348" s="7" t="str">
        <f t="shared" si="12"/>
        <v>女</v>
      </c>
    </row>
    <row r="349" spans="1:5" ht="30" customHeight="1">
      <c r="A349" s="7">
        <v>346</v>
      </c>
      <c r="B349" s="7" t="str">
        <f>"38662022042623183240432"</f>
        <v>38662022042623183240432</v>
      </c>
      <c r="C349" s="7" t="s">
        <v>10</v>
      </c>
      <c r="D349" s="7" t="str">
        <f>"羊春奕"</f>
        <v>羊春奕</v>
      </c>
      <c r="E349" s="7" t="str">
        <f t="shared" si="12"/>
        <v>女</v>
      </c>
    </row>
    <row r="350" spans="1:5" ht="30" customHeight="1">
      <c r="A350" s="7">
        <v>347</v>
      </c>
      <c r="B350" s="7" t="str">
        <f>"38662022042623462440471"</f>
        <v>38662022042623462440471</v>
      </c>
      <c r="C350" s="7" t="s">
        <v>10</v>
      </c>
      <c r="D350" s="7" t="str">
        <f>"王蕾"</f>
        <v>王蕾</v>
      </c>
      <c r="E350" s="7" t="str">
        <f t="shared" si="12"/>
        <v>女</v>
      </c>
    </row>
    <row r="351" spans="1:5" ht="30" customHeight="1">
      <c r="A351" s="7">
        <v>348</v>
      </c>
      <c r="B351" s="7" t="str">
        <f>"38662022042700554840524"</f>
        <v>38662022042700554840524</v>
      </c>
      <c r="C351" s="7" t="s">
        <v>10</v>
      </c>
      <c r="D351" s="7" t="str">
        <f>"王延"</f>
        <v>王延</v>
      </c>
      <c r="E351" s="7" t="str">
        <f t="shared" si="12"/>
        <v>女</v>
      </c>
    </row>
    <row r="352" spans="1:5" ht="30" customHeight="1">
      <c r="A352" s="7">
        <v>349</v>
      </c>
      <c r="B352" s="7" t="str">
        <f>"38662022042713060142962"</f>
        <v>38662022042713060142962</v>
      </c>
      <c r="C352" s="7" t="s">
        <v>10</v>
      </c>
      <c r="D352" s="7" t="str">
        <f>"符蓓苗"</f>
        <v>符蓓苗</v>
      </c>
      <c r="E352" s="7" t="str">
        <f t="shared" si="12"/>
        <v>女</v>
      </c>
    </row>
    <row r="353" spans="1:5" ht="30" customHeight="1">
      <c r="A353" s="7">
        <v>350</v>
      </c>
      <c r="B353" s="7" t="str">
        <f>"38662022042713222343071"</f>
        <v>38662022042713222343071</v>
      </c>
      <c r="C353" s="7" t="s">
        <v>10</v>
      </c>
      <c r="D353" s="7" t="str">
        <f>"杨惠"</f>
        <v>杨惠</v>
      </c>
      <c r="E353" s="7" t="str">
        <f t="shared" si="12"/>
        <v>女</v>
      </c>
    </row>
    <row r="354" spans="1:5" ht="30" customHeight="1">
      <c r="A354" s="7">
        <v>351</v>
      </c>
      <c r="B354" s="7" t="str">
        <f>"38662022042109001724880"</f>
        <v>38662022042109001724880</v>
      </c>
      <c r="C354" s="7" t="s">
        <v>11</v>
      </c>
      <c r="D354" s="7" t="str">
        <f>"王志元"</f>
        <v>王志元</v>
      </c>
      <c r="E354" s="7" t="str">
        <f>"男"</f>
        <v>男</v>
      </c>
    </row>
    <row r="355" spans="1:5" ht="30" customHeight="1">
      <c r="A355" s="7">
        <v>352</v>
      </c>
      <c r="B355" s="7" t="str">
        <f>"38662022042109023424912"</f>
        <v>38662022042109023424912</v>
      </c>
      <c r="C355" s="7" t="s">
        <v>11</v>
      </c>
      <c r="D355" s="7" t="str">
        <f>"郑小甜"</f>
        <v>郑小甜</v>
      </c>
      <c r="E355" s="7" t="str">
        <f aca="true" t="shared" si="13" ref="E355:E370">"女"</f>
        <v>女</v>
      </c>
    </row>
    <row r="356" spans="1:5" ht="30" customHeight="1">
      <c r="A356" s="7">
        <v>353</v>
      </c>
      <c r="B356" s="7" t="str">
        <f>"38662022042109033724922"</f>
        <v>38662022042109033724922</v>
      </c>
      <c r="C356" s="7" t="s">
        <v>11</v>
      </c>
      <c r="D356" s="7" t="str">
        <f>"陈媚洁"</f>
        <v>陈媚洁</v>
      </c>
      <c r="E356" s="7" t="str">
        <f t="shared" si="13"/>
        <v>女</v>
      </c>
    </row>
    <row r="357" spans="1:5" ht="30" customHeight="1">
      <c r="A357" s="7">
        <v>354</v>
      </c>
      <c r="B357" s="7" t="str">
        <f>"38662022042109154025075"</f>
        <v>38662022042109154025075</v>
      </c>
      <c r="C357" s="7" t="s">
        <v>11</v>
      </c>
      <c r="D357" s="7" t="str">
        <f>"王彩霞"</f>
        <v>王彩霞</v>
      </c>
      <c r="E357" s="7" t="str">
        <f t="shared" si="13"/>
        <v>女</v>
      </c>
    </row>
    <row r="358" spans="1:5" ht="30" customHeight="1">
      <c r="A358" s="7">
        <v>355</v>
      </c>
      <c r="B358" s="7" t="str">
        <f>"38662022042109282425221"</f>
        <v>38662022042109282425221</v>
      </c>
      <c r="C358" s="7" t="s">
        <v>11</v>
      </c>
      <c r="D358" s="7" t="str">
        <f>"曾婷"</f>
        <v>曾婷</v>
      </c>
      <c r="E358" s="7" t="str">
        <f t="shared" si="13"/>
        <v>女</v>
      </c>
    </row>
    <row r="359" spans="1:5" ht="30" customHeight="1">
      <c r="A359" s="7">
        <v>356</v>
      </c>
      <c r="B359" s="7" t="str">
        <f>"38662022042109315925265"</f>
        <v>38662022042109315925265</v>
      </c>
      <c r="C359" s="7" t="s">
        <v>11</v>
      </c>
      <c r="D359" s="7" t="str">
        <f>"黄文春"</f>
        <v>黄文春</v>
      </c>
      <c r="E359" s="7" t="str">
        <f t="shared" si="13"/>
        <v>女</v>
      </c>
    </row>
    <row r="360" spans="1:5" ht="30" customHeight="1">
      <c r="A360" s="7">
        <v>357</v>
      </c>
      <c r="B360" s="7" t="str">
        <f>"38662022042109341925296"</f>
        <v>38662022042109341925296</v>
      </c>
      <c r="C360" s="7" t="s">
        <v>11</v>
      </c>
      <c r="D360" s="7" t="str">
        <f>"黄火娜"</f>
        <v>黄火娜</v>
      </c>
      <c r="E360" s="7" t="str">
        <f t="shared" si="13"/>
        <v>女</v>
      </c>
    </row>
    <row r="361" spans="1:5" ht="30" customHeight="1">
      <c r="A361" s="7">
        <v>358</v>
      </c>
      <c r="B361" s="7" t="str">
        <f>"38662022042109410725374"</f>
        <v>38662022042109410725374</v>
      </c>
      <c r="C361" s="7" t="s">
        <v>11</v>
      </c>
      <c r="D361" s="7" t="str">
        <f>"陈金惠"</f>
        <v>陈金惠</v>
      </c>
      <c r="E361" s="7" t="str">
        <f t="shared" si="13"/>
        <v>女</v>
      </c>
    </row>
    <row r="362" spans="1:5" ht="30" customHeight="1">
      <c r="A362" s="7">
        <v>359</v>
      </c>
      <c r="B362" s="7" t="str">
        <f>"38662022042109420025390"</f>
        <v>38662022042109420025390</v>
      </c>
      <c r="C362" s="7" t="s">
        <v>11</v>
      </c>
      <c r="D362" s="7" t="str">
        <f>"董秀芬"</f>
        <v>董秀芬</v>
      </c>
      <c r="E362" s="7" t="str">
        <f t="shared" si="13"/>
        <v>女</v>
      </c>
    </row>
    <row r="363" spans="1:5" ht="30" customHeight="1">
      <c r="A363" s="7">
        <v>360</v>
      </c>
      <c r="B363" s="7" t="str">
        <f>"38662022042109424625404"</f>
        <v>38662022042109424625404</v>
      </c>
      <c r="C363" s="7" t="s">
        <v>11</v>
      </c>
      <c r="D363" s="7" t="str">
        <f>"罗孙娜"</f>
        <v>罗孙娜</v>
      </c>
      <c r="E363" s="7" t="str">
        <f t="shared" si="13"/>
        <v>女</v>
      </c>
    </row>
    <row r="364" spans="1:5" ht="30" customHeight="1">
      <c r="A364" s="7">
        <v>361</v>
      </c>
      <c r="B364" s="7" t="str">
        <f>"38662022042109510625500"</f>
        <v>38662022042109510625500</v>
      </c>
      <c r="C364" s="7" t="s">
        <v>11</v>
      </c>
      <c r="D364" s="7" t="str">
        <f>"陈星才"</f>
        <v>陈星才</v>
      </c>
      <c r="E364" s="7" t="str">
        <f t="shared" si="13"/>
        <v>女</v>
      </c>
    </row>
    <row r="365" spans="1:5" ht="30" customHeight="1">
      <c r="A365" s="7">
        <v>362</v>
      </c>
      <c r="B365" s="7" t="str">
        <f>"38662022042109511425503"</f>
        <v>38662022042109511425503</v>
      </c>
      <c r="C365" s="7" t="s">
        <v>11</v>
      </c>
      <c r="D365" s="7" t="str">
        <f>"杨泽燕"</f>
        <v>杨泽燕</v>
      </c>
      <c r="E365" s="7" t="str">
        <f t="shared" si="13"/>
        <v>女</v>
      </c>
    </row>
    <row r="366" spans="1:5" ht="30" customHeight="1">
      <c r="A366" s="7">
        <v>363</v>
      </c>
      <c r="B366" s="7" t="str">
        <f>"38662022042109515825508"</f>
        <v>38662022042109515825508</v>
      </c>
      <c r="C366" s="7" t="s">
        <v>11</v>
      </c>
      <c r="D366" s="7" t="str">
        <f>"吴金代"</f>
        <v>吴金代</v>
      </c>
      <c r="E366" s="7" t="str">
        <f t="shared" si="13"/>
        <v>女</v>
      </c>
    </row>
    <row r="367" spans="1:5" ht="30" customHeight="1">
      <c r="A367" s="7">
        <v>364</v>
      </c>
      <c r="B367" s="7" t="str">
        <f>"38662022042109531525532"</f>
        <v>38662022042109531525532</v>
      </c>
      <c r="C367" s="7" t="s">
        <v>11</v>
      </c>
      <c r="D367" s="7" t="str">
        <f>"邓光花"</f>
        <v>邓光花</v>
      </c>
      <c r="E367" s="7" t="str">
        <f t="shared" si="13"/>
        <v>女</v>
      </c>
    </row>
    <row r="368" spans="1:5" ht="30" customHeight="1">
      <c r="A368" s="7">
        <v>365</v>
      </c>
      <c r="B368" s="7" t="str">
        <f>"38662022042109550825564"</f>
        <v>38662022042109550825564</v>
      </c>
      <c r="C368" s="7" t="s">
        <v>11</v>
      </c>
      <c r="D368" s="7" t="str">
        <f>"苏艺"</f>
        <v>苏艺</v>
      </c>
      <c r="E368" s="7" t="str">
        <f t="shared" si="13"/>
        <v>女</v>
      </c>
    </row>
    <row r="369" spans="1:5" ht="30" customHeight="1">
      <c r="A369" s="7">
        <v>366</v>
      </c>
      <c r="B369" s="7" t="str">
        <f>"38662022042110000525636"</f>
        <v>38662022042110000525636</v>
      </c>
      <c r="C369" s="7" t="s">
        <v>11</v>
      </c>
      <c r="D369" s="7" t="str">
        <f>"陈月兰"</f>
        <v>陈月兰</v>
      </c>
      <c r="E369" s="7" t="str">
        <f t="shared" si="13"/>
        <v>女</v>
      </c>
    </row>
    <row r="370" spans="1:5" ht="30" customHeight="1">
      <c r="A370" s="7">
        <v>367</v>
      </c>
      <c r="B370" s="7" t="str">
        <f>"38662022042110073825722"</f>
        <v>38662022042110073825722</v>
      </c>
      <c r="C370" s="7" t="s">
        <v>11</v>
      </c>
      <c r="D370" s="7" t="str">
        <f>"李虹芳"</f>
        <v>李虹芳</v>
      </c>
      <c r="E370" s="7" t="str">
        <f t="shared" si="13"/>
        <v>女</v>
      </c>
    </row>
    <row r="371" spans="1:5" ht="30" customHeight="1">
      <c r="A371" s="7">
        <v>368</v>
      </c>
      <c r="B371" s="7" t="str">
        <f>"38662022042110100125751"</f>
        <v>38662022042110100125751</v>
      </c>
      <c r="C371" s="7" t="s">
        <v>11</v>
      </c>
      <c r="D371" s="7" t="str">
        <f>"张强"</f>
        <v>张强</v>
      </c>
      <c r="E371" s="7" t="str">
        <f>"男"</f>
        <v>男</v>
      </c>
    </row>
    <row r="372" spans="1:5" ht="30" customHeight="1">
      <c r="A372" s="7">
        <v>369</v>
      </c>
      <c r="B372" s="7" t="str">
        <f>"38662022042110103425761"</f>
        <v>38662022042110103425761</v>
      </c>
      <c r="C372" s="7" t="s">
        <v>11</v>
      </c>
      <c r="D372" s="7" t="str">
        <f>"羊淑芳"</f>
        <v>羊淑芳</v>
      </c>
      <c r="E372" s="7" t="str">
        <f aca="true" t="shared" si="14" ref="E372:E375">"女"</f>
        <v>女</v>
      </c>
    </row>
    <row r="373" spans="1:5" ht="30" customHeight="1">
      <c r="A373" s="7">
        <v>370</v>
      </c>
      <c r="B373" s="7" t="str">
        <f>"38662022042110104225763"</f>
        <v>38662022042110104225763</v>
      </c>
      <c r="C373" s="7" t="s">
        <v>11</v>
      </c>
      <c r="D373" s="7" t="str">
        <f>"符亚学"</f>
        <v>符亚学</v>
      </c>
      <c r="E373" s="7" t="str">
        <f t="shared" si="14"/>
        <v>女</v>
      </c>
    </row>
    <row r="374" spans="1:5" ht="30" customHeight="1">
      <c r="A374" s="7">
        <v>371</v>
      </c>
      <c r="B374" s="7" t="str">
        <f>"38662022042110143625811"</f>
        <v>38662022042110143625811</v>
      </c>
      <c r="C374" s="7" t="s">
        <v>11</v>
      </c>
      <c r="D374" s="7" t="str">
        <f>"王定颐"</f>
        <v>王定颐</v>
      </c>
      <c r="E374" s="7" t="str">
        <f t="shared" si="14"/>
        <v>女</v>
      </c>
    </row>
    <row r="375" spans="1:5" ht="30" customHeight="1">
      <c r="A375" s="7">
        <v>372</v>
      </c>
      <c r="B375" s="7" t="str">
        <f>"38662022042110221925903"</f>
        <v>38662022042110221925903</v>
      </c>
      <c r="C375" s="7" t="s">
        <v>11</v>
      </c>
      <c r="D375" s="7" t="str">
        <f>"符望"</f>
        <v>符望</v>
      </c>
      <c r="E375" s="7" t="str">
        <f t="shared" si="14"/>
        <v>女</v>
      </c>
    </row>
    <row r="376" spans="1:5" ht="30" customHeight="1">
      <c r="A376" s="7">
        <v>373</v>
      </c>
      <c r="B376" s="7" t="str">
        <f>"38662022042110224525911"</f>
        <v>38662022042110224525911</v>
      </c>
      <c r="C376" s="7" t="s">
        <v>11</v>
      </c>
      <c r="D376" s="7" t="str">
        <f>"蔡传会"</f>
        <v>蔡传会</v>
      </c>
      <c r="E376" s="7" t="str">
        <f>"男"</f>
        <v>男</v>
      </c>
    </row>
    <row r="377" spans="1:5" ht="30" customHeight="1">
      <c r="A377" s="7">
        <v>374</v>
      </c>
      <c r="B377" s="7" t="str">
        <f>"38662022042110241225940"</f>
        <v>38662022042110241225940</v>
      </c>
      <c r="C377" s="7" t="s">
        <v>11</v>
      </c>
      <c r="D377" s="7" t="str">
        <f>"陈益艳"</f>
        <v>陈益艳</v>
      </c>
      <c r="E377" s="7" t="str">
        <f aca="true" t="shared" si="15" ref="E377:E381">"女"</f>
        <v>女</v>
      </c>
    </row>
    <row r="378" spans="1:5" ht="30" customHeight="1">
      <c r="A378" s="7">
        <v>375</v>
      </c>
      <c r="B378" s="7" t="str">
        <f>"38662022042110312926037"</f>
        <v>38662022042110312926037</v>
      </c>
      <c r="C378" s="7" t="s">
        <v>11</v>
      </c>
      <c r="D378" s="7" t="str">
        <f>"王丽"</f>
        <v>王丽</v>
      </c>
      <c r="E378" s="7" t="str">
        <f t="shared" si="15"/>
        <v>女</v>
      </c>
    </row>
    <row r="379" spans="1:5" ht="30" customHeight="1">
      <c r="A379" s="7">
        <v>376</v>
      </c>
      <c r="B379" s="7" t="str">
        <f>"38662022042110353726079"</f>
        <v>38662022042110353726079</v>
      </c>
      <c r="C379" s="7" t="s">
        <v>11</v>
      </c>
      <c r="D379" s="7" t="str">
        <f>"施紫丹"</f>
        <v>施紫丹</v>
      </c>
      <c r="E379" s="7" t="str">
        <f t="shared" si="15"/>
        <v>女</v>
      </c>
    </row>
    <row r="380" spans="1:5" ht="30" customHeight="1">
      <c r="A380" s="7">
        <v>377</v>
      </c>
      <c r="B380" s="7" t="str">
        <f>"38662022042110360026084"</f>
        <v>38662022042110360026084</v>
      </c>
      <c r="C380" s="7" t="s">
        <v>11</v>
      </c>
      <c r="D380" s="7" t="str">
        <f>"王邓"</f>
        <v>王邓</v>
      </c>
      <c r="E380" s="7" t="str">
        <f t="shared" si="15"/>
        <v>女</v>
      </c>
    </row>
    <row r="381" spans="1:5" ht="30" customHeight="1">
      <c r="A381" s="7">
        <v>378</v>
      </c>
      <c r="B381" s="7" t="str">
        <f>"38662022042110444626193"</f>
        <v>38662022042110444626193</v>
      </c>
      <c r="C381" s="7" t="s">
        <v>11</v>
      </c>
      <c r="D381" s="7" t="str">
        <f>"陈婷"</f>
        <v>陈婷</v>
      </c>
      <c r="E381" s="7" t="str">
        <f t="shared" si="15"/>
        <v>女</v>
      </c>
    </row>
    <row r="382" spans="1:5" ht="30" customHeight="1">
      <c r="A382" s="7">
        <v>379</v>
      </c>
      <c r="B382" s="7" t="str">
        <f>"38662022042110455726207"</f>
        <v>38662022042110455726207</v>
      </c>
      <c r="C382" s="7" t="s">
        <v>11</v>
      </c>
      <c r="D382" s="7" t="str">
        <f>"韦道威"</f>
        <v>韦道威</v>
      </c>
      <c r="E382" s="7" t="str">
        <f>"男"</f>
        <v>男</v>
      </c>
    </row>
    <row r="383" spans="1:5" ht="30" customHeight="1">
      <c r="A383" s="7">
        <v>380</v>
      </c>
      <c r="B383" s="7" t="str">
        <f>"38662022042110461226209"</f>
        <v>38662022042110461226209</v>
      </c>
      <c r="C383" s="7" t="s">
        <v>11</v>
      </c>
      <c r="D383" s="7" t="str">
        <f>"郭小慧"</f>
        <v>郭小慧</v>
      </c>
      <c r="E383" s="7" t="str">
        <f aca="true" t="shared" si="16" ref="E383:E388">"女"</f>
        <v>女</v>
      </c>
    </row>
    <row r="384" spans="1:5" ht="30" customHeight="1">
      <c r="A384" s="7">
        <v>381</v>
      </c>
      <c r="B384" s="7" t="str">
        <f>"38662022042110474226229"</f>
        <v>38662022042110474226229</v>
      </c>
      <c r="C384" s="7" t="s">
        <v>11</v>
      </c>
      <c r="D384" s="7" t="str">
        <f>"常仪"</f>
        <v>常仪</v>
      </c>
      <c r="E384" s="7" t="str">
        <f t="shared" si="16"/>
        <v>女</v>
      </c>
    </row>
    <row r="385" spans="1:5" ht="30" customHeight="1">
      <c r="A385" s="7">
        <v>382</v>
      </c>
      <c r="B385" s="7" t="str">
        <f>"38662022042110485626245"</f>
        <v>38662022042110485626245</v>
      </c>
      <c r="C385" s="7" t="s">
        <v>11</v>
      </c>
      <c r="D385" s="7" t="str">
        <f>"何子莹"</f>
        <v>何子莹</v>
      </c>
      <c r="E385" s="7" t="str">
        <f t="shared" si="16"/>
        <v>女</v>
      </c>
    </row>
    <row r="386" spans="1:5" ht="30" customHeight="1">
      <c r="A386" s="7">
        <v>383</v>
      </c>
      <c r="B386" s="7" t="str">
        <f>"38662022042110564226333"</f>
        <v>38662022042110564226333</v>
      </c>
      <c r="C386" s="7" t="s">
        <v>11</v>
      </c>
      <c r="D386" s="7" t="str">
        <f>"刘娜英"</f>
        <v>刘娜英</v>
      </c>
      <c r="E386" s="7" t="str">
        <f t="shared" si="16"/>
        <v>女</v>
      </c>
    </row>
    <row r="387" spans="1:5" ht="30" customHeight="1">
      <c r="A387" s="7">
        <v>384</v>
      </c>
      <c r="B387" s="7" t="str">
        <f>"38662022042110591126365"</f>
        <v>38662022042110591126365</v>
      </c>
      <c r="C387" s="7" t="s">
        <v>11</v>
      </c>
      <c r="D387" s="7" t="str">
        <f>"傅圆圆"</f>
        <v>傅圆圆</v>
      </c>
      <c r="E387" s="7" t="str">
        <f t="shared" si="16"/>
        <v>女</v>
      </c>
    </row>
    <row r="388" spans="1:5" ht="30" customHeight="1">
      <c r="A388" s="7">
        <v>385</v>
      </c>
      <c r="B388" s="7" t="str">
        <f>"38662022042111083926451"</f>
        <v>38662022042111083926451</v>
      </c>
      <c r="C388" s="7" t="s">
        <v>11</v>
      </c>
      <c r="D388" s="7" t="str">
        <f>"王佳佳"</f>
        <v>王佳佳</v>
      </c>
      <c r="E388" s="7" t="str">
        <f t="shared" si="16"/>
        <v>女</v>
      </c>
    </row>
    <row r="389" spans="1:5" ht="30" customHeight="1">
      <c r="A389" s="7">
        <v>386</v>
      </c>
      <c r="B389" s="7" t="str">
        <f>"38662022042111093126463"</f>
        <v>38662022042111093126463</v>
      </c>
      <c r="C389" s="7" t="s">
        <v>11</v>
      </c>
      <c r="D389" s="7" t="str">
        <f>"曾德杰"</f>
        <v>曾德杰</v>
      </c>
      <c r="E389" s="7" t="str">
        <f>"男"</f>
        <v>男</v>
      </c>
    </row>
    <row r="390" spans="1:5" ht="30" customHeight="1">
      <c r="A390" s="7">
        <v>387</v>
      </c>
      <c r="B390" s="7" t="str">
        <f>"38662022042111102426468"</f>
        <v>38662022042111102426468</v>
      </c>
      <c r="C390" s="7" t="s">
        <v>11</v>
      </c>
      <c r="D390" s="7" t="str">
        <f>"陈小妹"</f>
        <v>陈小妹</v>
      </c>
      <c r="E390" s="7" t="str">
        <f aca="true" t="shared" si="17" ref="E390:E393">"女"</f>
        <v>女</v>
      </c>
    </row>
    <row r="391" spans="1:5" ht="30" customHeight="1">
      <c r="A391" s="7">
        <v>388</v>
      </c>
      <c r="B391" s="7" t="str">
        <f>"38662022042111110126473"</f>
        <v>38662022042111110126473</v>
      </c>
      <c r="C391" s="7" t="s">
        <v>11</v>
      </c>
      <c r="D391" s="7" t="str">
        <f>"邓真利"</f>
        <v>邓真利</v>
      </c>
      <c r="E391" s="7" t="str">
        <f t="shared" si="17"/>
        <v>女</v>
      </c>
    </row>
    <row r="392" spans="1:5" ht="30" customHeight="1">
      <c r="A392" s="7">
        <v>389</v>
      </c>
      <c r="B392" s="7" t="str">
        <f>"38662022042111130926497"</f>
        <v>38662022042111130926497</v>
      </c>
      <c r="C392" s="7" t="s">
        <v>11</v>
      </c>
      <c r="D392" s="7" t="str">
        <f>"李效妮"</f>
        <v>李效妮</v>
      </c>
      <c r="E392" s="7" t="str">
        <f t="shared" si="17"/>
        <v>女</v>
      </c>
    </row>
    <row r="393" spans="1:5" ht="30" customHeight="1">
      <c r="A393" s="7">
        <v>390</v>
      </c>
      <c r="B393" s="7" t="str">
        <f>"38662022042111223826579"</f>
        <v>38662022042111223826579</v>
      </c>
      <c r="C393" s="7" t="s">
        <v>11</v>
      </c>
      <c r="D393" s="7" t="str">
        <f>"万青青"</f>
        <v>万青青</v>
      </c>
      <c r="E393" s="7" t="str">
        <f t="shared" si="17"/>
        <v>女</v>
      </c>
    </row>
    <row r="394" spans="1:5" ht="30" customHeight="1">
      <c r="A394" s="7">
        <v>391</v>
      </c>
      <c r="B394" s="7" t="str">
        <f>"38662022042111240426591"</f>
        <v>38662022042111240426591</v>
      </c>
      <c r="C394" s="7" t="s">
        <v>11</v>
      </c>
      <c r="D394" s="7" t="str">
        <f>"陈贵华"</f>
        <v>陈贵华</v>
      </c>
      <c r="E394" s="7" t="str">
        <f aca="true" t="shared" si="18" ref="E394:E399">"男"</f>
        <v>男</v>
      </c>
    </row>
    <row r="395" spans="1:5" ht="30" customHeight="1">
      <c r="A395" s="7">
        <v>392</v>
      </c>
      <c r="B395" s="7" t="str">
        <f>"38662022042111310926646"</f>
        <v>38662022042111310926646</v>
      </c>
      <c r="C395" s="7" t="s">
        <v>11</v>
      </c>
      <c r="D395" s="7" t="str">
        <f>"李青芸"</f>
        <v>李青芸</v>
      </c>
      <c r="E395" s="7" t="str">
        <f aca="true" t="shared" si="19" ref="E395:E397">"女"</f>
        <v>女</v>
      </c>
    </row>
    <row r="396" spans="1:5" ht="30" customHeight="1">
      <c r="A396" s="7">
        <v>393</v>
      </c>
      <c r="B396" s="7" t="str">
        <f>"38662022042111312426648"</f>
        <v>38662022042111312426648</v>
      </c>
      <c r="C396" s="7" t="s">
        <v>11</v>
      </c>
      <c r="D396" s="7" t="str">
        <f>"吴清芸"</f>
        <v>吴清芸</v>
      </c>
      <c r="E396" s="7" t="str">
        <f t="shared" si="19"/>
        <v>女</v>
      </c>
    </row>
    <row r="397" spans="1:5" ht="30" customHeight="1">
      <c r="A397" s="7">
        <v>394</v>
      </c>
      <c r="B397" s="7" t="str">
        <f>"38662022042111333226669"</f>
        <v>38662022042111333226669</v>
      </c>
      <c r="C397" s="7" t="s">
        <v>11</v>
      </c>
      <c r="D397" s="7" t="str">
        <f>"曾一晗"</f>
        <v>曾一晗</v>
      </c>
      <c r="E397" s="7" t="str">
        <f t="shared" si="19"/>
        <v>女</v>
      </c>
    </row>
    <row r="398" spans="1:5" ht="30" customHeight="1">
      <c r="A398" s="7">
        <v>395</v>
      </c>
      <c r="B398" s="7" t="str">
        <f>"38662022042111431026774"</f>
        <v>38662022042111431026774</v>
      </c>
      <c r="C398" s="7" t="s">
        <v>11</v>
      </c>
      <c r="D398" s="7" t="str">
        <f>"林泽伟"</f>
        <v>林泽伟</v>
      </c>
      <c r="E398" s="7" t="str">
        <f t="shared" si="18"/>
        <v>男</v>
      </c>
    </row>
    <row r="399" spans="1:5" ht="30" customHeight="1">
      <c r="A399" s="7">
        <v>396</v>
      </c>
      <c r="B399" s="7" t="str">
        <f>"38662022042111523026841"</f>
        <v>38662022042111523026841</v>
      </c>
      <c r="C399" s="7" t="s">
        <v>11</v>
      </c>
      <c r="D399" s="7" t="str">
        <f>"刘灿"</f>
        <v>刘灿</v>
      </c>
      <c r="E399" s="7" t="str">
        <f t="shared" si="18"/>
        <v>男</v>
      </c>
    </row>
    <row r="400" spans="1:5" ht="30" customHeight="1">
      <c r="A400" s="7">
        <v>397</v>
      </c>
      <c r="B400" s="7" t="str">
        <f>"38662022042112013226910"</f>
        <v>38662022042112013226910</v>
      </c>
      <c r="C400" s="7" t="s">
        <v>11</v>
      </c>
      <c r="D400" s="7" t="str">
        <f>"卢运芳"</f>
        <v>卢运芳</v>
      </c>
      <c r="E400" s="7" t="str">
        <f aca="true" t="shared" si="20" ref="E400:E407">"女"</f>
        <v>女</v>
      </c>
    </row>
    <row r="401" spans="1:5" ht="30" customHeight="1">
      <c r="A401" s="7">
        <v>398</v>
      </c>
      <c r="B401" s="7" t="str">
        <f>"38662022042112144326990"</f>
        <v>38662022042112144326990</v>
      </c>
      <c r="C401" s="7" t="s">
        <v>11</v>
      </c>
      <c r="D401" s="7" t="str">
        <f>"张金娜"</f>
        <v>张金娜</v>
      </c>
      <c r="E401" s="7" t="str">
        <f t="shared" si="20"/>
        <v>女</v>
      </c>
    </row>
    <row r="402" spans="1:5" ht="30" customHeight="1">
      <c r="A402" s="7">
        <v>399</v>
      </c>
      <c r="B402" s="7" t="str">
        <f>"38662022042112202627018"</f>
        <v>38662022042112202627018</v>
      </c>
      <c r="C402" s="7" t="s">
        <v>11</v>
      </c>
      <c r="D402" s="7" t="str">
        <f>"黎赛艳"</f>
        <v>黎赛艳</v>
      </c>
      <c r="E402" s="7" t="str">
        <f t="shared" si="20"/>
        <v>女</v>
      </c>
    </row>
    <row r="403" spans="1:5" ht="30" customHeight="1">
      <c r="A403" s="7">
        <v>400</v>
      </c>
      <c r="B403" s="7" t="str">
        <f>"38662022042112392227159"</f>
        <v>38662022042112392227159</v>
      </c>
      <c r="C403" s="7" t="s">
        <v>11</v>
      </c>
      <c r="D403" s="7" t="str">
        <f>"王海雪"</f>
        <v>王海雪</v>
      </c>
      <c r="E403" s="7" t="str">
        <f t="shared" si="20"/>
        <v>女</v>
      </c>
    </row>
    <row r="404" spans="1:5" ht="30" customHeight="1">
      <c r="A404" s="7">
        <v>401</v>
      </c>
      <c r="B404" s="7" t="str">
        <f>"38662022042112402227164"</f>
        <v>38662022042112402227164</v>
      </c>
      <c r="C404" s="7" t="s">
        <v>11</v>
      </c>
      <c r="D404" s="7" t="str">
        <f>"吴小芳"</f>
        <v>吴小芳</v>
      </c>
      <c r="E404" s="7" t="str">
        <f t="shared" si="20"/>
        <v>女</v>
      </c>
    </row>
    <row r="405" spans="1:5" ht="30" customHeight="1">
      <c r="A405" s="7">
        <v>402</v>
      </c>
      <c r="B405" s="7" t="str">
        <f>"38662022042114385827782"</f>
        <v>38662022042114385827782</v>
      </c>
      <c r="C405" s="7" t="s">
        <v>11</v>
      </c>
      <c r="D405" s="7" t="str">
        <f>"邹东妹"</f>
        <v>邹东妹</v>
      </c>
      <c r="E405" s="7" t="str">
        <f t="shared" si="20"/>
        <v>女</v>
      </c>
    </row>
    <row r="406" spans="1:5" ht="30" customHeight="1">
      <c r="A406" s="7">
        <v>403</v>
      </c>
      <c r="B406" s="7" t="str">
        <f>"38662022042114433327818"</f>
        <v>38662022042114433327818</v>
      </c>
      <c r="C406" s="7" t="s">
        <v>11</v>
      </c>
      <c r="D406" s="7" t="str">
        <f>"梁丽云"</f>
        <v>梁丽云</v>
      </c>
      <c r="E406" s="7" t="str">
        <f t="shared" si="20"/>
        <v>女</v>
      </c>
    </row>
    <row r="407" spans="1:5" ht="30" customHeight="1">
      <c r="A407" s="7">
        <v>404</v>
      </c>
      <c r="B407" s="7" t="str">
        <f>"38662022042114552727927"</f>
        <v>38662022042114552727927</v>
      </c>
      <c r="C407" s="7" t="s">
        <v>11</v>
      </c>
      <c r="D407" s="7" t="str">
        <f>"彭翎"</f>
        <v>彭翎</v>
      </c>
      <c r="E407" s="7" t="str">
        <f t="shared" si="20"/>
        <v>女</v>
      </c>
    </row>
    <row r="408" spans="1:5" ht="30" customHeight="1">
      <c r="A408" s="7">
        <v>405</v>
      </c>
      <c r="B408" s="7" t="str">
        <f>"38662022042115090228035"</f>
        <v>38662022042115090228035</v>
      </c>
      <c r="C408" s="7" t="s">
        <v>11</v>
      </c>
      <c r="D408" s="7" t="str">
        <f>"代浩"</f>
        <v>代浩</v>
      </c>
      <c r="E408" s="7" t="str">
        <f>"男"</f>
        <v>男</v>
      </c>
    </row>
    <row r="409" spans="1:5" ht="30" customHeight="1">
      <c r="A409" s="7">
        <v>406</v>
      </c>
      <c r="B409" s="7" t="str">
        <f>"38662022042115095728051"</f>
        <v>38662022042115095728051</v>
      </c>
      <c r="C409" s="7" t="s">
        <v>11</v>
      </c>
      <c r="D409" s="7" t="str">
        <f>"符伟"</f>
        <v>符伟</v>
      </c>
      <c r="E409" s="7" t="str">
        <f>"男"</f>
        <v>男</v>
      </c>
    </row>
    <row r="410" spans="1:5" ht="30" customHeight="1">
      <c r="A410" s="7">
        <v>407</v>
      </c>
      <c r="B410" s="7" t="str">
        <f>"38662022042115154128107"</f>
        <v>38662022042115154128107</v>
      </c>
      <c r="C410" s="7" t="s">
        <v>11</v>
      </c>
      <c r="D410" s="7" t="str">
        <f>"李妤"</f>
        <v>李妤</v>
      </c>
      <c r="E410" s="7" t="str">
        <f aca="true" t="shared" si="21" ref="E410:E433">"女"</f>
        <v>女</v>
      </c>
    </row>
    <row r="411" spans="1:5" ht="30" customHeight="1">
      <c r="A411" s="7">
        <v>408</v>
      </c>
      <c r="B411" s="7" t="str">
        <f>"38662022042115225528170"</f>
        <v>38662022042115225528170</v>
      </c>
      <c r="C411" s="7" t="s">
        <v>11</v>
      </c>
      <c r="D411" s="7" t="str">
        <f>"梁梅蕊"</f>
        <v>梁梅蕊</v>
      </c>
      <c r="E411" s="7" t="str">
        <f t="shared" si="21"/>
        <v>女</v>
      </c>
    </row>
    <row r="412" spans="1:5" ht="30" customHeight="1">
      <c r="A412" s="7">
        <v>409</v>
      </c>
      <c r="B412" s="7" t="str">
        <f>"38662022042115404728311"</f>
        <v>38662022042115404728311</v>
      </c>
      <c r="C412" s="7" t="s">
        <v>11</v>
      </c>
      <c r="D412" s="7" t="str">
        <f>"陈保琴"</f>
        <v>陈保琴</v>
      </c>
      <c r="E412" s="7" t="str">
        <f t="shared" si="21"/>
        <v>女</v>
      </c>
    </row>
    <row r="413" spans="1:5" ht="30" customHeight="1">
      <c r="A413" s="7">
        <v>410</v>
      </c>
      <c r="B413" s="7" t="str">
        <f>"38662022042115433028331"</f>
        <v>38662022042115433028331</v>
      </c>
      <c r="C413" s="7" t="s">
        <v>11</v>
      </c>
      <c r="D413" s="7" t="str">
        <f>"邓慧"</f>
        <v>邓慧</v>
      </c>
      <c r="E413" s="7" t="str">
        <f t="shared" si="21"/>
        <v>女</v>
      </c>
    </row>
    <row r="414" spans="1:5" ht="30" customHeight="1">
      <c r="A414" s="7">
        <v>411</v>
      </c>
      <c r="B414" s="7" t="str">
        <f>"38662022042115443928341"</f>
        <v>38662022042115443928341</v>
      </c>
      <c r="C414" s="7" t="s">
        <v>11</v>
      </c>
      <c r="D414" s="7" t="str">
        <f>"吴燕"</f>
        <v>吴燕</v>
      </c>
      <c r="E414" s="7" t="str">
        <f t="shared" si="21"/>
        <v>女</v>
      </c>
    </row>
    <row r="415" spans="1:5" ht="30" customHeight="1">
      <c r="A415" s="7">
        <v>412</v>
      </c>
      <c r="B415" s="7" t="str">
        <f>"38662022042115452928354"</f>
        <v>38662022042115452928354</v>
      </c>
      <c r="C415" s="7" t="s">
        <v>11</v>
      </c>
      <c r="D415" s="7" t="str">
        <f>"邓丽君"</f>
        <v>邓丽君</v>
      </c>
      <c r="E415" s="7" t="str">
        <f t="shared" si="21"/>
        <v>女</v>
      </c>
    </row>
    <row r="416" spans="1:5" ht="30" customHeight="1">
      <c r="A416" s="7">
        <v>413</v>
      </c>
      <c r="B416" s="7" t="str">
        <f>"38662022042115482128374"</f>
        <v>38662022042115482128374</v>
      </c>
      <c r="C416" s="7" t="s">
        <v>11</v>
      </c>
      <c r="D416" s="7" t="str">
        <f>"邓彩霞"</f>
        <v>邓彩霞</v>
      </c>
      <c r="E416" s="7" t="str">
        <f t="shared" si="21"/>
        <v>女</v>
      </c>
    </row>
    <row r="417" spans="1:5" ht="30" customHeight="1">
      <c r="A417" s="7">
        <v>414</v>
      </c>
      <c r="B417" s="7" t="str">
        <f>"38662022042116055328489"</f>
        <v>38662022042116055328489</v>
      </c>
      <c r="C417" s="7" t="s">
        <v>11</v>
      </c>
      <c r="D417" s="7" t="str">
        <f>"罗孔玲"</f>
        <v>罗孔玲</v>
      </c>
      <c r="E417" s="7" t="str">
        <f t="shared" si="21"/>
        <v>女</v>
      </c>
    </row>
    <row r="418" spans="1:5" ht="30" customHeight="1">
      <c r="A418" s="7">
        <v>415</v>
      </c>
      <c r="B418" s="7" t="str">
        <f>"38662022042116122528528"</f>
        <v>38662022042116122528528</v>
      </c>
      <c r="C418" s="7" t="s">
        <v>11</v>
      </c>
      <c r="D418" s="7" t="str">
        <f>"黎玉娘"</f>
        <v>黎玉娘</v>
      </c>
      <c r="E418" s="7" t="str">
        <f t="shared" si="21"/>
        <v>女</v>
      </c>
    </row>
    <row r="419" spans="1:5" ht="30" customHeight="1">
      <c r="A419" s="7">
        <v>416</v>
      </c>
      <c r="B419" s="7" t="str">
        <f>"38662022042116374528709"</f>
        <v>38662022042116374528709</v>
      </c>
      <c r="C419" s="7" t="s">
        <v>11</v>
      </c>
      <c r="D419" s="7" t="str">
        <f>"王丽婷"</f>
        <v>王丽婷</v>
      </c>
      <c r="E419" s="7" t="str">
        <f t="shared" si="21"/>
        <v>女</v>
      </c>
    </row>
    <row r="420" spans="1:5" ht="30" customHeight="1">
      <c r="A420" s="7">
        <v>417</v>
      </c>
      <c r="B420" s="7" t="str">
        <f>"38662022042116514928802"</f>
        <v>38662022042116514928802</v>
      </c>
      <c r="C420" s="7" t="s">
        <v>11</v>
      </c>
      <c r="D420" s="7" t="str">
        <f>"苏柳羽"</f>
        <v>苏柳羽</v>
      </c>
      <c r="E420" s="7" t="str">
        <f t="shared" si="21"/>
        <v>女</v>
      </c>
    </row>
    <row r="421" spans="1:5" ht="30" customHeight="1">
      <c r="A421" s="7">
        <v>418</v>
      </c>
      <c r="B421" s="7" t="str">
        <f>"38662022042117045828884"</f>
        <v>38662022042117045828884</v>
      </c>
      <c r="C421" s="7" t="s">
        <v>11</v>
      </c>
      <c r="D421" s="7" t="str">
        <f>"符彩妹"</f>
        <v>符彩妹</v>
      </c>
      <c r="E421" s="7" t="str">
        <f t="shared" si="21"/>
        <v>女</v>
      </c>
    </row>
    <row r="422" spans="1:5" ht="30" customHeight="1">
      <c r="A422" s="7">
        <v>419</v>
      </c>
      <c r="B422" s="7" t="str">
        <f>"38662022042117242429020"</f>
        <v>38662022042117242429020</v>
      </c>
      <c r="C422" s="7" t="s">
        <v>11</v>
      </c>
      <c r="D422" s="7" t="str">
        <f>"李京栗"</f>
        <v>李京栗</v>
      </c>
      <c r="E422" s="7" t="str">
        <f t="shared" si="21"/>
        <v>女</v>
      </c>
    </row>
    <row r="423" spans="1:5" ht="30" customHeight="1">
      <c r="A423" s="7">
        <v>420</v>
      </c>
      <c r="B423" s="7" t="str">
        <f>"38662022042117340729064"</f>
        <v>38662022042117340729064</v>
      </c>
      <c r="C423" s="7" t="s">
        <v>11</v>
      </c>
      <c r="D423" s="7" t="str">
        <f>"方金灵"</f>
        <v>方金灵</v>
      </c>
      <c r="E423" s="7" t="str">
        <f t="shared" si="21"/>
        <v>女</v>
      </c>
    </row>
    <row r="424" spans="1:5" ht="30" customHeight="1">
      <c r="A424" s="7">
        <v>421</v>
      </c>
      <c r="B424" s="7" t="str">
        <f>"38662022042118324329335"</f>
        <v>38662022042118324329335</v>
      </c>
      <c r="C424" s="7" t="s">
        <v>11</v>
      </c>
      <c r="D424" s="7" t="str">
        <f>"王奇敏"</f>
        <v>王奇敏</v>
      </c>
      <c r="E424" s="7" t="str">
        <f t="shared" si="21"/>
        <v>女</v>
      </c>
    </row>
    <row r="425" spans="1:5" ht="30" customHeight="1">
      <c r="A425" s="7">
        <v>422</v>
      </c>
      <c r="B425" s="7" t="str">
        <f>"38662022042118371429351"</f>
        <v>38662022042118371429351</v>
      </c>
      <c r="C425" s="7" t="s">
        <v>11</v>
      </c>
      <c r="D425" s="7" t="str">
        <f>"钟珍波"</f>
        <v>钟珍波</v>
      </c>
      <c r="E425" s="7" t="str">
        <f t="shared" si="21"/>
        <v>女</v>
      </c>
    </row>
    <row r="426" spans="1:5" ht="30" customHeight="1">
      <c r="A426" s="7">
        <v>423</v>
      </c>
      <c r="B426" s="7" t="str">
        <f>"38662022042118520629408"</f>
        <v>38662022042118520629408</v>
      </c>
      <c r="C426" s="7" t="s">
        <v>11</v>
      </c>
      <c r="D426" s="7" t="str">
        <f>"陈小平"</f>
        <v>陈小平</v>
      </c>
      <c r="E426" s="7" t="str">
        <f t="shared" si="21"/>
        <v>女</v>
      </c>
    </row>
    <row r="427" spans="1:5" ht="30" customHeight="1">
      <c r="A427" s="7">
        <v>424</v>
      </c>
      <c r="B427" s="7" t="str">
        <f>"38662022042118573729435"</f>
        <v>38662022042118573729435</v>
      </c>
      <c r="C427" s="7" t="s">
        <v>11</v>
      </c>
      <c r="D427" s="7" t="str">
        <f>"岑文静"</f>
        <v>岑文静</v>
      </c>
      <c r="E427" s="7" t="str">
        <f t="shared" si="21"/>
        <v>女</v>
      </c>
    </row>
    <row r="428" spans="1:5" ht="30" customHeight="1">
      <c r="A428" s="7">
        <v>425</v>
      </c>
      <c r="B428" s="7" t="str">
        <f>"38662022042119051529474"</f>
        <v>38662022042119051529474</v>
      </c>
      <c r="C428" s="7" t="s">
        <v>11</v>
      </c>
      <c r="D428" s="7" t="str">
        <f>"梁秀云"</f>
        <v>梁秀云</v>
      </c>
      <c r="E428" s="7" t="str">
        <f t="shared" si="21"/>
        <v>女</v>
      </c>
    </row>
    <row r="429" spans="1:5" ht="30" customHeight="1">
      <c r="A429" s="7">
        <v>426</v>
      </c>
      <c r="B429" s="7" t="str">
        <f>"38662022042119111529493"</f>
        <v>38662022042119111529493</v>
      </c>
      <c r="C429" s="7" t="s">
        <v>11</v>
      </c>
      <c r="D429" s="7" t="str">
        <f>"孙余"</f>
        <v>孙余</v>
      </c>
      <c r="E429" s="7" t="str">
        <f t="shared" si="21"/>
        <v>女</v>
      </c>
    </row>
    <row r="430" spans="1:5" ht="30" customHeight="1">
      <c r="A430" s="7">
        <v>427</v>
      </c>
      <c r="B430" s="7" t="str">
        <f>"38662022042119160429519"</f>
        <v>38662022042119160429519</v>
      </c>
      <c r="C430" s="7" t="s">
        <v>11</v>
      </c>
      <c r="D430" s="7" t="str">
        <f>"王丹"</f>
        <v>王丹</v>
      </c>
      <c r="E430" s="7" t="str">
        <f t="shared" si="21"/>
        <v>女</v>
      </c>
    </row>
    <row r="431" spans="1:5" ht="30" customHeight="1">
      <c r="A431" s="7">
        <v>428</v>
      </c>
      <c r="B431" s="7" t="str">
        <f>"38662022042119202929542"</f>
        <v>38662022042119202929542</v>
      </c>
      <c r="C431" s="7" t="s">
        <v>11</v>
      </c>
      <c r="D431" s="7" t="str">
        <f>"吴英敏"</f>
        <v>吴英敏</v>
      </c>
      <c r="E431" s="7" t="str">
        <f t="shared" si="21"/>
        <v>女</v>
      </c>
    </row>
    <row r="432" spans="1:5" ht="30" customHeight="1">
      <c r="A432" s="7">
        <v>429</v>
      </c>
      <c r="B432" s="7" t="str">
        <f>"38662022042119254929567"</f>
        <v>38662022042119254929567</v>
      </c>
      <c r="C432" s="7" t="s">
        <v>11</v>
      </c>
      <c r="D432" s="7" t="str">
        <f>"王诗蔓"</f>
        <v>王诗蔓</v>
      </c>
      <c r="E432" s="7" t="str">
        <f t="shared" si="21"/>
        <v>女</v>
      </c>
    </row>
    <row r="433" spans="1:5" ht="30" customHeight="1">
      <c r="A433" s="7">
        <v>430</v>
      </c>
      <c r="B433" s="7" t="str">
        <f>"38662022042119305229591"</f>
        <v>38662022042119305229591</v>
      </c>
      <c r="C433" s="7" t="s">
        <v>11</v>
      </c>
      <c r="D433" s="7" t="str">
        <f>"董采旭"</f>
        <v>董采旭</v>
      </c>
      <c r="E433" s="7" t="str">
        <f t="shared" si="21"/>
        <v>女</v>
      </c>
    </row>
    <row r="434" spans="1:5" ht="30" customHeight="1">
      <c r="A434" s="7">
        <v>431</v>
      </c>
      <c r="B434" s="7" t="str">
        <f>"38662022042119534229687"</f>
        <v>38662022042119534229687</v>
      </c>
      <c r="C434" s="7" t="s">
        <v>11</v>
      </c>
      <c r="D434" s="7" t="str">
        <f>"杨家鑫"</f>
        <v>杨家鑫</v>
      </c>
      <c r="E434" s="7" t="str">
        <f>"男"</f>
        <v>男</v>
      </c>
    </row>
    <row r="435" spans="1:5" ht="30" customHeight="1">
      <c r="A435" s="7">
        <v>432</v>
      </c>
      <c r="B435" s="7" t="str">
        <f>"38662022042120390529928"</f>
        <v>38662022042120390529928</v>
      </c>
      <c r="C435" s="7" t="s">
        <v>11</v>
      </c>
      <c r="D435" s="7" t="str">
        <f>"韦海明"</f>
        <v>韦海明</v>
      </c>
      <c r="E435" s="7" t="str">
        <f aca="true" t="shared" si="22" ref="E435:E440">"女"</f>
        <v>女</v>
      </c>
    </row>
    <row r="436" spans="1:5" ht="30" customHeight="1">
      <c r="A436" s="7">
        <v>433</v>
      </c>
      <c r="B436" s="7" t="str">
        <f>"38662022042120413729938"</f>
        <v>38662022042120413729938</v>
      </c>
      <c r="C436" s="7" t="s">
        <v>11</v>
      </c>
      <c r="D436" s="7" t="str">
        <f>"邢玉丽"</f>
        <v>邢玉丽</v>
      </c>
      <c r="E436" s="7" t="str">
        <f t="shared" si="22"/>
        <v>女</v>
      </c>
    </row>
    <row r="437" spans="1:5" ht="30" customHeight="1">
      <c r="A437" s="7">
        <v>434</v>
      </c>
      <c r="B437" s="7" t="str">
        <f>"38662022042120540530003"</f>
        <v>38662022042120540530003</v>
      </c>
      <c r="C437" s="7" t="s">
        <v>11</v>
      </c>
      <c r="D437" s="7" t="str">
        <f>"冯乃宏"</f>
        <v>冯乃宏</v>
      </c>
      <c r="E437" s="7" t="str">
        <f>"男"</f>
        <v>男</v>
      </c>
    </row>
    <row r="438" spans="1:5" ht="30" customHeight="1">
      <c r="A438" s="7">
        <v>435</v>
      </c>
      <c r="B438" s="7" t="str">
        <f>"38662022042120541230005"</f>
        <v>38662022042120541230005</v>
      </c>
      <c r="C438" s="7" t="s">
        <v>11</v>
      </c>
      <c r="D438" s="7" t="str">
        <f>"梁小南"</f>
        <v>梁小南</v>
      </c>
      <c r="E438" s="7" t="str">
        <f t="shared" si="22"/>
        <v>女</v>
      </c>
    </row>
    <row r="439" spans="1:5" ht="30" customHeight="1">
      <c r="A439" s="7">
        <v>436</v>
      </c>
      <c r="B439" s="7" t="str">
        <f>"38662022042121080030081"</f>
        <v>38662022042121080030081</v>
      </c>
      <c r="C439" s="7" t="s">
        <v>11</v>
      </c>
      <c r="D439" s="7" t="str">
        <f>"羊玉秀"</f>
        <v>羊玉秀</v>
      </c>
      <c r="E439" s="7" t="str">
        <f t="shared" si="22"/>
        <v>女</v>
      </c>
    </row>
    <row r="440" spans="1:5" ht="30" customHeight="1">
      <c r="A440" s="7">
        <v>437</v>
      </c>
      <c r="B440" s="7" t="str">
        <f>"38662022042121204230156"</f>
        <v>38662022042121204230156</v>
      </c>
      <c r="C440" s="7" t="s">
        <v>11</v>
      </c>
      <c r="D440" s="7" t="str">
        <f>"林淑伶"</f>
        <v>林淑伶</v>
      </c>
      <c r="E440" s="7" t="str">
        <f t="shared" si="22"/>
        <v>女</v>
      </c>
    </row>
    <row r="441" spans="1:5" ht="30" customHeight="1">
      <c r="A441" s="7">
        <v>438</v>
      </c>
      <c r="B441" s="7" t="str">
        <f>"38662022042121400330253"</f>
        <v>38662022042121400330253</v>
      </c>
      <c r="C441" s="7" t="s">
        <v>11</v>
      </c>
      <c r="D441" s="7" t="str">
        <f>"薛为长"</f>
        <v>薛为长</v>
      </c>
      <c r="E441" s="7" t="str">
        <f>"男"</f>
        <v>男</v>
      </c>
    </row>
    <row r="442" spans="1:5" ht="30" customHeight="1">
      <c r="A442" s="7">
        <v>439</v>
      </c>
      <c r="B442" s="7" t="str">
        <f>"38662022042122094130414"</f>
        <v>38662022042122094130414</v>
      </c>
      <c r="C442" s="7" t="s">
        <v>11</v>
      </c>
      <c r="D442" s="7" t="str">
        <f>"赵凤君"</f>
        <v>赵凤君</v>
      </c>
      <c r="E442" s="7" t="str">
        <f aca="true" t="shared" si="23" ref="E442:E448">"女"</f>
        <v>女</v>
      </c>
    </row>
    <row r="443" spans="1:5" ht="30" customHeight="1">
      <c r="A443" s="7">
        <v>440</v>
      </c>
      <c r="B443" s="7" t="str">
        <f>"38662022042122250530481"</f>
        <v>38662022042122250530481</v>
      </c>
      <c r="C443" s="7" t="s">
        <v>11</v>
      </c>
      <c r="D443" s="7" t="str">
        <f>"符造婷"</f>
        <v>符造婷</v>
      </c>
      <c r="E443" s="7" t="str">
        <f t="shared" si="23"/>
        <v>女</v>
      </c>
    </row>
    <row r="444" spans="1:5" ht="30" customHeight="1">
      <c r="A444" s="7">
        <v>441</v>
      </c>
      <c r="B444" s="7" t="str">
        <f>"38662022042122334730524"</f>
        <v>38662022042122334730524</v>
      </c>
      <c r="C444" s="7" t="s">
        <v>11</v>
      </c>
      <c r="D444" s="7" t="str">
        <f>"陈雨洁"</f>
        <v>陈雨洁</v>
      </c>
      <c r="E444" s="7" t="str">
        <f t="shared" si="23"/>
        <v>女</v>
      </c>
    </row>
    <row r="445" spans="1:5" ht="30" customHeight="1">
      <c r="A445" s="7">
        <v>442</v>
      </c>
      <c r="B445" s="7" t="str">
        <f>"38662022042122430530570"</f>
        <v>38662022042122430530570</v>
      </c>
      <c r="C445" s="7" t="s">
        <v>11</v>
      </c>
      <c r="D445" s="7" t="str">
        <f>"林佳婷"</f>
        <v>林佳婷</v>
      </c>
      <c r="E445" s="7" t="str">
        <f t="shared" si="23"/>
        <v>女</v>
      </c>
    </row>
    <row r="446" spans="1:5" ht="30" customHeight="1">
      <c r="A446" s="7">
        <v>443</v>
      </c>
      <c r="B446" s="7" t="str">
        <f>"38662022042122464530582"</f>
        <v>38662022042122464530582</v>
      </c>
      <c r="C446" s="7" t="s">
        <v>11</v>
      </c>
      <c r="D446" s="7" t="str">
        <f>"李欣"</f>
        <v>李欣</v>
      </c>
      <c r="E446" s="7" t="str">
        <f t="shared" si="23"/>
        <v>女</v>
      </c>
    </row>
    <row r="447" spans="1:5" ht="30" customHeight="1">
      <c r="A447" s="7">
        <v>444</v>
      </c>
      <c r="B447" s="7" t="str">
        <f>"38662022042200085730825"</f>
        <v>38662022042200085730825</v>
      </c>
      <c r="C447" s="7" t="s">
        <v>11</v>
      </c>
      <c r="D447" s="7" t="str">
        <f>"王毓慧"</f>
        <v>王毓慧</v>
      </c>
      <c r="E447" s="7" t="str">
        <f t="shared" si="23"/>
        <v>女</v>
      </c>
    </row>
    <row r="448" spans="1:5" ht="30" customHeight="1">
      <c r="A448" s="7">
        <v>445</v>
      </c>
      <c r="B448" s="7" t="str">
        <f>"38662022042200485430846"</f>
        <v>38662022042200485430846</v>
      </c>
      <c r="C448" s="7" t="s">
        <v>11</v>
      </c>
      <c r="D448" s="7" t="str">
        <f>"刘秋惠"</f>
        <v>刘秋惠</v>
      </c>
      <c r="E448" s="7" t="str">
        <f t="shared" si="23"/>
        <v>女</v>
      </c>
    </row>
    <row r="449" spans="1:5" ht="30" customHeight="1">
      <c r="A449" s="7">
        <v>446</v>
      </c>
      <c r="B449" s="7" t="str">
        <f>"38662022042207311630914"</f>
        <v>38662022042207311630914</v>
      </c>
      <c r="C449" s="7" t="s">
        <v>11</v>
      </c>
      <c r="D449" s="7" t="str">
        <f>"黎冠琦"</f>
        <v>黎冠琦</v>
      </c>
      <c r="E449" s="7" t="str">
        <f>"男"</f>
        <v>男</v>
      </c>
    </row>
    <row r="450" spans="1:5" ht="30" customHeight="1">
      <c r="A450" s="7">
        <v>447</v>
      </c>
      <c r="B450" s="7" t="str">
        <f>"38662022042208025630944"</f>
        <v>38662022042208025630944</v>
      </c>
      <c r="C450" s="7" t="s">
        <v>11</v>
      </c>
      <c r="D450" s="7" t="str">
        <f>"钟瑶"</f>
        <v>钟瑶</v>
      </c>
      <c r="E450" s="7" t="str">
        <f aca="true" t="shared" si="24" ref="E450:E454">"女"</f>
        <v>女</v>
      </c>
    </row>
    <row r="451" spans="1:5" ht="30" customHeight="1">
      <c r="A451" s="7">
        <v>448</v>
      </c>
      <c r="B451" s="7" t="str">
        <f>"38662022042208224730987"</f>
        <v>38662022042208224730987</v>
      </c>
      <c r="C451" s="7" t="s">
        <v>11</v>
      </c>
      <c r="D451" s="7" t="str">
        <f>"文成迈"</f>
        <v>文成迈</v>
      </c>
      <c r="E451" s="7" t="str">
        <f t="shared" si="24"/>
        <v>女</v>
      </c>
    </row>
    <row r="452" spans="1:5" ht="30" customHeight="1">
      <c r="A452" s="7">
        <v>449</v>
      </c>
      <c r="B452" s="7" t="str">
        <f>"38662022042208341931020"</f>
        <v>38662022042208341931020</v>
      </c>
      <c r="C452" s="7" t="s">
        <v>11</v>
      </c>
      <c r="D452" s="7" t="str">
        <f>"傅海星"</f>
        <v>傅海星</v>
      </c>
      <c r="E452" s="7" t="str">
        <f t="shared" si="24"/>
        <v>女</v>
      </c>
    </row>
    <row r="453" spans="1:5" ht="30" customHeight="1">
      <c r="A453" s="7">
        <v>450</v>
      </c>
      <c r="B453" s="7" t="str">
        <f>"38662022042209074831162"</f>
        <v>38662022042209074831162</v>
      </c>
      <c r="C453" s="7" t="s">
        <v>11</v>
      </c>
      <c r="D453" s="7" t="str">
        <f>"万智霞"</f>
        <v>万智霞</v>
      </c>
      <c r="E453" s="7" t="str">
        <f t="shared" si="24"/>
        <v>女</v>
      </c>
    </row>
    <row r="454" spans="1:5" ht="30" customHeight="1">
      <c r="A454" s="7">
        <v>451</v>
      </c>
      <c r="B454" s="7" t="str">
        <f>"38662022042209100331170"</f>
        <v>38662022042209100331170</v>
      </c>
      <c r="C454" s="7" t="s">
        <v>11</v>
      </c>
      <c r="D454" s="7" t="str">
        <f>"余业红"</f>
        <v>余业红</v>
      </c>
      <c r="E454" s="7" t="str">
        <f t="shared" si="24"/>
        <v>女</v>
      </c>
    </row>
    <row r="455" spans="1:5" ht="30" customHeight="1">
      <c r="A455" s="7">
        <v>452</v>
      </c>
      <c r="B455" s="7" t="str">
        <f>"38662022042209510231386"</f>
        <v>38662022042209510231386</v>
      </c>
      <c r="C455" s="7" t="s">
        <v>11</v>
      </c>
      <c r="D455" s="7" t="str">
        <f>"毛作勤"</f>
        <v>毛作勤</v>
      </c>
      <c r="E455" s="7" t="str">
        <f>"男"</f>
        <v>男</v>
      </c>
    </row>
    <row r="456" spans="1:5" ht="30" customHeight="1">
      <c r="A456" s="7">
        <v>453</v>
      </c>
      <c r="B456" s="7" t="str">
        <f>"38662022042210105131496"</f>
        <v>38662022042210105131496</v>
      </c>
      <c r="C456" s="7" t="s">
        <v>11</v>
      </c>
      <c r="D456" s="7" t="str">
        <f>"邓雪桃"</f>
        <v>邓雪桃</v>
      </c>
      <c r="E456" s="7" t="str">
        <f aca="true" t="shared" si="25" ref="E456:E464">"女"</f>
        <v>女</v>
      </c>
    </row>
    <row r="457" spans="1:5" ht="30" customHeight="1">
      <c r="A457" s="7">
        <v>454</v>
      </c>
      <c r="B457" s="7" t="str">
        <f>"38662022042210112231499"</f>
        <v>38662022042210112231499</v>
      </c>
      <c r="C457" s="7" t="s">
        <v>11</v>
      </c>
      <c r="D457" s="7" t="str">
        <f>"袁晶"</f>
        <v>袁晶</v>
      </c>
      <c r="E457" s="7" t="str">
        <f t="shared" si="25"/>
        <v>女</v>
      </c>
    </row>
    <row r="458" spans="1:5" ht="30" customHeight="1">
      <c r="A458" s="7">
        <v>455</v>
      </c>
      <c r="B458" s="7" t="str">
        <f>"38662022042210120031507"</f>
        <v>38662022042210120031507</v>
      </c>
      <c r="C458" s="7" t="s">
        <v>11</v>
      </c>
      <c r="D458" s="7" t="str">
        <f>"罗玉超"</f>
        <v>罗玉超</v>
      </c>
      <c r="E458" s="7" t="str">
        <f t="shared" si="25"/>
        <v>女</v>
      </c>
    </row>
    <row r="459" spans="1:5" ht="30" customHeight="1">
      <c r="A459" s="7">
        <v>456</v>
      </c>
      <c r="B459" s="7" t="str">
        <f>"38662022042210134131520"</f>
        <v>38662022042210134131520</v>
      </c>
      <c r="C459" s="7" t="s">
        <v>11</v>
      </c>
      <c r="D459" s="7" t="str">
        <f>"许时花"</f>
        <v>许时花</v>
      </c>
      <c r="E459" s="7" t="str">
        <f t="shared" si="25"/>
        <v>女</v>
      </c>
    </row>
    <row r="460" spans="1:5" ht="30" customHeight="1">
      <c r="A460" s="7">
        <v>457</v>
      </c>
      <c r="B460" s="7" t="str">
        <f>"38662022042211024431826"</f>
        <v>38662022042211024431826</v>
      </c>
      <c r="C460" s="7" t="s">
        <v>11</v>
      </c>
      <c r="D460" s="7" t="str">
        <f>"麦贤曼"</f>
        <v>麦贤曼</v>
      </c>
      <c r="E460" s="7" t="str">
        <f t="shared" si="25"/>
        <v>女</v>
      </c>
    </row>
    <row r="461" spans="1:5" ht="30" customHeight="1">
      <c r="A461" s="7">
        <v>458</v>
      </c>
      <c r="B461" s="7" t="str">
        <f>"38662022042211055331843"</f>
        <v>38662022042211055331843</v>
      </c>
      <c r="C461" s="7" t="s">
        <v>11</v>
      </c>
      <c r="D461" s="7" t="str">
        <f>"吴柳"</f>
        <v>吴柳</v>
      </c>
      <c r="E461" s="7" t="str">
        <f t="shared" si="25"/>
        <v>女</v>
      </c>
    </row>
    <row r="462" spans="1:5" ht="30" customHeight="1">
      <c r="A462" s="7">
        <v>459</v>
      </c>
      <c r="B462" s="7" t="str">
        <f>"38662022042211202032098"</f>
        <v>38662022042211202032098</v>
      </c>
      <c r="C462" s="7" t="s">
        <v>11</v>
      </c>
      <c r="D462" s="7" t="str">
        <f>"许桂英"</f>
        <v>许桂英</v>
      </c>
      <c r="E462" s="7" t="str">
        <f t="shared" si="25"/>
        <v>女</v>
      </c>
    </row>
    <row r="463" spans="1:5" ht="30" customHeight="1">
      <c r="A463" s="7">
        <v>460</v>
      </c>
      <c r="B463" s="7" t="str">
        <f>"38662022042211252732123"</f>
        <v>38662022042211252732123</v>
      </c>
      <c r="C463" s="7" t="s">
        <v>11</v>
      </c>
      <c r="D463" s="7" t="str">
        <f>"陈春平"</f>
        <v>陈春平</v>
      </c>
      <c r="E463" s="7" t="str">
        <f t="shared" si="25"/>
        <v>女</v>
      </c>
    </row>
    <row r="464" spans="1:5" ht="30" customHeight="1">
      <c r="A464" s="7">
        <v>461</v>
      </c>
      <c r="B464" s="7" t="str">
        <f>"38662022042211402032366"</f>
        <v>38662022042211402032366</v>
      </c>
      <c r="C464" s="7" t="s">
        <v>11</v>
      </c>
      <c r="D464" s="7" t="str">
        <f>"王转"</f>
        <v>王转</v>
      </c>
      <c r="E464" s="7" t="str">
        <f t="shared" si="25"/>
        <v>女</v>
      </c>
    </row>
    <row r="465" spans="1:5" ht="30" customHeight="1">
      <c r="A465" s="7">
        <v>462</v>
      </c>
      <c r="B465" s="7" t="str">
        <f>"38662022042211562332438"</f>
        <v>38662022042211562332438</v>
      </c>
      <c r="C465" s="7" t="s">
        <v>11</v>
      </c>
      <c r="D465" s="7" t="str">
        <f>"黄威威"</f>
        <v>黄威威</v>
      </c>
      <c r="E465" s="7" t="str">
        <f>"男"</f>
        <v>男</v>
      </c>
    </row>
    <row r="466" spans="1:5" ht="30" customHeight="1">
      <c r="A466" s="7">
        <v>463</v>
      </c>
      <c r="B466" s="7" t="str">
        <f>"38662022042212153232509"</f>
        <v>38662022042212153232509</v>
      </c>
      <c r="C466" s="7" t="s">
        <v>11</v>
      </c>
      <c r="D466" s="7" t="str">
        <f>"罗明玲"</f>
        <v>罗明玲</v>
      </c>
      <c r="E466" s="7" t="str">
        <f aca="true" t="shared" si="26" ref="E466:E487">"女"</f>
        <v>女</v>
      </c>
    </row>
    <row r="467" spans="1:5" ht="30" customHeight="1">
      <c r="A467" s="7">
        <v>464</v>
      </c>
      <c r="B467" s="7" t="str">
        <f>"38662022042212155432512"</f>
        <v>38662022042212155432512</v>
      </c>
      <c r="C467" s="7" t="s">
        <v>11</v>
      </c>
      <c r="D467" s="7" t="str">
        <f>"孙文"</f>
        <v>孙文</v>
      </c>
      <c r="E467" s="7" t="str">
        <f t="shared" si="26"/>
        <v>女</v>
      </c>
    </row>
    <row r="468" spans="1:5" ht="30" customHeight="1">
      <c r="A468" s="7">
        <v>465</v>
      </c>
      <c r="B468" s="7" t="str">
        <f>"38662022042212243932545"</f>
        <v>38662022042212243932545</v>
      </c>
      <c r="C468" s="7" t="s">
        <v>11</v>
      </c>
      <c r="D468" s="7" t="str">
        <f>"徐日丹"</f>
        <v>徐日丹</v>
      </c>
      <c r="E468" s="7" t="str">
        <f t="shared" si="26"/>
        <v>女</v>
      </c>
    </row>
    <row r="469" spans="1:5" ht="30" customHeight="1">
      <c r="A469" s="7">
        <v>466</v>
      </c>
      <c r="B469" s="7" t="str">
        <f>"38662022042213044032710"</f>
        <v>38662022042213044032710</v>
      </c>
      <c r="C469" s="7" t="s">
        <v>11</v>
      </c>
      <c r="D469" s="7" t="str">
        <f>"羊秀熊"</f>
        <v>羊秀熊</v>
      </c>
      <c r="E469" s="7" t="str">
        <f t="shared" si="26"/>
        <v>女</v>
      </c>
    </row>
    <row r="470" spans="1:5" ht="30" customHeight="1">
      <c r="A470" s="7">
        <v>467</v>
      </c>
      <c r="B470" s="7" t="str">
        <f>"38662022042213131232742"</f>
        <v>38662022042213131232742</v>
      </c>
      <c r="C470" s="7" t="s">
        <v>11</v>
      </c>
      <c r="D470" s="7" t="str">
        <f>"李妃"</f>
        <v>李妃</v>
      </c>
      <c r="E470" s="7" t="str">
        <f t="shared" si="26"/>
        <v>女</v>
      </c>
    </row>
    <row r="471" spans="1:5" ht="30" customHeight="1">
      <c r="A471" s="7">
        <v>468</v>
      </c>
      <c r="B471" s="7" t="str">
        <f>"38662022042214101132931"</f>
        <v>38662022042214101132931</v>
      </c>
      <c r="C471" s="7" t="s">
        <v>11</v>
      </c>
      <c r="D471" s="7" t="str">
        <f>"苏梦"</f>
        <v>苏梦</v>
      </c>
      <c r="E471" s="7" t="str">
        <f t="shared" si="26"/>
        <v>女</v>
      </c>
    </row>
    <row r="472" spans="1:5" ht="30" customHeight="1">
      <c r="A472" s="7">
        <v>469</v>
      </c>
      <c r="B472" s="7" t="str">
        <f>"38662022042215144333244"</f>
        <v>38662022042215144333244</v>
      </c>
      <c r="C472" s="7" t="s">
        <v>11</v>
      </c>
      <c r="D472" s="7" t="str">
        <f>"唐海玲"</f>
        <v>唐海玲</v>
      </c>
      <c r="E472" s="7" t="str">
        <f t="shared" si="26"/>
        <v>女</v>
      </c>
    </row>
    <row r="473" spans="1:5" ht="30" customHeight="1">
      <c r="A473" s="7">
        <v>470</v>
      </c>
      <c r="B473" s="7" t="str">
        <f>"38662022042215590133528"</f>
        <v>38662022042215590133528</v>
      </c>
      <c r="C473" s="7" t="s">
        <v>11</v>
      </c>
      <c r="D473" s="7" t="str">
        <f>"蒙燕倩"</f>
        <v>蒙燕倩</v>
      </c>
      <c r="E473" s="7" t="str">
        <f t="shared" si="26"/>
        <v>女</v>
      </c>
    </row>
    <row r="474" spans="1:5" ht="30" customHeight="1">
      <c r="A474" s="7">
        <v>471</v>
      </c>
      <c r="B474" s="7" t="str">
        <f>"38662022042216352733764"</f>
        <v>38662022042216352733764</v>
      </c>
      <c r="C474" s="7" t="s">
        <v>11</v>
      </c>
      <c r="D474" s="7" t="str">
        <f>"谢桂琴"</f>
        <v>谢桂琴</v>
      </c>
      <c r="E474" s="7" t="str">
        <f t="shared" si="26"/>
        <v>女</v>
      </c>
    </row>
    <row r="475" spans="1:5" ht="30" customHeight="1">
      <c r="A475" s="7">
        <v>472</v>
      </c>
      <c r="B475" s="7" t="str">
        <f>"38662022042216395533794"</f>
        <v>38662022042216395533794</v>
      </c>
      <c r="C475" s="7" t="s">
        <v>11</v>
      </c>
      <c r="D475" s="7" t="str">
        <f>"黄潇"</f>
        <v>黄潇</v>
      </c>
      <c r="E475" s="7" t="str">
        <f t="shared" si="26"/>
        <v>女</v>
      </c>
    </row>
    <row r="476" spans="1:5" ht="30" customHeight="1">
      <c r="A476" s="7">
        <v>473</v>
      </c>
      <c r="B476" s="7" t="str">
        <f>"38662022042217314634097"</f>
        <v>38662022042217314634097</v>
      </c>
      <c r="C476" s="7" t="s">
        <v>11</v>
      </c>
      <c r="D476" s="7" t="str">
        <f>"董吉芬"</f>
        <v>董吉芬</v>
      </c>
      <c r="E476" s="7" t="str">
        <f t="shared" si="26"/>
        <v>女</v>
      </c>
    </row>
    <row r="477" spans="1:5" ht="30" customHeight="1">
      <c r="A477" s="7">
        <v>474</v>
      </c>
      <c r="B477" s="7" t="str">
        <f>"38662022042218010334216"</f>
        <v>38662022042218010334216</v>
      </c>
      <c r="C477" s="7" t="s">
        <v>11</v>
      </c>
      <c r="D477" s="7" t="str">
        <f>"金秋子"</f>
        <v>金秋子</v>
      </c>
      <c r="E477" s="7" t="str">
        <f t="shared" si="26"/>
        <v>女</v>
      </c>
    </row>
    <row r="478" spans="1:5" ht="30" customHeight="1">
      <c r="A478" s="7">
        <v>475</v>
      </c>
      <c r="B478" s="7" t="str">
        <f>"38662022042218202734263"</f>
        <v>38662022042218202734263</v>
      </c>
      <c r="C478" s="7" t="s">
        <v>11</v>
      </c>
      <c r="D478" s="7" t="str">
        <f>"冼恩嫚"</f>
        <v>冼恩嫚</v>
      </c>
      <c r="E478" s="7" t="str">
        <f t="shared" si="26"/>
        <v>女</v>
      </c>
    </row>
    <row r="479" spans="1:5" ht="30" customHeight="1">
      <c r="A479" s="7">
        <v>476</v>
      </c>
      <c r="B479" s="7" t="str">
        <f>"38662022042218345234291"</f>
        <v>38662022042218345234291</v>
      </c>
      <c r="C479" s="7" t="s">
        <v>11</v>
      </c>
      <c r="D479" s="7" t="str">
        <f>"陈少霞"</f>
        <v>陈少霞</v>
      </c>
      <c r="E479" s="7" t="str">
        <f t="shared" si="26"/>
        <v>女</v>
      </c>
    </row>
    <row r="480" spans="1:5" ht="30" customHeight="1">
      <c r="A480" s="7">
        <v>477</v>
      </c>
      <c r="B480" s="7" t="str">
        <f>"38662022042218531234331"</f>
        <v>38662022042218531234331</v>
      </c>
      <c r="C480" s="7" t="s">
        <v>11</v>
      </c>
      <c r="D480" s="7" t="str">
        <f>"杨鸽"</f>
        <v>杨鸽</v>
      </c>
      <c r="E480" s="7" t="str">
        <f t="shared" si="26"/>
        <v>女</v>
      </c>
    </row>
    <row r="481" spans="1:5" ht="30" customHeight="1">
      <c r="A481" s="7">
        <v>478</v>
      </c>
      <c r="B481" s="7" t="str">
        <f>"38662022042219101134373"</f>
        <v>38662022042219101134373</v>
      </c>
      <c r="C481" s="7" t="s">
        <v>11</v>
      </c>
      <c r="D481" s="7" t="str">
        <f>"吴梦艳"</f>
        <v>吴梦艳</v>
      </c>
      <c r="E481" s="7" t="str">
        <f t="shared" si="26"/>
        <v>女</v>
      </c>
    </row>
    <row r="482" spans="1:5" ht="30" customHeight="1">
      <c r="A482" s="7">
        <v>479</v>
      </c>
      <c r="B482" s="7" t="str">
        <f>"38662022042219241534397"</f>
        <v>38662022042219241534397</v>
      </c>
      <c r="C482" s="7" t="s">
        <v>11</v>
      </c>
      <c r="D482" s="7" t="str">
        <f>"匡舒"</f>
        <v>匡舒</v>
      </c>
      <c r="E482" s="7" t="str">
        <f t="shared" si="26"/>
        <v>女</v>
      </c>
    </row>
    <row r="483" spans="1:5" ht="30" customHeight="1">
      <c r="A483" s="7">
        <v>480</v>
      </c>
      <c r="B483" s="7" t="str">
        <f>"38662022042219463134448"</f>
        <v>38662022042219463134448</v>
      </c>
      <c r="C483" s="7" t="s">
        <v>11</v>
      </c>
      <c r="D483" s="7" t="str">
        <f>"王紫薇"</f>
        <v>王紫薇</v>
      </c>
      <c r="E483" s="7" t="str">
        <f t="shared" si="26"/>
        <v>女</v>
      </c>
    </row>
    <row r="484" spans="1:5" ht="30" customHeight="1">
      <c r="A484" s="7">
        <v>481</v>
      </c>
      <c r="B484" s="7" t="str">
        <f>"38662022042220374334534"</f>
        <v>38662022042220374334534</v>
      </c>
      <c r="C484" s="7" t="s">
        <v>11</v>
      </c>
      <c r="D484" s="7" t="str">
        <f>"王丹苗"</f>
        <v>王丹苗</v>
      </c>
      <c r="E484" s="7" t="str">
        <f t="shared" si="26"/>
        <v>女</v>
      </c>
    </row>
    <row r="485" spans="1:5" ht="30" customHeight="1">
      <c r="A485" s="7">
        <v>482</v>
      </c>
      <c r="B485" s="7" t="str">
        <f>"38662022042220395434541"</f>
        <v>38662022042220395434541</v>
      </c>
      <c r="C485" s="7" t="s">
        <v>11</v>
      </c>
      <c r="D485" s="7" t="str">
        <f>"汪莹莹"</f>
        <v>汪莹莹</v>
      </c>
      <c r="E485" s="7" t="str">
        <f t="shared" si="26"/>
        <v>女</v>
      </c>
    </row>
    <row r="486" spans="1:5" ht="30" customHeight="1">
      <c r="A486" s="7">
        <v>483</v>
      </c>
      <c r="B486" s="7" t="str">
        <f>"38662022042221052734590"</f>
        <v>38662022042221052734590</v>
      </c>
      <c r="C486" s="7" t="s">
        <v>11</v>
      </c>
      <c r="D486" s="7" t="str">
        <f>"吴如花"</f>
        <v>吴如花</v>
      </c>
      <c r="E486" s="7" t="str">
        <f t="shared" si="26"/>
        <v>女</v>
      </c>
    </row>
    <row r="487" spans="1:5" ht="30" customHeight="1">
      <c r="A487" s="7">
        <v>484</v>
      </c>
      <c r="B487" s="7" t="str">
        <f>"38662022042221424934660"</f>
        <v>38662022042221424934660</v>
      </c>
      <c r="C487" s="7" t="s">
        <v>11</v>
      </c>
      <c r="D487" s="7" t="str">
        <f>"胡金蝶"</f>
        <v>胡金蝶</v>
      </c>
      <c r="E487" s="7" t="str">
        <f t="shared" si="26"/>
        <v>女</v>
      </c>
    </row>
    <row r="488" spans="1:5" ht="30" customHeight="1">
      <c r="A488" s="7">
        <v>485</v>
      </c>
      <c r="B488" s="7" t="str">
        <f>"38662022042222050534702"</f>
        <v>38662022042222050534702</v>
      </c>
      <c r="C488" s="7" t="s">
        <v>11</v>
      </c>
      <c r="D488" s="7" t="str">
        <f>"张祖波"</f>
        <v>张祖波</v>
      </c>
      <c r="E488" s="7" t="str">
        <f>"男"</f>
        <v>男</v>
      </c>
    </row>
    <row r="489" spans="1:5" ht="30" customHeight="1">
      <c r="A489" s="7">
        <v>486</v>
      </c>
      <c r="B489" s="7" t="str">
        <f>"38662022042222274334743"</f>
        <v>38662022042222274334743</v>
      </c>
      <c r="C489" s="7" t="s">
        <v>11</v>
      </c>
      <c r="D489" s="7" t="str">
        <f>"曾敏琴"</f>
        <v>曾敏琴</v>
      </c>
      <c r="E489" s="7" t="str">
        <f aca="true" t="shared" si="27" ref="E489:E493">"女"</f>
        <v>女</v>
      </c>
    </row>
    <row r="490" spans="1:5" ht="30" customHeight="1">
      <c r="A490" s="7">
        <v>487</v>
      </c>
      <c r="B490" s="7" t="str">
        <f>"38662022042223553234835"</f>
        <v>38662022042223553234835</v>
      </c>
      <c r="C490" s="7" t="s">
        <v>11</v>
      </c>
      <c r="D490" s="7" t="str">
        <f>"陈善佳"</f>
        <v>陈善佳</v>
      </c>
      <c r="E490" s="7" t="str">
        <f t="shared" si="27"/>
        <v>女</v>
      </c>
    </row>
    <row r="491" spans="1:5" ht="30" customHeight="1">
      <c r="A491" s="7">
        <v>488</v>
      </c>
      <c r="B491" s="7" t="str">
        <f>"38662022042307264334881"</f>
        <v>38662022042307264334881</v>
      </c>
      <c r="C491" s="7" t="s">
        <v>11</v>
      </c>
      <c r="D491" s="7" t="str">
        <f>"麦笃萍"</f>
        <v>麦笃萍</v>
      </c>
      <c r="E491" s="7" t="str">
        <f t="shared" si="27"/>
        <v>女</v>
      </c>
    </row>
    <row r="492" spans="1:5" ht="30" customHeight="1">
      <c r="A492" s="7">
        <v>489</v>
      </c>
      <c r="B492" s="7" t="str">
        <f>"38662022042308145734899"</f>
        <v>38662022042308145734899</v>
      </c>
      <c r="C492" s="7" t="s">
        <v>11</v>
      </c>
      <c r="D492" s="7" t="str">
        <f>"岑春平"</f>
        <v>岑春平</v>
      </c>
      <c r="E492" s="7" t="str">
        <f t="shared" si="27"/>
        <v>女</v>
      </c>
    </row>
    <row r="493" spans="1:5" ht="30" customHeight="1">
      <c r="A493" s="7">
        <v>490</v>
      </c>
      <c r="B493" s="7" t="str">
        <f>"38662022042308483334923"</f>
        <v>38662022042308483334923</v>
      </c>
      <c r="C493" s="7" t="s">
        <v>11</v>
      </c>
      <c r="D493" s="7" t="str">
        <f>"李腾婧"</f>
        <v>李腾婧</v>
      </c>
      <c r="E493" s="7" t="str">
        <f t="shared" si="27"/>
        <v>女</v>
      </c>
    </row>
    <row r="494" spans="1:5" ht="30" customHeight="1">
      <c r="A494" s="7">
        <v>491</v>
      </c>
      <c r="B494" s="7" t="str">
        <f>"38662022042309163134943"</f>
        <v>38662022042309163134943</v>
      </c>
      <c r="C494" s="7" t="s">
        <v>11</v>
      </c>
      <c r="D494" s="7" t="str">
        <f>"何昌星"</f>
        <v>何昌星</v>
      </c>
      <c r="E494" s="7" t="str">
        <f>"男"</f>
        <v>男</v>
      </c>
    </row>
    <row r="495" spans="1:5" ht="30" customHeight="1">
      <c r="A495" s="7">
        <v>492</v>
      </c>
      <c r="B495" s="7" t="str">
        <f>"38662022042309202334948"</f>
        <v>38662022042309202334948</v>
      </c>
      <c r="C495" s="7" t="s">
        <v>11</v>
      </c>
      <c r="D495" s="7" t="str">
        <f>"陆洁"</f>
        <v>陆洁</v>
      </c>
      <c r="E495" s="7" t="str">
        <f aca="true" t="shared" si="28" ref="E495:E504">"女"</f>
        <v>女</v>
      </c>
    </row>
    <row r="496" spans="1:5" ht="30" customHeight="1">
      <c r="A496" s="7">
        <v>493</v>
      </c>
      <c r="B496" s="7" t="str">
        <f>"38662022042310054935006"</f>
        <v>38662022042310054935006</v>
      </c>
      <c r="C496" s="7" t="s">
        <v>11</v>
      </c>
      <c r="D496" s="7" t="str">
        <f>"王巧梅"</f>
        <v>王巧梅</v>
      </c>
      <c r="E496" s="7" t="str">
        <f t="shared" si="28"/>
        <v>女</v>
      </c>
    </row>
    <row r="497" spans="1:5" ht="30" customHeight="1">
      <c r="A497" s="7">
        <v>494</v>
      </c>
      <c r="B497" s="7" t="str">
        <f>"38662022042310061835008"</f>
        <v>38662022042310061835008</v>
      </c>
      <c r="C497" s="7" t="s">
        <v>11</v>
      </c>
      <c r="D497" s="7" t="str">
        <f>"陈莹欣"</f>
        <v>陈莹欣</v>
      </c>
      <c r="E497" s="7" t="str">
        <f t="shared" si="28"/>
        <v>女</v>
      </c>
    </row>
    <row r="498" spans="1:5" ht="30" customHeight="1">
      <c r="A498" s="7">
        <v>495</v>
      </c>
      <c r="B498" s="7" t="str">
        <f>"38662022042310354035049"</f>
        <v>38662022042310354035049</v>
      </c>
      <c r="C498" s="7" t="s">
        <v>11</v>
      </c>
      <c r="D498" s="7" t="str">
        <f>"陈颖三"</f>
        <v>陈颖三</v>
      </c>
      <c r="E498" s="7" t="str">
        <f t="shared" si="28"/>
        <v>女</v>
      </c>
    </row>
    <row r="499" spans="1:5" ht="30" customHeight="1">
      <c r="A499" s="7">
        <v>496</v>
      </c>
      <c r="B499" s="7" t="str">
        <f>"38662022042310463335060"</f>
        <v>38662022042310463335060</v>
      </c>
      <c r="C499" s="7" t="s">
        <v>11</v>
      </c>
      <c r="D499" s="7" t="str">
        <f>"黄鹤"</f>
        <v>黄鹤</v>
      </c>
      <c r="E499" s="7" t="str">
        <f t="shared" si="28"/>
        <v>女</v>
      </c>
    </row>
    <row r="500" spans="1:5" ht="30" customHeight="1">
      <c r="A500" s="7">
        <v>497</v>
      </c>
      <c r="B500" s="7" t="str">
        <f>"38662022042310571835071"</f>
        <v>38662022042310571835071</v>
      </c>
      <c r="C500" s="7" t="s">
        <v>11</v>
      </c>
      <c r="D500" s="7" t="str">
        <f>"符梦雅"</f>
        <v>符梦雅</v>
      </c>
      <c r="E500" s="7" t="str">
        <f t="shared" si="28"/>
        <v>女</v>
      </c>
    </row>
    <row r="501" spans="1:5" ht="30" customHeight="1">
      <c r="A501" s="7">
        <v>498</v>
      </c>
      <c r="B501" s="7" t="str">
        <f>"38662022042311192035107"</f>
        <v>38662022042311192035107</v>
      </c>
      <c r="C501" s="7" t="s">
        <v>11</v>
      </c>
      <c r="D501" s="7" t="str">
        <f>"黎石翠"</f>
        <v>黎石翠</v>
      </c>
      <c r="E501" s="7" t="str">
        <f t="shared" si="28"/>
        <v>女</v>
      </c>
    </row>
    <row r="502" spans="1:5" ht="30" customHeight="1">
      <c r="A502" s="7">
        <v>499</v>
      </c>
      <c r="B502" s="7" t="str">
        <f>"38662022042311331335128"</f>
        <v>38662022042311331335128</v>
      </c>
      <c r="C502" s="7" t="s">
        <v>11</v>
      </c>
      <c r="D502" s="7" t="str">
        <f>"刘茹杏"</f>
        <v>刘茹杏</v>
      </c>
      <c r="E502" s="7" t="str">
        <f t="shared" si="28"/>
        <v>女</v>
      </c>
    </row>
    <row r="503" spans="1:5" ht="30" customHeight="1">
      <c r="A503" s="7">
        <v>500</v>
      </c>
      <c r="B503" s="7" t="str">
        <f>"38662022042312461435216"</f>
        <v>38662022042312461435216</v>
      </c>
      <c r="C503" s="7" t="s">
        <v>11</v>
      </c>
      <c r="D503" s="7" t="str">
        <f>"王小兰"</f>
        <v>王小兰</v>
      </c>
      <c r="E503" s="7" t="str">
        <f t="shared" si="28"/>
        <v>女</v>
      </c>
    </row>
    <row r="504" spans="1:5" ht="30" customHeight="1">
      <c r="A504" s="7">
        <v>501</v>
      </c>
      <c r="B504" s="7" t="str">
        <f>"38662022042312521835225"</f>
        <v>38662022042312521835225</v>
      </c>
      <c r="C504" s="7" t="s">
        <v>11</v>
      </c>
      <c r="D504" s="7" t="str">
        <f>"汤小叶"</f>
        <v>汤小叶</v>
      </c>
      <c r="E504" s="7" t="str">
        <f t="shared" si="28"/>
        <v>女</v>
      </c>
    </row>
    <row r="505" spans="1:5" ht="30" customHeight="1">
      <c r="A505" s="7">
        <v>502</v>
      </c>
      <c r="B505" s="7" t="str">
        <f>"38662022042313112235250"</f>
        <v>38662022042313112235250</v>
      </c>
      <c r="C505" s="7" t="s">
        <v>11</v>
      </c>
      <c r="D505" s="7" t="str">
        <f>"谢发城"</f>
        <v>谢发城</v>
      </c>
      <c r="E505" s="7" t="str">
        <f>"男"</f>
        <v>男</v>
      </c>
    </row>
    <row r="506" spans="1:5" ht="30" customHeight="1">
      <c r="A506" s="7">
        <v>503</v>
      </c>
      <c r="B506" s="7" t="str">
        <f>"38662022042313435535282"</f>
        <v>38662022042313435535282</v>
      </c>
      <c r="C506" s="7" t="s">
        <v>11</v>
      </c>
      <c r="D506" s="7" t="str">
        <f>"林蝶"</f>
        <v>林蝶</v>
      </c>
      <c r="E506" s="7" t="str">
        <f aca="true" t="shared" si="29" ref="E506:E536">"女"</f>
        <v>女</v>
      </c>
    </row>
    <row r="507" spans="1:5" ht="30" customHeight="1">
      <c r="A507" s="7">
        <v>504</v>
      </c>
      <c r="B507" s="7" t="str">
        <f>"38662022042313503635289"</f>
        <v>38662022042313503635289</v>
      </c>
      <c r="C507" s="7" t="s">
        <v>11</v>
      </c>
      <c r="D507" s="7" t="str">
        <f>"符春欢"</f>
        <v>符春欢</v>
      </c>
      <c r="E507" s="7" t="str">
        <f t="shared" si="29"/>
        <v>女</v>
      </c>
    </row>
    <row r="508" spans="1:5" ht="30" customHeight="1">
      <c r="A508" s="7">
        <v>505</v>
      </c>
      <c r="B508" s="7" t="str">
        <f>"38662022042313521035291"</f>
        <v>38662022042313521035291</v>
      </c>
      <c r="C508" s="7" t="s">
        <v>11</v>
      </c>
      <c r="D508" s="7" t="str">
        <f>"谢琼妹"</f>
        <v>谢琼妹</v>
      </c>
      <c r="E508" s="7" t="str">
        <f t="shared" si="29"/>
        <v>女</v>
      </c>
    </row>
    <row r="509" spans="1:5" ht="30" customHeight="1">
      <c r="A509" s="7">
        <v>506</v>
      </c>
      <c r="B509" s="7" t="str">
        <f>"38662022042314361835354"</f>
        <v>38662022042314361835354</v>
      </c>
      <c r="C509" s="7" t="s">
        <v>11</v>
      </c>
      <c r="D509" s="7" t="str">
        <f>"张小玉"</f>
        <v>张小玉</v>
      </c>
      <c r="E509" s="7" t="str">
        <f t="shared" si="29"/>
        <v>女</v>
      </c>
    </row>
    <row r="510" spans="1:5" ht="30" customHeight="1">
      <c r="A510" s="7">
        <v>507</v>
      </c>
      <c r="B510" s="7" t="str">
        <f>"38662022042314492535364"</f>
        <v>38662022042314492535364</v>
      </c>
      <c r="C510" s="7" t="s">
        <v>11</v>
      </c>
      <c r="D510" s="7" t="str">
        <f>"宋凤丽"</f>
        <v>宋凤丽</v>
      </c>
      <c r="E510" s="7" t="str">
        <f t="shared" si="29"/>
        <v>女</v>
      </c>
    </row>
    <row r="511" spans="1:5" ht="30" customHeight="1">
      <c r="A511" s="7">
        <v>508</v>
      </c>
      <c r="B511" s="7" t="str">
        <f>"38662022042314495935365"</f>
        <v>38662022042314495935365</v>
      </c>
      <c r="C511" s="7" t="s">
        <v>11</v>
      </c>
      <c r="D511" s="7" t="str">
        <f>"林小强"</f>
        <v>林小强</v>
      </c>
      <c r="E511" s="7" t="str">
        <f t="shared" si="29"/>
        <v>女</v>
      </c>
    </row>
    <row r="512" spans="1:5" ht="30" customHeight="1">
      <c r="A512" s="7">
        <v>509</v>
      </c>
      <c r="B512" s="7" t="str">
        <f>"38662022042316000135481"</f>
        <v>38662022042316000135481</v>
      </c>
      <c r="C512" s="7" t="s">
        <v>11</v>
      </c>
      <c r="D512" s="7" t="str">
        <f>"蔡彩霞"</f>
        <v>蔡彩霞</v>
      </c>
      <c r="E512" s="7" t="str">
        <f t="shared" si="29"/>
        <v>女</v>
      </c>
    </row>
    <row r="513" spans="1:5" ht="30" customHeight="1">
      <c r="A513" s="7">
        <v>510</v>
      </c>
      <c r="B513" s="7" t="str">
        <f>"38662022042316345235522"</f>
        <v>38662022042316345235522</v>
      </c>
      <c r="C513" s="7" t="s">
        <v>11</v>
      </c>
      <c r="D513" s="7" t="str">
        <f>"王如花"</f>
        <v>王如花</v>
      </c>
      <c r="E513" s="7" t="str">
        <f t="shared" si="29"/>
        <v>女</v>
      </c>
    </row>
    <row r="514" spans="1:5" ht="30" customHeight="1">
      <c r="A514" s="7">
        <v>511</v>
      </c>
      <c r="B514" s="7" t="str">
        <f>"38662022042316574435559"</f>
        <v>38662022042316574435559</v>
      </c>
      <c r="C514" s="7" t="s">
        <v>11</v>
      </c>
      <c r="D514" s="7" t="str">
        <f>"陈学嘉"</f>
        <v>陈学嘉</v>
      </c>
      <c r="E514" s="7" t="str">
        <f t="shared" si="29"/>
        <v>女</v>
      </c>
    </row>
    <row r="515" spans="1:5" ht="30" customHeight="1">
      <c r="A515" s="7">
        <v>512</v>
      </c>
      <c r="B515" s="7" t="str">
        <f>"38662022042317524135618"</f>
        <v>38662022042317524135618</v>
      </c>
      <c r="C515" s="7" t="s">
        <v>11</v>
      </c>
      <c r="D515" s="7" t="str">
        <f>"蔡琼慧"</f>
        <v>蔡琼慧</v>
      </c>
      <c r="E515" s="7" t="str">
        <f t="shared" si="29"/>
        <v>女</v>
      </c>
    </row>
    <row r="516" spans="1:5" ht="30" customHeight="1">
      <c r="A516" s="7">
        <v>513</v>
      </c>
      <c r="B516" s="7" t="str">
        <f>"38662022042318104435636"</f>
        <v>38662022042318104435636</v>
      </c>
      <c r="C516" s="7" t="s">
        <v>11</v>
      </c>
      <c r="D516" s="7" t="str">
        <f>"符志茹"</f>
        <v>符志茹</v>
      </c>
      <c r="E516" s="7" t="str">
        <f t="shared" si="29"/>
        <v>女</v>
      </c>
    </row>
    <row r="517" spans="1:5" ht="30" customHeight="1">
      <c r="A517" s="7">
        <v>514</v>
      </c>
      <c r="B517" s="7" t="str">
        <f>"38662022042318231635647"</f>
        <v>38662022042318231635647</v>
      </c>
      <c r="C517" s="7" t="s">
        <v>11</v>
      </c>
      <c r="D517" s="7" t="str">
        <f>"梁二苑"</f>
        <v>梁二苑</v>
      </c>
      <c r="E517" s="7" t="str">
        <f t="shared" si="29"/>
        <v>女</v>
      </c>
    </row>
    <row r="518" spans="1:5" ht="30" customHeight="1">
      <c r="A518" s="7">
        <v>515</v>
      </c>
      <c r="B518" s="7" t="str">
        <f>"38662022042319281235699"</f>
        <v>38662022042319281235699</v>
      </c>
      <c r="C518" s="7" t="s">
        <v>11</v>
      </c>
      <c r="D518" s="7" t="str">
        <f>"吴福慧"</f>
        <v>吴福慧</v>
      </c>
      <c r="E518" s="7" t="str">
        <f t="shared" si="29"/>
        <v>女</v>
      </c>
    </row>
    <row r="519" spans="1:5" ht="30" customHeight="1">
      <c r="A519" s="7">
        <v>516</v>
      </c>
      <c r="B519" s="7" t="str">
        <f>"38662022042319281735700"</f>
        <v>38662022042319281735700</v>
      </c>
      <c r="C519" s="7" t="s">
        <v>11</v>
      </c>
      <c r="D519" s="7" t="str">
        <f>"李军联"</f>
        <v>李军联</v>
      </c>
      <c r="E519" s="7" t="str">
        <f t="shared" si="29"/>
        <v>女</v>
      </c>
    </row>
    <row r="520" spans="1:5" ht="30" customHeight="1">
      <c r="A520" s="7">
        <v>517</v>
      </c>
      <c r="B520" s="7" t="str">
        <f>"38662022042319342435704"</f>
        <v>38662022042319342435704</v>
      </c>
      <c r="C520" s="7" t="s">
        <v>11</v>
      </c>
      <c r="D520" s="7" t="str">
        <f>"王英云"</f>
        <v>王英云</v>
      </c>
      <c r="E520" s="7" t="str">
        <f t="shared" si="29"/>
        <v>女</v>
      </c>
    </row>
    <row r="521" spans="1:5" ht="30" customHeight="1">
      <c r="A521" s="7">
        <v>518</v>
      </c>
      <c r="B521" s="7" t="str">
        <f>"38662022042320065135747"</f>
        <v>38662022042320065135747</v>
      </c>
      <c r="C521" s="7" t="s">
        <v>11</v>
      </c>
      <c r="D521" s="7" t="str">
        <f>"王霜"</f>
        <v>王霜</v>
      </c>
      <c r="E521" s="7" t="str">
        <f t="shared" si="29"/>
        <v>女</v>
      </c>
    </row>
    <row r="522" spans="1:5" ht="30" customHeight="1">
      <c r="A522" s="7">
        <v>519</v>
      </c>
      <c r="B522" s="7" t="str">
        <f>"38662022042320190435760"</f>
        <v>38662022042320190435760</v>
      </c>
      <c r="C522" s="7" t="s">
        <v>11</v>
      </c>
      <c r="D522" s="7" t="str">
        <f>"洪淑"</f>
        <v>洪淑</v>
      </c>
      <c r="E522" s="7" t="str">
        <f t="shared" si="29"/>
        <v>女</v>
      </c>
    </row>
    <row r="523" spans="1:5" ht="30" customHeight="1">
      <c r="A523" s="7">
        <v>520</v>
      </c>
      <c r="B523" s="7" t="str">
        <f>"38662022042320271735776"</f>
        <v>38662022042320271735776</v>
      </c>
      <c r="C523" s="7" t="s">
        <v>11</v>
      </c>
      <c r="D523" s="7" t="str">
        <f>"杨一琦"</f>
        <v>杨一琦</v>
      </c>
      <c r="E523" s="7" t="str">
        <f t="shared" si="29"/>
        <v>女</v>
      </c>
    </row>
    <row r="524" spans="1:5" ht="30" customHeight="1">
      <c r="A524" s="7">
        <v>521</v>
      </c>
      <c r="B524" s="7" t="str">
        <f>"38662022042320443235815"</f>
        <v>38662022042320443235815</v>
      </c>
      <c r="C524" s="7" t="s">
        <v>11</v>
      </c>
      <c r="D524" s="7" t="str">
        <f>"张海韵"</f>
        <v>张海韵</v>
      </c>
      <c r="E524" s="7" t="str">
        <f t="shared" si="29"/>
        <v>女</v>
      </c>
    </row>
    <row r="525" spans="1:5" ht="30" customHeight="1">
      <c r="A525" s="7">
        <v>522</v>
      </c>
      <c r="B525" s="7" t="str">
        <f>"38662022042320530635826"</f>
        <v>38662022042320530635826</v>
      </c>
      <c r="C525" s="7" t="s">
        <v>11</v>
      </c>
      <c r="D525" s="7" t="str">
        <f>"李爱明"</f>
        <v>李爱明</v>
      </c>
      <c r="E525" s="7" t="str">
        <f t="shared" si="29"/>
        <v>女</v>
      </c>
    </row>
    <row r="526" spans="1:5" ht="30" customHeight="1">
      <c r="A526" s="7">
        <v>523</v>
      </c>
      <c r="B526" s="7" t="str">
        <f>"38662022042321152135855"</f>
        <v>38662022042321152135855</v>
      </c>
      <c r="C526" s="7" t="s">
        <v>11</v>
      </c>
      <c r="D526" s="7" t="str">
        <f>"崔芸英"</f>
        <v>崔芸英</v>
      </c>
      <c r="E526" s="7" t="str">
        <f t="shared" si="29"/>
        <v>女</v>
      </c>
    </row>
    <row r="527" spans="1:5" ht="30" customHeight="1">
      <c r="A527" s="7">
        <v>524</v>
      </c>
      <c r="B527" s="7" t="str">
        <f>"38662022042321431135913"</f>
        <v>38662022042321431135913</v>
      </c>
      <c r="C527" s="7" t="s">
        <v>11</v>
      </c>
      <c r="D527" s="7" t="str">
        <f>"符文"</f>
        <v>符文</v>
      </c>
      <c r="E527" s="7" t="str">
        <f t="shared" si="29"/>
        <v>女</v>
      </c>
    </row>
    <row r="528" spans="1:5" ht="30" customHeight="1">
      <c r="A528" s="7">
        <v>525</v>
      </c>
      <c r="B528" s="7" t="str">
        <f>"38662022042321460735920"</f>
        <v>38662022042321460735920</v>
      </c>
      <c r="C528" s="7" t="s">
        <v>11</v>
      </c>
      <c r="D528" s="7" t="str">
        <f>"黎丽丹"</f>
        <v>黎丽丹</v>
      </c>
      <c r="E528" s="7" t="str">
        <f t="shared" si="29"/>
        <v>女</v>
      </c>
    </row>
    <row r="529" spans="1:5" ht="30" customHeight="1">
      <c r="A529" s="7">
        <v>526</v>
      </c>
      <c r="B529" s="7" t="str">
        <f>"38662022042322082335946"</f>
        <v>38662022042322082335946</v>
      </c>
      <c r="C529" s="7" t="s">
        <v>11</v>
      </c>
      <c r="D529" s="7" t="str">
        <f>"王丽云"</f>
        <v>王丽云</v>
      </c>
      <c r="E529" s="7" t="str">
        <f t="shared" si="29"/>
        <v>女</v>
      </c>
    </row>
    <row r="530" spans="1:5" ht="30" customHeight="1">
      <c r="A530" s="7">
        <v>527</v>
      </c>
      <c r="B530" s="7" t="str">
        <f>"38662022042322115835953"</f>
        <v>38662022042322115835953</v>
      </c>
      <c r="C530" s="7" t="s">
        <v>11</v>
      </c>
      <c r="D530" s="7" t="str">
        <f>"何小花"</f>
        <v>何小花</v>
      </c>
      <c r="E530" s="7" t="str">
        <f t="shared" si="29"/>
        <v>女</v>
      </c>
    </row>
    <row r="531" spans="1:5" ht="30" customHeight="1">
      <c r="A531" s="7">
        <v>528</v>
      </c>
      <c r="B531" s="7" t="str">
        <f>"38662022042322121535954"</f>
        <v>38662022042322121535954</v>
      </c>
      <c r="C531" s="7" t="s">
        <v>11</v>
      </c>
      <c r="D531" s="7" t="str">
        <f>"高婕"</f>
        <v>高婕</v>
      </c>
      <c r="E531" s="7" t="str">
        <f t="shared" si="29"/>
        <v>女</v>
      </c>
    </row>
    <row r="532" spans="1:5" ht="30" customHeight="1">
      <c r="A532" s="7">
        <v>529</v>
      </c>
      <c r="B532" s="7" t="str">
        <f>"38662022042322183735966"</f>
        <v>38662022042322183735966</v>
      </c>
      <c r="C532" s="7" t="s">
        <v>11</v>
      </c>
      <c r="D532" s="7" t="str">
        <f>"陈艺灵"</f>
        <v>陈艺灵</v>
      </c>
      <c r="E532" s="7" t="str">
        <f t="shared" si="29"/>
        <v>女</v>
      </c>
    </row>
    <row r="533" spans="1:5" ht="30" customHeight="1">
      <c r="A533" s="7">
        <v>530</v>
      </c>
      <c r="B533" s="7" t="str">
        <f>"38662022042322242235975"</f>
        <v>38662022042322242235975</v>
      </c>
      <c r="C533" s="7" t="s">
        <v>11</v>
      </c>
      <c r="D533" s="7" t="str">
        <f>"谢建美"</f>
        <v>谢建美</v>
      </c>
      <c r="E533" s="7" t="str">
        <f t="shared" si="29"/>
        <v>女</v>
      </c>
    </row>
    <row r="534" spans="1:5" ht="30" customHeight="1">
      <c r="A534" s="7">
        <v>531</v>
      </c>
      <c r="B534" s="7" t="str">
        <f>"38662022042322364235999"</f>
        <v>38662022042322364235999</v>
      </c>
      <c r="C534" s="7" t="s">
        <v>11</v>
      </c>
      <c r="D534" s="7" t="str">
        <f>"江乔木"</f>
        <v>江乔木</v>
      </c>
      <c r="E534" s="7" t="str">
        <f t="shared" si="29"/>
        <v>女</v>
      </c>
    </row>
    <row r="535" spans="1:5" ht="30" customHeight="1">
      <c r="A535" s="7">
        <v>532</v>
      </c>
      <c r="B535" s="7" t="str">
        <f>"38662022042322401936009"</f>
        <v>38662022042322401936009</v>
      </c>
      <c r="C535" s="7" t="s">
        <v>11</v>
      </c>
      <c r="D535" s="7" t="str">
        <f>"王琪"</f>
        <v>王琪</v>
      </c>
      <c r="E535" s="7" t="str">
        <f t="shared" si="29"/>
        <v>女</v>
      </c>
    </row>
    <row r="536" spans="1:5" ht="30" customHeight="1">
      <c r="A536" s="7">
        <v>533</v>
      </c>
      <c r="B536" s="7" t="str">
        <f>"38662022042322502436029"</f>
        <v>38662022042322502436029</v>
      </c>
      <c r="C536" s="7" t="s">
        <v>11</v>
      </c>
      <c r="D536" s="7" t="str">
        <f>"羊菊香"</f>
        <v>羊菊香</v>
      </c>
      <c r="E536" s="7" t="str">
        <f t="shared" si="29"/>
        <v>女</v>
      </c>
    </row>
    <row r="537" spans="1:5" ht="30" customHeight="1">
      <c r="A537" s="7">
        <v>534</v>
      </c>
      <c r="B537" s="7" t="str">
        <f>"38662022042322544136035"</f>
        <v>38662022042322544136035</v>
      </c>
      <c r="C537" s="7" t="s">
        <v>11</v>
      </c>
      <c r="D537" s="7" t="str">
        <f>"杨祖得"</f>
        <v>杨祖得</v>
      </c>
      <c r="E537" s="7" t="str">
        <f>"男"</f>
        <v>男</v>
      </c>
    </row>
    <row r="538" spans="1:5" ht="30" customHeight="1">
      <c r="A538" s="7">
        <v>535</v>
      </c>
      <c r="B538" s="7" t="str">
        <f>"38662022042323032536052"</f>
        <v>38662022042323032536052</v>
      </c>
      <c r="C538" s="7" t="s">
        <v>11</v>
      </c>
      <c r="D538" s="7" t="str">
        <f>"黄朝萍"</f>
        <v>黄朝萍</v>
      </c>
      <c r="E538" s="7" t="str">
        <f aca="true" t="shared" si="30" ref="E538:E564">"女"</f>
        <v>女</v>
      </c>
    </row>
    <row r="539" spans="1:5" ht="30" customHeight="1">
      <c r="A539" s="7">
        <v>536</v>
      </c>
      <c r="B539" s="7" t="str">
        <f>"38662022042323382936086"</f>
        <v>38662022042323382936086</v>
      </c>
      <c r="C539" s="7" t="s">
        <v>11</v>
      </c>
      <c r="D539" s="7" t="str">
        <f>"吴丽婷"</f>
        <v>吴丽婷</v>
      </c>
      <c r="E539" s="7" t="str">
        <f t="shared" si="30"/>
        <v>女</v>
      </c>
    </row>
    <row r="540" spans="1:5" ht="30" customHeight="1">
      <c r="A540" s="7">
        <v>537</v>
      </c>
      <c r="B540" s="7" t="str">
        <f>"38662022042323555936104"</f>
        <v>38662022042323555936104</v>
      </c>
      <c r="C540" s="7" t="s">
        <v>11</v>
      </c>
      <c r="D540" s="7" t="str">
        <f>"刘丽秋"</f>
        <v>刘丽秋</v>
      </c>
      <c r="E540" s="7" t="str">
        <f t="shared" si="30"/>
        <v>女</v>
      </c>
    </row>
    <row r="541" spans="1:5" ht="30" customHeight="1">
      <c r="A541" s="7">
        <v>538</v>
      </c>
      <c r="B541" s="7" t="str">
        <f>"38662022042400063236113"</f>
        <v>38662022042400063236113</v>
      </c>
      <c r="C541" s="7" t="s">
        <v>11</v>
      </c>
      <c r="D541" s="7" t="str">
        <f>"杨亚萍"</f>
        <v>杨亚萍</v>
      </c>
      <c r="E541" s="7" t="str">
        <f t="shared" si="30"/>
        <v>女</v>
      </c>
    </row>
    <row r="542" spans="1:5" ht="30" customHeight="1">
      <c r="A542" s="7">
        <v>539</v>
      </c>
      <c r="B542" s="7" t="str">
        <f>"38662022042409223236289"</f>
        <v>38662022042409223236289</v>
      </c>
      <c r="C542" s="7" t="s">
        <v>11</v>
      </c>
      <c r="D542" s="7" t="str">
        <f>"钟荣艳"</f>
        <v>钟荣艳</v>
      </c>
      <c r="E542" s="7" t="str">
        <f t="shared" si="30"/>
        <v>女</v>
      </c>
    </row>
    <row r="543" spans="1:5" ht="30" customHeight="1">
      <c r="A543" s="7">
        <v>540</v>
      </c>
      <c r="B543" s="7" t="str">
        <f>"38662022042409460636339"</f>
        <v>38662022042409460636339</v>
      </c>
      <c r="C543" s="7" t="s">
        <v>11</v>
      </c>
      <c r="D543" s="7" t="str">
        <f>"叶晓洁"</f>
        <v>叶晓洁</v>
      </c>
      <c r="E543" s="7" t="str">
        <f t="shared" si="30"/>
        <v>女</v>
      </c>
    </row>
    <row r="544" spans="1:5" ht="30" customHeight="1">
      <c r="A544" s="7">
        <v>541</v>
      </c>
      <c r="B544" s="7" t="str">
        <f>"38662022042410131736396"</f>
        <v>38662022042410131736396</v>
      </c>
      <c r="C544" s="7" t="s">
        <v>11</v>
      </c>
      <c r="D544" s="7" t="str">
        <f>"郑丽凡"</f>
        <v>郑丽凡</v>
      </c>
      <c r="E544" s="7" t="str">
        <f t="shared" si="30"/>
        <v>女</v>
      </c>
    </row>
    <row r="545" spans="1:5" ht="30" customHeight="1">
      <c r="A545" s="7">
        <v>542</v>
      </c>
      <c r="B545" s="7" t="str">
        <f>"38662022042410592336484"</f>
        <v>38662022042410592336484</v>
      </c>
      <c r="C545" s="7" t="s">
        <v>11</v>
      </c>
      <c r="D545" s="7" t="str">
        <f>"肖丁雪"</f>
        <v>肖丁雪</v>
      </c>
      <c r="E545" s="7" t="str">
        <f t="shared" si="30"/>
        <v>女</v>
      </c>
    </row>
    <row r="546" spans="1:5" ht="30" customHeight="1">
      <c r="A546" s="7">
        <v>543</v>
      </c>
      <c r="B546" s="7" t="str">
        <f>"38662022042411442236577"</f>
        <v>38662022042411442236577</v>
      </c>
      <c r="C546" s="7" t="s">
        <v>11</v>
      </c>
      <c r="D546" s="7" t="str">
        <f>"李雅婷"</f>
        <v>李雅婷</v>
      </c>
      <c r="E546" s="7" t="str">
        <f t="shared" si="30"/>
        <v>女</v>
      </c>
    </row>
    <row r="547" spans="1:5" ht="30" customHeight="1">
      <c r="A547" s="7">
        <v>544</v>
      </c>
      <c r="B547" s="7" t="str">
        <f>"38662022042412085236610"</f>
        <v>38662022042412085236610</v>
      </c>
      <c r="C547" s="7" t="s">
        <v>11</v>
      </c>
      <c r="D547" s="7" t="str">
        <f>"祁符萍"</f>
        <v>祁符萍</v>
      </c>
      <c r="E547" s="7" t="str">
        <f t="shared" si="30"/>
        <v>女</v>
      </c>
    </row>
    <row r="548" spans="1:5" ht="30" customHeight="1">
      <c r="A548" s="7">
        <v>545</v>
      </c>
      <c r="B548" s="7" t="str">
        <f>"38662022042412324336641"</f>
        <v>38662022042412324336641</v>
      </c>
      <c r="C548" s="7" t="s">
        <v>11</v>
      </c>
      <c r="D548" s="7" t="str">
        <f>"韦少南"</f>
        <v>韦少南</v>
      </c>
      <c r="E548" s="7" t="str">
        <f t="shared" si="30"/>
        <v>女</v>
      </c>
    </row>
    <row r="549" spans="1:5" ht="30" customHeight="1">
      <c r="A549" s="7">
        <v>546</v>
      </c>
      <c r="B549" s="7" t="str">
        <f>"38662022042412330936646"</f>
        <v>38662022042412330936646</v>
      </c>
      <c r="C549" s="7" t="s">
        <v>11</v>
      </c>
      <c r="D549" s="7" t="str">
        <f>"王婆平"</f>
        <v>王婆平</v>
      </c>
      <c r="E549" s="7" t="str">
        <f t="shared" si="30"/>
        <v>女</v>
      </c>
    </row>
    <row r="550" spans="1:5" ht="30" customHeight="1">
      <c r="A550" s="7">
        <v>547</v>
      </c>
      <c r="B550" s="7" t="str">
        <f>"38662022042412432736663"</f>
        <v>38662022042412432736663</v>
      </c>
      <c r="C550" s="7" t="s">
        <v>11</v>
      </c>
      <c r="D550" s="7" t="str">
        <f>"王秀丽"</f>
        <v>王秀丽</v>
      </c>
      <c r="E550" s="7" t="str">
        <f t="shared" si="30"/>
        <v>女</v>
      </c>
    </row>
    <row r="551" spans="1:5" ht="30" customHeight="1">
      <c r="A551" s="7">
        <v>548</v>
      </c>
      <c r="B551" s="7" t="str">
        <f>"38662022042412565736698"</f>
        <v>38662022042412565736698</v>
      </c>
      <c r="C551" s="7" t="s">
        <v>11</v>
      </c>
      <c r="D551" s="7" t="str">
        <f>"王秋波"</f>
        <v>王秋波</v>
      </c>
      <c r="E551" s="7" t="str">
        <f t="shared" si="30"/>
        <v>女</v>
      </c>
    </row>
    <row r="552" spans="1:5" ht="30" customHeight="1">
      <c r="A552" s="7">
        <v>549</v>
      </c>
      <c r="B552" s="7" t="str">
        <f>"38662022042413114536721"</f>
        <v>38662022042413114536721</v>
      </c>
      <c r="C552" s="7" t="s">
        <v>11</v>
      </c>
      <c r="D552" s="7" t="str">
        <f>"李秀颖"</f>
        <v>李秀颖</v>
      </c>
      <c r="E552" s="7" t="str">
        <f t="shared" si="30"/>
        <v>女</v>
      </c>
    </row>
    <row r="553" spans="1:5" ht="30" customHeight="1">
      <c r="A553" s="7">
        <v>550</v>
      </c>
      <c r="B553" s="7" t="str">
        <f>"38662022042413430336759"</f>
        <v>38662022042413430336759</v>
      </c>
      <c r="C553" s="7" t="s">
        <v>11</v>
      </c>
      <c r="D553" s="7" t="str">
        <f>"杨巾巾"</f>
        <v>杨巾巾</v>
      </c>
      <c r="E553" s="7" t="str">
        <f t="shared" si="30"/>
        <v>女</v>
      </c>
    </row>
    <row r="554" spans="1:5" ht="30" customHeight="1">
      <c r="A554" s="7">
        <v>551</v>
      </c>
      <c r="B554" s="7" t="str">
        <f>"38662022042414434136825"</f>
        <v>38662022042414434136825</v>
      </c>
      <c r="C554" s="7" t="s">
        <v>11</v>
      </c>
      <c r="D554" s="7" t="str">
        <f>"马小瑞"</f>
        <v>马小瑞</v>
      </c>
      <c r="E554" s="7" t="str">
        <f t="shared" si="30"/>
        <v>女</v>
      </c>
    </row>
    <row r="555" spans="1:5" ht="30" customHeight="1">
      <c r="A555" s="7">
        <v>552</v>
      </c>
      <c r="B555" s="7" t="str">
        <f>"38662022042414505736838"</f>
        <v>38662022042414505736838</v>
      </c>
      <c r="C555" s="7" t="s">
        <v>11</v>
      </c>
      <c r="D555" s="7" t="str">
        <f>"赖美圆"</f>
        <v>赖美圆</v>
      </c>
      <c r="E555" s="7" t="str">
        <f t="shared" si="30"/>
        <v>女</v>
      </c>
    </row>
    <row r="556" spans="1:5" ht="30" customHeight="1">
      <c r="A556" s="7">
        <v>553</v>
      </c>
      <c r="B556" s="7" t="str">
        <f>"38662022042415303736915"</f>
        <v>38662022042415303736915</v>
      </c>
      <c r="C556" s="7" t="s">
        <v>11</v>
      </c>
      <c r="D556" s="7" t="str">
        <f>"胡莉芬"</f>
        <v>胡莉芬</v>
      </c>
      <c r="E556" s="7" t="str">
        <f t="shared" si="30"/>
        <v>女</v>
      </c>
    </row>
    <row r="557" spans="1:5" ht="30" customHeight="1">
      <c r="A557" s="7">
        <v>554</v>
      </c>
      <c r="B557" s="7" t="str">
        <f>"38662022042415313936918"</f>
        <v>38662022042415313936918</v>
      </c>
      <c r="C557" s="7" t="s">
        <v>11</v>
      </c>
      <c r="D557" s="7" t="str">
        <f>"马素妹"</f>
        <v>马素妹</v>
      </c>
      <c r="E557" s="7" t="str">
        <f t="shared" si="30"/>
        <v>女</v>
      </c>
    </row>
    <row r="558" spans="1:5" ht="30" customHeight="1">
      <c r="A558" s="7">
        <v>555</v>
      </c>
      <c r="B558" s="7" t="str">
        <f>"38662022042415355636926"</f>
        <v>38662022042415355636926</v>
      </c>
      <c r="C558" s="7" t="s">
        <v>11</v>
      </c>
      <c r="D558" s="7" t="str">
        <f>"黄丽君"</f>
        <v>黄丽君</v>
      </c>
      <c r="E558" s="7" t="str">
        <f t="shared" si="30"/>
        <v>女</v>
      </c>
    </row>
    <row r="559" spans="1:5" ht="30" customHeight="1">
      <c r="A559" s="7">
        <v>556</v>
      </c>
      <c r="B559" s="7" t="str">
        <f>"38662022042415453536959"</f>
        <v>38662022042415453536959</v>
      </c>
      <c r="C559" s="7" t="s">
        <v>11</v>
      </c>
      <c r="D559" s="7" t="str">
        <f>"陈金宝"</f>
        <v>陈金宝</v>
      </c>
      <c r="E559" s="7" t="str">
        <f t="shared" si="30"/>
        <v>女</v>
      </c>
    </row>
    <row r="560" spans="1:5" ht="30" customHeight="1">
      <c r="A560" s="7">
        <v>557</v>
      </c>
      <c r="B560" s="7" t="str">
        <f>"38662022042415535236984"</f>
        <v>38662022042415535236984</v>
      </c>
      <c r="C560" s="7" t="s">
        <v>11</v>
      </c>
      <c r="D560" s="7" t="str">
        <f>"罗晶"</f>
        <v>罗晶</v>
      </c>
      <c r="E560" s="7" t="str">
        <f t="shared" si="30"/>
        <v>女</v>
      </c>
    </row>
    <row r="561" spans="1:5" ht="30" customHeight="1">
      <c r="A561" s="7">
        <v>558</v>
      </c>
      <c r="B561" s="7" t="str">
        <f>"38662022042415573336993"</f>
        <v>38662022042415573336993</v>
      </c>
      <c r="C561" s="7" t="s">
        <v>11</v>
      </c>
      <c r="D561" s="7" t="str">
        <f>"王媚婷"</f>
        <v>王媚婷</v>
      </c>
      <c r="E561" s="7" t="str">
        <f t="shared" si="30"/>
        <v>女</v>
      </c>
    </row>
    <row r="562" spans="1:5" ht="30" customHeight="1">
      <c r="A562" s="7">
        <v>559</v>
      </c>
      <c r="B562" s="7" t="str">
        <f>"38662022042416094437015"</f>
        <v>38662022042416094437015</v>
      </c>
      <c r="C562" s="7" t="s">
        <v>11</v>
      </c>
      <c r="D562" s="7" t="str">
        <f>"彭金梅"</f>
        <v>彭金梅</v>
      </c>
      <c r="E562" s="7" t="str">
        <f t="shared" si="30"/>
        <v>女</v>
      </c>
    </row>
    <row r="563" spans="1:5" ht="30" customHeight="1">
      <c r="A563" s="7">
        <v>560</v>
      </c>
      <c r="B563" s="7" t="str">
        <f>"38662022042416162937029"</f>
        <v>38662022042416162937029</v>
      </c>
      <c r="C563" s="7" t="s">
        <v>11</v>
      </c>
      <c r="D563" s="7" t="str">
        <f>"夏婵"</f>
        <v>夏婵</v>
      </c>
      <c r="E563" s="7" t="str">
        <f t="shared" si="30"/>
        <v>女</v>
      </c>
    </row>
    <row r="564" spans="1:5" ht="30" customHeight="1">
      <c r="A564" s="7">
        <v>561</v>
      </c>
      <c r="B564" s="7" t="str">
        <f>"38662022042416185937033"</f>
        <v>38662022042416185937033</v>
      </c>
      <c r="C564" s="7" t="s">
        <v>11</v>
      </c>
      <c r="D564" s="7" t="str">
        <f>"符诗琪"</f>
        <v>符诗琪</v>
      </c>
      <c r="E564" s="7" t="str">
        <f t="shared" si="30"/>
        <v>女</v>
      </c>
    </row>
    <row r="565" spans="1:5" ht="30" customHeight="1">
      <c r="A565" s="7">
        <v>562</v>
      </c>
      <c r="B565" s="7" t="str">
        <f>"38662022042416413237092"</f>
        <v>38662022042416413237092</v>
      </c>
      <c r="C565" s="7" t="s">
        <v>11</v>
      </c>
      <c r="D565" s="7" t="str">
        <f>"李绪成"</f>
        <v>李绪成</v>
      </c>
      <c r="E565" s="7" t="str">
        <f>"男"</f>
        <v>男</v>
      </c>
    </row>
    <row r="566" spans="1:5" ht="30" customHeight="1">
      <c r="A566" s="7">
        <v>563</v>
      </c>
      <c r="B566" s="7" t="str">
        <f>"38662022042416553237123"</f>
        <v>38662022042416553237123</v>
      </c>
      <c r="C566" s="7" t="s">
        <v>11</v>
      </c>
      <c r="D566" s="7" t="str">
        <f>"黎秋燕"</f>
        <v>黎秋燕</v>
      </c>
      <c r="E566" s="7" t="str">
        <f aca="true" t="shared" si="31" ref="E566:E580">"女"</f>
        <v>女</v>
      </c>
    </row>
    <row r="567" spans="1:5" ht="30" customHeight="1">
      <c r="A567" s="7">
        <v>564</v>
      </c>
      <c r="B567" s="7" t="str">
        <f>"38662022042416584537129"</f>
        <v>38662022042416584537129</v>
      </c>
      <c r="C567" s="7" t="s">
        <v>11</v>
      </c>
      <c r="D567" s="7" t="str">
        <f>"吴小琦"</f>
        <v>吴小琦</v>
      </c>
      <c r="E567" s="7" t="str">
        <f t="shared" si="31"/>
        <v>女</v>
      </c>
    </row>
    <row r="568" spans="1:5" ht="30" customHeight="1">
      <c r="A568" s="7">
        <v>565</v>
      </c>
      <c r="B568" s="7" t="str">
        <f>"38662022042417115037154"</f>
        <v>38662022042417115037154</v>
      </c>
      <c r="C568" s="7" t="s">
        <v>11</v>
      </c>
      <c r="D568" s="7" t="str">
        <f>"吴艳萍"</f>
        <v>吴艳萍</v>
      </c>
      <c r="E568" s="7" t="str">
        <f t="shared" si="31"/>
        <v>女</v>
      </c>
    </row>
    <row r="569" spans="1:5" ht="30" customHeight="1">
      <c r="A569" s="7">
        <v>566</v>
      </c>
      <c r="B569" s="7" t="str">
        <f>"38662022042417494537209"</f>
        <v>38662022042417494537209</v>
      </c>
      <c r="C569" s="7" t="s">
        <v>11</v>
      </c>
      <c r="D569" s="7" t="str">
        <f>"谢珊瑚"</f>
        <v>谢珊瑚</v>
      </c>
      <c r="E569" s="7" t="str">
        <f t="shared" si="31"/>
        <v>女</v>
      </c>
    </row>
    <row r="570" spans="1:5" ht="30" customHeight="1">
      <c r="A570" s="7">
        <v>567</v>
      </c>
      <c r="B570" s="7" t="str">
        <f>"38662022042417553837223"</f>
        <v>38662022042417553837223</v>
      </c>
      <c r="C570" s="7" t="s">
        <v>11</v>
      </c>
      <c r="D570" s="7" t="str">
        <f>"蒙娇"</f>
        <v>蒙娇</v>
      </c>
      <c r="E570" s="7" t="str">
        <f t="shared" si="31"/>
        <v>女</v>
      </c>
    </row>
    <row r="571" spans="1:5" ht="30" customHeight="1">
      <c r="A571" s="7">
        <v>568</v>
      </c>
      <c r="B571" s="7" t="str">
        <f>"38662022042418015337234"</f>
        <v>38662022042418015337234</v>
      </c>
      <c r="C571" s="7" t="s">
        <v>11</v>
      </c>
      <c r="D571" s="7" t="str">
        <f>"陈送玲"</f>
        <v>陈送玲</v>
      </c>
      <c r="E571" s="7" t="str">
        <f t="shared" si="31"/>
        <v>女</v>
      </c>
    </row>
    <row r="572" spans="1:5" ht="30" customHeight="1">
      <c r="A572" s="7">
        <v>569</v>
      </c>
      <c r="B572" s="7" t="str">
        <f>"38662022042418030737236"</f>
        <v>38662022042418030737236</v>
      </c>
      <c r="C572" s="7" t="s">
        <v>11</v>
      </c>
      <c r="D572" s="7" t="str">
        <f>"李珑"</f>
        <v>李珑</v>
      </c>
      <c r="E572" s="7" t="str">
        <f t="shared" si="31"/>
        <v>女</v>
      </c>
    </row>
    <row r="573" spans="1:5" ht="30" customHeight="1">
      <c r="A573" s="7">
        <v>570</v>
      </c>
      <c r="B573" s="7" t="str">
        <f>"38662022042418054837241"</f>
        <v>38662022042418054837241</v>
      </c>
      <c r="C573" s="7" t="s">
        <v>11</v>
      </c>
      <c r="D573" s="7" t="str">
        <f>"钟海莉"</f>
        <v>钟海莉</v>
      </c>
      <c r="E573" s="7" t="str">
        <f t="shared" si="31"/>
        <v>女</v>
      </c>
    </row>
    <row r="574" spans="1:5" ht="30" customHeight="1">
      <c r="A574" s="7">
        <v>571</v>
      </c>
      <c r="B574" s="7" t="str">
        <f>"38662022042418065637243"</f>
        <v>38662022042418065637243</v>
      </c>
      <c r="C574" s="7" t="s">
        <v>11</v>
      </c>
      <c r="D574" s="7" t="str">
        <f>"陈小雪"</f>
        <v>陈小雪</v>
      </c>
      <c r="E574" s="7" t="str">
        <f t="shared" si="31"/>
        <v>女</v>
      </c>
    </row>
    <row r="575" spans="1:5" ht="30" customHeight="1">
      <c r="A575" s="7">
        <v>572</v>
      </c>
      <c r="B575" s="7" t="str">
        <f>"38662022042418114737251"</f>
        <v>38662022042418114737251</v>
      </c>
      <c r="C575" s="7" t="s">
        <v>11</v>
      </c>
      <c r="D575" s="7" t="str">
        <f>"方其财"</f>
        <v>方其财</v>
      </c>
      <c r="E575" s="7" t="str">
        <f t="shared" si="31"/>
        <v>女</v>
      </c>
    </row>
    <row r="576" spans="1:5" ht="30" customHeight="1">
      <c r="A576" s="7">
        <v>573</v>
      </c>
      <c r="B576" s="7" t="str">
        <f>"38662022042418364937284"</f>
        <v>38662022042418364937284</v>
      </c>
      <c r="C576" s="7" t="s">
        <v>11</v>
      </c>
      <c r="D576" s="7" t="str">
        <f>"符美晶"</f>
        <v>符美晶</v>
      </c>
      <c r="E576" s="7" t="str">
        <f t="shared" si="31"/>
        <v>女</v>
      </c>
    </row>
    <row r="577" spans="1:5" ht="30" customHeight="1">
      <c r="A577" s="7">
        <v>574</v>
      </c>
      <c r="B577" s="7" t="str">
        <f>"38662022042418402237294"</f>
        <v>38662022042418402237294</v>
      </c>
      <c r="C577" s="7" t="s">
        <v>11</v>
      </c>
      <c r="D577" s="7" t="str">
        <f>"王梦"</f>
        <v>王梦</v>
      </c>
      <c r="E577" s="7" t="str">
        <f t="shared" si="31"/>
        <v>女</v>
      </c>
    </row>
    <row r="578" spans="1:5" ht="30" customHeight="1">
      <c r="A578" s="7">
        <v>575</v>
      </c>
      <c r="B578" s="7" t="str">
        <f>"38662022042418554737315"</f>
        <v>38662022042418554737315</v>
      </c>
      <c r="C578" s="7" t="s">
        <v>11</v>
      </c>
      <c r="D578" s="7" t="str">
        <f>"曹义琴"</f>
        <v>曹义琴</v>
      </c>
      <c r="E578" s="7" t="str">
        <f t="shared" si="31"/>
        <v>女</v>
      </c>
    </row>
    <row r="579" spans="1:5" ht="30" customHeight="1">
      <c r="A579" s="7">
        <v>576</v>
      </c>
      <c r="B579" s="7" t="str">
        <f>"38662022042419093637330"</f>
        <v>38662022042419093637330</v>
      </c>
      <c r="C579" s="7" t="s">
        <v>11</v>
      </c>
      <c r="D579" s="7" t="str">
        <f>"陈楠"</f>
        <v>陈楠</v>
      </c>
      <c r="E579" s="7" t="str">
        <f t="shared" si="31"/>
        <v>女</v>
      </c>
    </row>
    <row r="580" spans="1:5" ht="30" customHeight="1">
      <c r="A580" s="7">
        <v>577</v>
      </c>
      <c r="B580" s="7" t="str">
        <f>"38662022042420201037430"</f>
        <v>38662022042420201037430</v>
      </c>
      <c r="C580" s="7" t="s">
        <v>11</v>
      </c>
      <c r="D580" s="7" t="str">
        <f>"符少巧"</f>
        <v>符少巧</v>
      </c>
      <c r="E580" s="7" t="str">
        <f t="shared" si="31"/>
        <v>女</v>
      </c>
    </row>
    <row r="581" spans="1:5" ht="30" customHeight="1">
      <c r="A581" s="7">
        <v>578</v>
      </c>
      <c r="B581" s="7" t="str">
        <f>"38662022042420293837445"</f>
        <v>38662022042420293837445</v>
      </c>
      <c r="C581" s="7" t="s">
        <v>11</v>
      </c>
      <c r="D581" s="7" t="str">
        <f>"何铭洪"</f>
        <v>何铭洪</v>
      </c>
      <c r="E581" s="7" t="str">
        <f>"男"</f>
        <v>男</v>
      </c>
    </row>
    <row r="582" spans="1:5" ht="30" customHeight="1">
      <c r="A582" s="7">
        <v>579</v>
      </c>
      <c r="B582" s="7" t="str">
        <f>"38662022042420554137491"</f>
        <v>38662022042420554137491</v>
      </c>
      <c r="C582" s="7" t="s">
        <v>11</v>
      </c>
      <c r="D582" s="7" t="str">
        <f>"符慧慧"</f>
        <v>符慧慧</v>
      </c>
      <c r="E582" s="7" t="str">
        <f aca="true" t="shared" si="32" ref="E582:E597">"女"</f>
        <v>女</v>
      </c>
    </row>
    <row r="583" spans="1:5" ht="30" customHeight="1">
      <c r="A583" s="7">
        <v>580</v>
      </c>
      <c r="B583" s="7" t="str">
        <f>"38662022042421230137544"</f>
        <v>38662022042421230137544</v>
      </c>
      <c r="C583" s="7" t="s">
        <v>11</v>
      </c>
      <c r="D583" s="7" t="str">
        <f>"李小丽"</f>
        <v>李小丽</v>
      </c>
      <c r="E583" s="7" t="str">
        <f t="shared" si="32"/>
        <v>女</v>
      </c>
    </row>
    <row r="584" spans="1:5" ht="30" customHeight="1">
      <c r="A584" s="7">
        <v>581</v>
      </c>
      <c r="B584" s="7" t="str">
        <f>"38662022042421402737565"</f>
        <v>38662022042421402737565</v>
      </c>
      <c r="C584" s="7" t="s">
        <v>11</v>
      </c>
      <c r="D584" s="7" t="str">
        <f>"薛振婉"</f>
        <v>薛振婉</v>
      </c>
      <c r="E584" s="7" t="str">
        <f t="shared" si="32"/>
        <v>女</v>
      </c>
    </row>
    <row r="585" spans="1:5" ht="30" customHeight="1">
      <c r="A585" s="7">
        <v>582</v>
      </c>
      <c r="B585" s="7" t="str">
        <f>"38662022042421514037581"</f>
        <v>38662022042421514037581</v>
      </c>
      <c r="C585" s="7" t="s">
        <v>11</v>
      </c>
      <c r="D585" s="7" t="str">
        <f>"冯艳青"</f>
        <v>冯艳青</v>
      </c>
      <c r="E585" s="7" t="str">
        <f t="shared" si="32"/>
        <v>女</v>
      </c>
    </row>
    <row r="586" spans="1:5" ht="30" customHeight="1">
      <c r="A586" s="7">
        <v>583</v>
      </c>
      <c r="B586" s="7" t="str">
        <f>"38662022042421531637586"</f>
        <v>38662022042421531637586</v>
      </c>
      <c r="C586" s="7" t="s">
        <v>11</v>
      </c>
      <c r="D586" s="7" t="str">
        <f>"陈霏"</f>
        <v>陈霏</v>
      </c>
      <c r="E586" s="7" t="str">
        <f t="shared" si="32"/>
        <v>女</v>
      </c>
    </row>
    <row r="587" spans="1:5" ht="30" customHeight="1">
      <c r="A587" s="7">
        <v>584</v>
      </c>
      <c r="B587" s="7" t="str">
        <f>"38662022042422414737662"</f>
        <v>38662022042422414737662</v>
      </c>
      <c r="C587" s="7" t="s">
        <v>11</v>
      </c>
      <c r="D587" s="7" t="str">
        <f>"吴家园"</f>
        <v>吴家园</v>
      </c>
      <c r="E587" s="7" t="str">
        <f t="shared" si="32"/>
        <v>女</v>
      </c>
    </row>
    <row r="588" spans="1:5" ht="30" customHeight="1">
      <c r="A588" s="7">
        <v>585</v>
      </c>
      <c r="B588" s="7" t="str">
        <f>"38662022042423081137706"</f>
        <v>38662022042423081137706</v>
      </c>
      <c r="C588" s="7" t="s">
        <v>11</v>
      </c>
      <c r="D588" s="7" t="str">
        <f>"苏春秀"</f>
        <v>苏春秀</v>
      </c>
      <c r="E588" s="7" t="str">
        <f t="shared" si="32"/>
        <v>女</v>
      </c>
    </row>
    <row r="589" spans="1:5" ht="30" customHeight="1">
      <c r="A589" s="7">
        <v>586</v>
      </c>
      <c r="B589" s="7" t="str">
        <f>"38662022042423162837715"</f>
        <v>38662022042423162837715</v>
      </c>
      <c r="C589" s="7" t="s">
        <v>11</v>
      </c>
      <c r="D589" s="7" t="str">
        <f>"陈会清"</f>
        <v>陈会清</v>
      </c>
      <c r="E589" s="7" t="str">
        <f t="shared" si="32"/>
        <v>女</v>
      </c>
    </row>
    <row r="590" spans="1:5" ht="30" customHeight="1">
      <c r="A590" s="7">
        <v>587</v>
      </c>
      <c r="B590" s="7" t="str">
        <f>"38662022042423484137744"</f>
        <v>38662022042423484137744</v>
      </c>
      <c r="C590" s="7" t="s">
        <v>11</v>
      </c>
      <c r="D590" s="7" t="str">
        <f>"王小妹"</f>
        <v>王小妹</v>
      </c>
      <c r="E590" s="7" t="str">
        <f t="shared" si="32"/>
        <v>女</v>
      </c>
    </row>
    <row r="591" spans="1:5" ht="30" customHeight="1">
      <c r="A591" s="7">
        <v>588</v>
      </c>
      <c r="B591" s="7" t="str">
        <f>"38662022042501262937778"</f>
        <v>38662022042501262937778</v>
      </c>
      <c r="C591" s="7" t="s">
        <v>11</v>
      </c>
      <c r="D591" s="7" t="str">
        <f>"吴玉妹"</f>
        <v>吴玉妹</v>
      </c>
      <c r="E591" s="7" t="str">
        <f t="shared" si="32"/>
        <v>女</v>
      </c>
    </row>
    <row r="592" spans="1:5" ht="30" customHeight="1">
      <c r="A592" s="7">
        <v>589</v>
      </c>
      <c r="B592" s="7" t="str">
        <f>"38662022042509512037925"</f>
        <v>38662022042509512037925</v>
      </c>
      <c r="C592" s="7" t="s">
        <v>11</v>
      </c>
      <c r="D592" s="7" t="str">
        <f>"梁晓晨"</f>
        <v>梁晓晨</v>
      </c>
      <c r="E592" s="7" t="str">
        <f t="shared" si="32"/>
        <v>女</v>
      </c>
    </row>
    <row r="593" spans="1:5" ht="30" customHeight="1">
      <c r="A593" s="7">
        <v>590</v>
      </c>
      <c r="B593" s="7" t="str">
        <f>"38662022042509572837935"</f>
        <v>38662022042509572837935</v>
      </c>
      <c r="C593" s="7" t="s">
        <v>11</v>
      </c>
      <c r="D593" s="7" t="str">
        <f>"邱春丽"</f>
        <v>邱春丽</v>
      </c>
      <c r="E593" s="7" t="str">
        <f t="shared" si="32"/>
        <v>女</v>
      </c>
    </row>
    <row r="594" spans="1:5" ht="30" customHeight="1">
      <c r="A594" s="7">
        <v>591</v>
      </c>
      <c r="B594" s="7" t="str">
        <f>"38662022042511015438071"</f>
        <v>38662022042511015438071</v>
      </c>
      <c r="C594" s="7" t="s">
        <v>11</v>
      </c>
      <c r="D594" s="7" t="str">
        <f>"符阳春"</f>
        <v>符阳春</v>
      </c>
      <c r="E594" s="7" t="str">
        <f t="shared" si="32"/>
        <v>女</v>
      </c>
    </row>
    <row r="595" spans="1:5" ht="30" customHeight="1">
      <c r="A595" s="7">
        <v>592</v>
      </c>
      <c r="B595" s="7" t="str">
        <f>"38662022042511371138127"</f>
        <v>38662022042511371138127</v>
      </c>
      <c r="C595" s="7" t="s">
        <v>11</v>
      </c>
      <c r="D595" s="7" t="str">
        <f>"谢春梁"</f>
        <v>谢春梁</v>
      </c>
      <c r="E595" s="7" t="str">
        <f t="shared" si="32"/>
        <v>女</v>
      </c>
    </row>
    <row r="596" spans="1:5" ht="30" customHeight="1">
      <c r="A596" s="7">
        <v>593</v>
      </c>
      <c r="B596" s="7" t="str">
        <f>"38662022042511454938132"</f>
        <v>38662022042511454938132</v>
      </c>
      <c r="C596" s="7" t="s">
        <v>11</v>
      </c>
      <c r="D596" s="7" t="str">
        <f>"吴带竹"</f>
        <v>吴带竹</v>
      </c>
      <c r="E596" s="7" t="str">
        <f t="shared" si="32"/>
        <v>女</v>
      </c>
    </row>
    <row r="597" spans="1:5" ht="30" customHeight="1">
      <c r="A597" s="7">
        <v>594</v>
      </c>
      <c r="B597" s="7" t="str">
        <f>"38662022042512254838168"</f>
        <v>38662022042512254838168</v>
      </c>
      <c r="C597" s="7" t="s">
        <v>11</v>
      </c>
      <c r="D597" s="7" t="str">
        <f>"钟珍梅"</f>
        <v>钟珍梅</v>
      </c>
      <c r="E597" s="7" t="str">
        <f t="shared" si="32"/>
        <v>女</v>
      </c>
    </row>
    <row r="598" spans="1:5" ht="30" customHeight="1">
      <c r="A598" s="7">
        <v>595</v>
      </c>
      <c r="B598" s="7" t="str">
        <f>"38662022042514140838265"</f>
        <v>38662022042514140838265</v>
      </c>
      <c r="C598" s="7" t="s">
        <v>11</v>
      </c>
      <c r="D598" s="7" t="str">
        <f>"何长清"</f>
        <v>何长清</v>
      </c>
      <c r="E598" s="7" t="str">
        <f>"男"</f>
        <v>男</v>
      </c>
    </row>
    <row r="599" spans="1:5" ht="30" customHeight="1">
      <c r="A599" s="7">
        <v>596</v>
      </c>
      <c r="B599" s="7" t="str">
        <f>"38662022042514222338273"</f>
        <v>38662022042514222338273</v>
      </c>
      <c r="C599" s="7" t="s">
        <v>11</v>
      </c>
      <c r="D599" s="7" t="str">
        <f>"陈娟"</f>
        <v>陈娟</v>
      </c>
      <c r="E599" s="7" t="str">
        <f aca="true" t="shared" si="33" ref="E599:E608">"女"</f>
        <v>女</v>
      </c>
    </row>
    <row r="600" spans="1:5" ht="30" customHeight="1">
      <c r="A600" s="7">
        <v>597</v>
      </c>
      <c r="B600" s="7" t="str">
        <f>"38662022042516015538449"</f>
        <v>38662022042516015538449</v>
      </c>
      <c r="C600" s="7" t="s">
        <v>11</v>
      </c>
      <c r="D600" s="7" t="str">
        <f>"欧鸿源"</f>
        <v>欧鸿源</v>
      </c>
      <c r="E600" s="7" t="str">
        <f t="shared" si="33"/>
        <v>女</v>
      </c>
    </row>
    <row r="601" spans="1:5" ht="30" customHeight="1">
      <c r="A601" s="7">
        <v>598</v>
      </c>
      <c r="B601" s="7" t="str">
        <f>"38662022042516160738467"</f>
        <v>38662022042516160738467</v>
      </c>
      <c r="C601" s="7" t="s">
        <v>11</v>
      </c>
      <c r="D601" s="7" t="str">
        <f>"谢娇艳"</f>
        <v>谢娇艳</v>
      </c>
      <c r="E601" s="7" t="str">
        <f t="shared" si="33"/>
        <v>女</v>
      </c>
    </row>
    <row r="602" spans="1:5" ht="30" customHeight="1">
      <c r="A602" s="7">
        <v>599</v>
      </c>
      <c r="B602" s="7" t="str">
        <f>"38662022042517064338546"</f>
        <v>38662022042517064338546</v>
      </c>
      <c r="C602" s="7" t="s">
        <v>11</v>
      </c>
      <c r="D602" s="7" t="str">
        <f>"周园"</f>
        <v>周园</v>
      </c>
      <c r="E602" s="7" t="str">
        <f t="shared" si="33"/>
        <v>女</v>
      </c>
    </row>
    <row r="603" spans="1:5" ht="30" customHeight="1">
      <c r="A603" s="7">
        <v>600</v>
      </c>
      <c r="B603" s="7" t="str">
        <f>"38662022042517443438598"</f>
        <v>38662022042517443438598</v>
      </c>
      <c r="C603" s="7" t="s">
        <v>11</v>
      </c>
      <c r="D603" s="7" t="str">
        <f>"李秋妹"</f>
        <v>李秋妹</v>
      </c>
      <c r="E603" s="7" t="str">
        <f t="shared" si="33"/>
        <v>女</v>
      </c>
    </row>
    <row r="604" spans="1:5" ht="30" customHeight="1">
      <c r="A604" s="7">
        <v>601</v>
      </c>
      <c r="B604" s="7" t="str">
        <f>"38662022042518060138618"</f>
        <v>38662022042518060138618</v>
      </c>
      <c r="C604" s="7" t="s">
        <v>11</v>
      </c>
      <c r="D604" s="7" t="str">
        <f>"陈云仙"</f>
        <v>陈云仙</v>
      </c>
      <c r="E604" s="7" t="str">
        <f t="shared" si="33"/>
        <v>女</v>
      </c>
    </row>
    <row r="605" spans="1:5" ht="30" customHeight="1">
      <c r="A605" s="7">
        <v>602</v>
      </c>
      <c r="B605" s="7" t="str">
        <f>"38662022042518594038681"</f>
        <v>38662022042518594038681</v>
      </c>
      <c r="C605" s="7" t="s">
        <v>11</v>
      </c>
      <c r="D605" s="7" t="str">
        <f>"李慧伦"</f>
        <v>李慧伦</v>
      </c>
      <c r="E605" s="7" t="str">
        <f t="shared" si="33"/>
        <v>女</v>
      </c>
    </row>
    <row r="606" spans="1:5" ht="30" customHeight="1">
      <c r="A606" s="7">
        <v>603</v>
      </c>
      <c r="B606" s="7" t="str">
        <f>"38662022042519560538733"</f>
        <v>38662022042519560538733</v>
      </c>
      <c r="C606" s="7" t="s">
        <v>11</v>
      </c>
      <c r="D606" s="7" t="str">
        <f>"陈小曼"</f>
        <v>陈小曼</v>
      </c>
      <c r="E606" s="7" t="str">
        <f t="shared" si="33"/>
        <v>女</v>
      </c>
    </row>
    <row r="607" spans="1:5" ht="30" customHeight="1">
      <c r="A607" s="7">
        <v>604</v>
      </c>
      <c r="B607" s="7" t="str">
        <f>"38662022042521322138861"</f>
        <v>38662022042521322138861</v>
      </c>
      <c r="C607" s="7" t="s">
        <v>11</v>
      </c>
      <c r="D607" s="7" t="str">
        <f>"桂小送"</f>
        <v>桂小送</v>
      </c>
      <c r="E607" s="7" t="str">
        <f t="shared" si="33"/>
        <v>女</v>
      </c>
    </row>
    <row r="608" spans="1:5" ht="30" customHeight="1">
      <c r="A608" s="7">
        <v>605</v>
      </c>
      <c r="B608" s="7" t="str">
        <f>"38662022042522152838930"</f>
        <v>38662022042522152838930</v>
      </c>
      <c r="C608" s="7" t="s">
        <v>11</v>
      </c>
      <c r="D608" s="7" t="str">
        <f>"郑月敏"</f>
        <v>郑月敏</v>
      </c>
      <c r="E608" s="7" t="str">
        <f t="shared" si="33"/>
        <v>女</v>
      </c>
    </row>
    <row r="609" spans="1:5" ht="30" customHeight="1">
      <c r="A609" s="7">
        <v>606</v>
      </c>
      <c r="B609" s="7" t="str">
        <f>"38662022042522283438950"</f>
        <v>38662022042522283438950</v>
      </c>
      <c r="C609" s="7" t="s">
        <v>11</v>
      </c>
      <c r="D609" s="7" t="str">
        <f>"郑家锦"</f>
        <v>郑家锦</v>
      </c>
      <c r="E609" s="7" t="str">
        <f>"男"</f>
        <v>男</v>
      </c>
    </row>
    <row r="610" spans="1:5" ht="30" customHeight="1">
      <c r="A610" s="7">
        <v>607</v>
      </c>
      <c r="B610" s="7" t="str">
        <f>"38662022042522514838983"</f>
        <v>38662022042522514838983</v>
      </c>
      <c r="C610" s="7" t="s">
        <v>11</v>
      </c>
      <c r="D610" s="7" t="str">
        <f>"孟海岸"</f>
        <v>孟海岸</v>
      </c>
      <c r="E610" s="7" t="str">
        <f aca="true" t="shared" si="34" ref="E610:E634">"女"</f>
        <v>女</v>
      </c>
    </row>
    <row r="611" spans="1:5" ht="30" customHeight="1">
      <c r="A611" s="7">
        <v>608</v>
      </c>
      <c r="B611" s="7" t="str">
        <f>"38662022042522553038989"</f>
        <v>38662022042522553038989</v>
      </c>
      <c r="C611" s="7" t="s">
        <v>11</v>
      </c>
      <c r="D611" s="7" t="str">
        <f>"黎带桃"</f>
        <v>黎带桃</v>
      </c>
      <c r="E611" s="7" t="str">
        <f t="shared" si="34"/>
        <v>女</v>
      </c>
    </row>
    <row r="612" spans="1:5" ht="30" customHeight="1">
      <c r="A612" s="7">
        <v>609</v>
      </c>
      <c r="B612" s="7" t="str">
        <f>"38662022042523054939002"</f>
        <v>38662022042523054939002</v>
      </c>
      <c r="C612" s="7" t="s">
        <v>11</v>
      </c>
      <c r="D612" s="7" t="str">
        <f>"王茜"</f>
        <v>王茜</v>
      </c>
      <c r="E612" s="7" t="str">
        <f t="shared" si="34"/>
        <v>女</v>
      </c>
    </row>
    <row r="613" spans="1:5" ht="30" customHeight="1">
      <c r="A613" s="7">
        <v>610</v>
      </c>
      <c r="B613" s="7" t="str">
        <f>"38662022042523061339004"</f>
        <v>38662022042523061339004</v>
      </c>
      <c r="C613" s="7" t="s">
        <v>11</v>
      </c>
      <c r="D613" s="7" t="str">
        <f>"李益带"</f>
        <v>李益带</v>
      </c>
      <c r="E613" s="7" t="str">
        <f t="shared" si="34"/>
        <v>女</v>
      </c>
    </row>
    <row r="614" spans="1:5" ht="30" customHeight="1">
      <c r="A614" s="7">
        <v>611</v>
      </c>
      <c r="B614" s="7" t="str">
        <f>"38662022042608422239146"</f>
        <v>38662022042608422239146</v>
      </c>
      <c r="C614" s="7" t="s">
        <v>11</v>
      </c>
      <c r="D614" s="7" t="str">
        <f>"黄秋敏"</f>
        <v>黄秋敏</v>
      </c>
      <c r="E614" s="7" t="str">
        <f t="shared" si="34"/>
        <v>女</v>
      </c>
    </row>
    <row r="615" spans="1:5" ht="30" customHeight="1">
      <c r="A615" s="7">
        <v>612</v>
      </c>
      <c r="B615" s="7" t="str">
        <f>"38662022042609271439211"</f>
        <v>38662022042609271439211</v>
      </c>
      <c r="C615" s="7" t="s">
        <v>11</v>
      </c>
      <c r="D615" s="7" t="str">
        <f>"何小娜"</f>
        <v>何小娜</v>
      </c>
      <c r="E615" s="7" t="str">
        <f t="shared" si="34"/>
        <v>女</v>
      </c>
    </row>
    <row r="616" spans="1:5" ht="30" customHeight="1">
      <c r="A616" s="7">
        <v>613</v>
      </c>
      <c r="B616" s="7" t="str">
        <f>"38662022042609582139257"</f>
        <v>38662022042609582139257</v>
      </c>
      <c r="C616" s="7" t="s">
        <v>11</v>
      </c>
      <c r="D616" s="7" t="str">
        <f>"黎和翠"</f>
        <v>黎和翠</v>
      </c>
      <c r="E616" s="7" t="str">
        <f t="shared" si="34"/>
        <v>女</v>
      </c>
    </row>
    <row r="617" spans="1:5" ht="30" customHeight="1">
      <c r="A617" s="7">
        <v>614</v>
      </c>
      <c r="B617" s="7" t="str">
        <f>"38662022042611194939377"</f>
        <v>38662022042611194939377</v>
      </c>
      <c r="C617" s="7" t="s">
        <v>11</v>
      </c>
      <c r="D617" s="7" t="str">
        <f>"潘诗婷"</f>
        <v>潘诗婷</v>
      </c>
      <c r="E617" s="7" t="str">
        <f t="shared" si="34"/>
        <v>女</v>
      </c>
    </row>
    <row r="618" spans="1:5" ht="30" customHeight="1">
      <c r="A618" s="7">
        <v>615</v>
      </c>
      <c r="B618" s="7" t="str">
        <f>"38662022042612033739437"</f>
        <v>38662022042612033739437</v>
      </c>
      <c r="C618" s="7" t="s">
        <v>11</v>
      </c>
      <c r="D618" s="7" t="str">
        <f>"王少环"</f>
        <v>王少环</v>
      </c>
      <c r="E618" s="7" t="str">
        <f t="shared" si="34"/>
        <v>女</v>
      </c>
    </row>
    <row r="619" spans="1:5" ht="30" customHeight="1">
      <c r="A619" s="7">
        <v>616</v>
      </c>
      <c r="B619" s="7" t="str">
        <f>"38662022042614171739582"</f>
        <v>38662022042614171739582</v>
      </c>
      <c r="C619" s="7" t="s">
        <v>11</v>
      </c>
      <c r="D619" s="7" t="str">
        <f>"羊汐"</f>
        <v>羊汐</v>
      </c>
      <c r="E619" s="7" t="str">
        <f t="shared" si="34"/>
        <v>女</v>
      </c>
    </row>
    <row r="620" spans="1:5" ht="30" customHeight="1">
      <c r="A620" s="7">
        <v>617</v>
      </c>
      <c r="B620" s="7" t="str">
        <f>"38662022042614425339600"</f>
        <v>38662022042614425339600</v>
      </c>
      <c r="C620" s="7" t="s">
        <v>11</v>
      </c>
      <c r="D620" s="7" t="str">
        <f>"李璐"</f>
        <v>李璐</v>
      </c>
      <c r="E620" s="7" t="str">
        <f t="shared" si="34"/>
        <v>女</v>
      </c>
    </row>
    <row r="621" spans="1:5" ht="30" customHeight="1">
      <c r="A621" s="7">
        <v>618</v>
      </c>
      <c r="B621" s="7" t="str">
        <f>"38662022042614430739601"</f>
        <v>38662022042614430739601</v>
      </c>
      <c r="C621" s="7" t="s">
        <v>11</v>
      </c>
      <c r="D621" s="7" t="str">
        <f>"张妮"</f>
        <v>张妮</v>
      </c>
      <c r="E621" s="7" t="str">
        <f t="shared" si="34"/>
        <v>女</v>
      </c>
    </row>
    <row r="622" spans="1:5" ht="30" customHeight="1">
      <c r="A622" s="7">
        <v>619</v>
      </c>
      <c r="B622" s="7" t="str">
        <f>"38662022042615171539666"</f>
        <v>38662022042615171539666</v>
      </c>
      <c r="C622" s="7" t="s">
        <v>11</v>
      </c>
      <c r="D622" s="7" t="str">
        <f>"符美萍"</f>
        <v>符美萍</v>
      </c>
      <c r="E622" s="7" t="str">
        <f t="shared" si="34"/>
        <v>女</v>
      </c>
    </row>
    <row r="623" spans="1:5" ht="30" customHeight="1">
      <c r="A623" s="7">
        <v>620</v>
      </c>
      <c r="B623" s="7" t="str">
        <f>"38662022042615213839682"</f>
        <v>38662022042615213839682</v>
      </c>
      <c r="C623" s="7" t="s">
        <v>11</v>
      </c>
      <c r="D623" s="7" t="str">
        <f>"黎仁莎"</f>
        <v>黎仁莎</v>
      </c>
      <c r="E623" s="7" t="str">
        <f t="shared" si="34"/>
        <v>女</v>
      </c>
    </row>
    <row r="624" spans="1:5" ht="30" customHeight="1">
      <c r="A624" s="7">
        <v>621</v>
      </c>
      <c r="B624" s="7" t="str">
        <f>"38662022042616104939771"</f>
        <v>38662022042616104939771</v>
      </c>
      <c r="C624" s="7" t="s">
        <v>11</v>
      </c>
      <c r="D624" s="7" t="str">
        <f>"符小丽"</f>
        <v>符小丽</v>
      </c>
      <c r="E624" s="7" t="str">
        <f t="shared" si="34"/>
        <v>女</v>
      </c>
    </row>
    <row r="625" spans="1:5" ht="30" customHeight="1">
      <c r="A625" s="7">
        <v>622</v>
      </c>
      <c r="B625" s="7" t="str">
        <f>"38662022042616291739813"</f>
        <v>38662022042616291739813</v>
      </c>
      <c r="C625" s="7" t="s">
        <v>11</v>
      </c>
      <c r="D625" s="7" t="str">
        <f>"周文君"</f>
        <v>周文君</v>
      </c>
      <c r="E625" s="7" t="str">
        <f t="shared" si="34"/>
        <v>女</v>
      </c>
    </row>
    <row r="626" spans="1:5" ht="30" customHeight="1">
      <c r="A626" s="7">
        <v>623</v>
      </c>
      <c r="B626" s="7" t="str">
        <f>"38662022042616345739825"</f>
        <v>38662022042616345739825</v>
      </c>
      <c r="C626" s="7" t="s">
        <v>11</v>
      </c>
      <c r="D626" s="7" t="str">
        <f>"王凤丹"</f>
        <v>王凤丹</v>
      </c>
      <c r="E626" s="7" t="str">
        <f t="shared" si="34"/>
        <v>女</v>
      </c>
    </row>
    <row r="627" spans="1:5" ht="30" customHeight="1">
      <c r="A627" s="7">
        <v>624</v>
      </c>
      <c r="B627" s="7" t="str">
        <f>"38662022042618353039992"</f>
        <v>38662022042618353039992</v>
      </c>
      <c r="C627" s="7" t="s">
        <v>11</v>
      </c>
      <c r="D627" s="7" t="str">
        <f>"冯家欣"</f>
        <v>冯家欣</v>
      </c>
      <c r="E627" s="7" t="str">
        <f t="shared" si="34"/>
        <v>女</v>
      </c>
    </row>
    <row r="628" spans="1:5" ht="30" customHeight="1">
      <c r="A628" s="7">
        <v>625</v>
      </c>
      <c r="B628" s="7" t="str">
        <f>"38662022042618353739994"</f>
        <v>38662022042618353739994</v>
      </c>
      <c r="C628" s="7" t="s">
        <v>11</v>
      </c>
      <c r="D628" s="7" t="str">
        <f>"陈丹"</f>
        <v>陈丹</v>
      </c>
      <c r="E628" s="7" t="str">
        <f t="shared" si="34"/>
        <v>女</v>
      </c>
    </row>
    <row r="629" spans="1:5" ht="30" customHeight="1">
      <c r="A629" s="7">
        <v>626</v>
      </c>
      <c r="B629" s="7" t="str">
        <f>"38662022042618565040018"</f>
        <v>38662022042618565040018</v>
      </c>
      <c r="C629" s="7" t="s">
        <v>11</v>
      </c>
      <c r="D629" s="7" t="str">
        <f>"王赛"</f>
        <v>王赛</v>
      </c>
      <c r="E629" s="7" t="str">
        <f t="shared" si="34"/>
        <v>女</v>
      </c>
    </row>
    <row r="630" spans="1:5" ht="30" customHeight="1">
      <c r="A630" s="7">
        <v>627</v>
      </c>
      <c r="B630" s="7" t="str">
        <f>"38662022042618582640020"</f>
        <v>38662022042618582640020</v>
      </c>
      <c r="C630" s="7" t="s">
        <v>11</v>
      </c>
      <c r="D630" s="7" t="str">
        <f>"吴金桃"</f>
        <v>吴金桃</v>
      </c>
      <c r="E630" s="7" t="str">
        <f t="shared" si="34"/>
        <v>女</v>
      </c>
    </row>
    <row r="631" spans="1:5" ht="30" customHeight="1">
      <c r="A631" s="7">
        <v>628</v>
      </c>
      <c r="B631" s="7" t="str">
        <f>"38662022042619144240031"</f>
        <v>38662022042619144240031</v>
      </c>
      <c r="C631" s="7" t="s">
        <v>11</v>
      </c>
      <c r="D631" s="7" t="str">
        <f>"符少花"</f>
        <v>符少花</v>
      </c>
      <c r="E631" s="7" t="str">
        <f t="shared" si="34"/>
        <v>女</v>
      </c>
    </row>
    <row r="632" spans="1:5" ht="30" customHeight="1">
      <c r="A632" s="7">
        <v>629</v>
      </c>
      <c r="B632" s="7" t="str">
        <f>"38662022042619430440067"</f>
        <v>38662022042619430440067</v>
      </c>
      <c r="C632" s="7" t="s">
        <v>11</v>
      </c>
      <c r="D632" s="7" t="str">
        <f>"陈肖婷"</f>
        <v>陈肖婷</v>
      </c>
      <c r="E632" s="7" t="str">
        <f t="shared" si="34"/>
        <v>女</v>
      </c>
    </row>
    <row r="633" spans="1:5" ht="30" customHeight="1">
      <c r="A633" s="7">
        <v>630</v>
      </c>
      <c r="B633" s="7" t="str">
        <f>"38662022042619440440068"</f>
        <v>38662022042619440440068</v>
      </c>
      <c r="C633" s="7" t="s">
        <v>11</v>
      </c>
      <c r="D633" s="7" t="str">
        <f>"王亚茹"</f>
        <v>王亚茹</v>
      </c>
      <c r="E633" s="7" t="str">
        <f t="shared" si="34"/>
        <v>女</v>
      </c>
    </row>
    <row r="634" spans="1:5" ht="30" customHeight="1">
      <c r="A634" s="7">
        <v>631</v>
      </c>
      <c r="B634" s="7" t="str">
        <f>"38662022042619485840075"</f>
        <v>38662022042619485840075</v>
      </c>
      <c r="C634" s="7" t="s">
        <v>11</v>
      </c>
      <c r="D634" s="7" t="str">
        <f>"李天爱"</f>
        <v>李天爱</v>
      </c>
      <c r="E634" s="7" t="str">
        <f t="shared" si="34"/>
        <v>女</v>
      </c>
    </row>
    <row r="635" spans="1:5" ht="30" customHeight="1">
      <c r="A635" s="7">
        <v>632</v>
      </c>
      <c r="B635" s="7" t="str">
        <f>"38662022042619521340077"</f>
        <v>38662022042619521340077</v>
      </c>
      <c r="C635" s="7" t="s">
        <v>11</v>
      </c>
      <c r="D635" s="7" t="str">
        <f>"石翠文"</f>
        <v>石翠文</v>
      </c>
      <c r="E635" s="7" t="str">
        <f>"男"</f>
        <v>男</v>
      </c>
    </row>
    <row r="636" spans="1:5" ht="30" customHeight="1">
      <c r="A636" s="7">
        <v>633</v>
      </c>
      <c r="B636" s="7" t="str">
        <f>"38662022042620013240090"</f>
        <v>38662022042620013240090</v>
      </c>
      <c r="C636" s="7" t="s">
        <v>11</v>
      </c>
      <c r="D636" s="7" t="str">
        <f>"吴挺川"</f>
        <v>吴挺川</v>
      </c>
      <c r="E636" s="7" t="str">
        <f>"男"</f>
        <v>男</v>
      </c>
    </row>
    <row r="637" spans="1:5" ht="30" customHeight="1">
      <c r="A637" s="7">
        <v>634</v>
      </c>
      <c r="B637" s="7" t="str">
        <f>"38662022042620225640126"</f>
        <v>38662022042620225640126</v>
      </c>
      <c r="C637" s="7" t="s">
        <v>11</v>
      </c>
      <c r="D637" s="7" t="str">
        <f>"宋婷婷"</f>
        <v>宋婷婷</v>
      </c>
      <c r="E637" s="7" t="str">
        <f aca="true" t="shared" si="35" ref="E637:E640">"女"</f>
        <v>女</v>
      </c>
    </row>
    <row r="638" spans="1:5" ht="30" customHeight="1">
      <c r="A638" s="7">
        <v>635</v>
      </c>
      <c r="B638" s="7" t="str">
        <f>"38662022042620263040134"</f>
        <v>38662022042620263040134</v>
      </c>
      <c r="C638" s="7" t="s">
        <v>11</v>
      </c>
      <c r="D638" s="7" t="str">
        <f>"王兴玲"</f>
        <v>王兴玲</v>
      </c>
      <c r="E638" s="7" t="str">
        <f t="shared" si="35"/>
        <v>女</v>
      </c>
    </row>
    <row r="639" spans="1:5" ht="30" customHeight="1">
      <c r="A639" s="7">
        <v>636</v>
      </c>
      <c r="B639" s="7" t="str">
        <f>"38662022042620325840145"</f>
        <v>38662022042620325840145</v>
      </c>
      <c r="C639" s="7" t="s">
        <v>11</v>
      </c>
      <c r="D639" s="7" t="str">
        <f>"蔡敏儿"</f>
        <v>蔡敏儿</v>
      </c>
      <c r="E639" s="7" t="str">
        <f t="shared" si="35"/>
        <v>女</v>
      </c>
    </row>
    <row r="640" spans="1:5" ht="30" customHeight="1">
      <c r="A640" s="7">
        <v>637</v>
      </c>
      <c r="B640" s="7" t="str">
        <f>"38662022042620472440166"</f>
        <v>38662022042620472440166</v>
      </c>
      <c r="C640" s="7" t="s">
        <v>11</v>
      </c>
      <c r="D640" s="7" t="str">
        <f>"吴晓莹"</f>
        <v>吴晓莹</v>
      </c>
      <c r="E640" s="7" t="str">
        <f t="shared" si="35"/>
        <v>女</v>
      </c>
    </row>
    <row r="641" spans="1:5" ht="30" customHeight="1">
      <c r="A641" s="7">
        <v>638</v>
      </c>
      <c r="B641" s="7" t="str">
        <f>"38662022042621081340207"</f>
        <v>38662022042621081340207</v>
      </c>
      <c r="C641" s="7" t="s">
        <v>11</v>
      </c>
      <c r="D641" s="7" t="str">
        <f>"赵晓明"</f>
        <v>赵晓明</v>
      </c>
      <c r="E641" s="7" t="str">
        <f>"男"</f>
        <v>男</v>
      </c>
    </row>
    <row r="642" spans="1:5" ht="30" customHeight="1">
      <c r="A642" s="7">
        <v>639</v>
      </c>
      <c r="B642" s="7" t="str">
        <f>"38662022042621161640220"</f>
        <v>38662022042621161640220</v>
      </c>
      <c r="C642" s="7" t="s">
        <v>11</v>
      </c>
      <c r="D642" s="7" t="str">
        <f>"孔海娇"</f>
        <v>孔海娇</v>
      </c>
      <c r="E642" s="7" t="str">
        <f aca="true" t="shared" si="36" ref="E642:E650">"女"</f>
        <v>女</v>
      </c>
    </row>
    <row r="643" spans="1:5" ht="30" customHeight="1">
      <c r="A643" s="7">
        <v>640</v>
      </c>
      <c r="B643" s="7" t="str">
        <f>"38662022042621414440261"</f>
        <v>38662022042621414440261</v>
      </c>
      <c r="C643" s="7" t="s">
        <v>11</v>
      </c>
      <c r="D643" s="7" t="str">
        <f>"张琼丹"</f>
        <v>张琼丹</v>
      </c>
      <c r="E643" s="7" t="str">
        <f t="shared" si="36"/>
        <v>女</v>
      </c>
    </row>
    <row r="644" spans="1:5" ht="30" customHeight="1">
      <c r="A644" s="7">
        <v>641</v>
      </c>
      <c r="B644" s="7" t="str">
        <f>"38662022042621450340268"</f>
        <v>38662022042621450340268</v>
      </c>
      <c r="C644" s="7" t="s">
        <v>11</v>
      </c>
      <c r="D644" s="7" t="str">
        <f>"李芳蔷"</f>
        <v>李芳蔷</v>
      </c>
      <c r="E644" s="7" t="str">
        <f t="shared" si="36"/>
        <v>女</v>
      </c>
    </row>
    <row r="645" spans="1:5" ht="30" customHeight="1">
      <c r="A645" s="7">
        <v>642</v>
      </c>
      <c r="B645" s="7" t="str">
        <f>"38662022042622341140350"</f>
        <v>38662022042622341140350</v>
      </c>
      <c r="C645" s="7" t="s">
        <v>11</v>
      </c>
      <c r="D645" s="7" t="str">
        <f>"李伊果"</f>
        <v>李伊果</v>
      </c>
      <c r="E645" s="7" t="str">
        <f t="shared" si="36"/>
        <v>女</v>
      </c>
    </row>
    <row r="646" spans="1:5" ht="30" customHeight="1">
      <c r="A646" s="7">
        <v>643</v>
      </c>
      <c r="B646" s="7" t="str">
        <f>"38662022042622395940358"</f>
        <v>38662022042622395940358</v>
      </c>
      <c r="C646" s="7" t="s">
        <v>11</v>
      </c>
      <c r="D646" s="7" t="str">
        <f>"黎福桃"</f>
        <v>黎福桃</v>
      </c>
      <c r="E646" s="7" t="str">
        <f t="shared" si="36"/>
        <v>女</v>
      </c>
    </row>
    <row r="647" spans="1:5" ht="30" customHeight="1">
      <c r="A647" s="7">
        <v>644</v>
      </c>
      <c r="B647" s="7" t="str">
        <f>"38662022042622451940368"</f>
        <v>38662022042622451940368</v>
      </c>
      <c r="C647" s="7" t="s">
        <v>11</v>
      </c>
      <c r="D647" s="7" t="str">
        <f>"蔡爱芳"</f>
        <v>蔡爱芳</v>
      </c>
      <c r="E647" s="7" t="str">
        <f t="shared" si="36"/>
        <v>女</v>
      </c>
    </row>
    <row r="648" spans="1:5" ht="30" customHeight="1">
      <c r="A648" s="7">
        <v>645</v>
      </c>
      <c r="B648" s="7" t="str">
        <f>"38662022042622593840396"</f>
        <v>38662022042622593840396</v>
      </c>
      <c r="C648" s="7" t="s">
        <v>11</v>
      </c>
      <c r="D648" s="7" t="str">
        <f>"林春羽"</f>
        <v>林春羽</v>
      </c>
      <c r="E648" s="7" t="str">
        <f t="shared" si="36"/>
        <v>女</v>
      </c>
    </row>
    <row r="649" spans="1:5" ht="30" customHeight="1">
      <c r="A649" s="7">
        <v>646</v>
      </c>
      <c r="B649" s="7" t="str">
        <f>"38662022042623104840420"</f>
        <v>38662022042623104840420</v>
      </c>
      <c r="C649" s="7" t="s">
        <v>11</v>
      </c>
      <c r="D649" s="7" t="str">
        <f>"钟文玲"</f>
        <v>钟文玲</v>
      </c>
      <c r="E649" s="7" t="str">
        <f t="shared" si="36"/>
        <v>女</v>
      </c>
    </row>
    <row r="650" spans="1:5" ht="30" customHeight="1">
      <c r="A650" s="7">
        <v>647</v>
      </c>
      <c r="B650" s="7" t="str">
        <f>"38662022042702032640535"</f>
        <v>38662022042702032640535</v>
      </c>
      <c r="C650" s="7" t="s">
        <v>11</v>
      </c>
      <c r="D650" s="7" t="str">
        <f>"李江静"</f>
        <v>李江静</v>
      </c>
      <c r="E650" s="7" t="str">
        <f t="shared" si="36"/>
        <v>女</v>
      </c>
    </row>
    <row r="651" spans="1:5" ht="30" customHeight="1">
      <c r="A651" s="7">
        <v>648</v>
      </c>
      <c r="B651" s="7" t="str">
        <f>"38662022042708373440610"</f>
        <v>38662022042708373440610</v>
      </c>
      <c r="C651" s="7" t="s">
        <v>11</v>
      </c>
      <c r="D651" s="7" t="str">
        <f>"张熙"</f>
        <v>张熙</v>
      </c>
      <c r="E651" s="7" t="str">
        <f>"男"</f>
        <v>男</v>
      </c>
    </row>
    <row r="652" spans="1:5" ht="30" customHeight="1">
      <c r="A652" s="7">
        <v>649</v>
      </c>
      <c r="B652" s="7" t="str">
        <f>"38662022042708395340613"</f>
        <v>38662022042708395340613</v>
      </c>
      <c r="C652" s="7" t="s">
        <v>11</v>
      </c>
      <c r="D652" s="7" t="str">
        <f>"蒙博珍"</f>
        <v>蒙博珍</v>
      </c>
      <c r="E652" s="7" t="str">
        <f aca="true" t="shared" si="37" ref="E652:E677">"女"</f>
        <v>女</v>
      </c>
    </row>
    <row r="653" spans="1:5" ht="30" customHeight="1">
      <c r="A653" s="7">
        <v>650</v>
      </c>
      <c r="B653" s="7" t="str">
        <f>"38662022042709062640751"</f>
        <v>38662022042709062640751</v>
      </c>
      <c r="C653" s="7" t="s">
        <v>11</v>
      </c>
      <c r="D653" s="7" t="str">
        <f>"卢施芬"</f>
        <v>卢施芬</v>
      </c>
      <c r="E653" s="7" t="str">
        <f t="shared" si="37"/>
        <v>女</v>
      </c>
    </row>
    <row r="654" spans="1:5" ht="30" customHeight="1">
      <c r="A654" s="7">
        <v>651</v>
      </c>
      <c r="B654" s="7" t="str">
        <f>"38662022042709121540842"</f>
        <v>38662022042709121540842</v>
      </c>
      <c r="C654" s="7" t="s">
        <v>11</v>
      </c>
      <c r="D654" s="7" t="str">
        <f>"罗婷婷"</f>
        <v>罗婷婷</v>
      </c>
      <c r="E654" s="7" t="str">
        <f t="shared" si="37"/>
        <v>女</v>
      </c>
    </row>
    <row r="655" spans="1:5" ht="30" customHeight="1">
      <c r="A655" s="7">
        <v>652</v>
      </c>
      <c r="B655" s="7" t="str">
        <f>"38662022042710361541832"</f>
        <v>38662022042710361541832</v>
      </c>
      <c r="C655" s="7" t="s">
        <v>11</v>
      </c>
      <c r="D655" s="7" t="str">
        <f>"林莉红"</f>
        <v>林莉红</v>
      </c>
      <c r="E655" s="7" t="str">
        <f t="shared" si="37"/>
        <v>女</v>
      </c>
    </row>
    <row r="656" spans="1:5" ht="30" customHeight="1">
      <c r="A656" s="7">
        <v>653</v>
      </c>
      <c r="B656" s="7" t="str">
        <f>"38662022042711053242133"</f>
        <v>38662022042711053242133</v>
      </c>
      <c r="C656" s="7" t="s">
        <v>11</v>
      </c>
      <c r="D656" s="7" t="str">
        <f>"陈丽萍"</f>
        <v>陈丽萍</v>
      </c>
      <c r="E656" s="7" t="str">
        <f t="shared" si="37"/>
        <v>女</v>
      </c>
    </row>
    <row r="657" spans="1:5" ht="30" customHeight="1">
      <c r="A657" s="7">
        <v>654</v>
      </c>
      <c r="B657" s="7" t="str">
        <f>"38662022042711110042186"</f>
        <v>38662022042711110042186</v>
      </c>
      <c r="C657" s="7" t="s">
        <v>11</v>
      </c>
      <c r="D657" s="7" t="str">
        <f>"刘小清"</f>
        <v>刘小清</v>
      </c>
      <c r="E657" s="7" t="str">
        <f t="shared" si="37"/>
        <v>女</v>
      </c>
    </row>
    <row r="658" spans="1:5" ht="30" customHeight="1">
      <c r="A658" s="7">
        <v>655</v>
      </c>
      <c r="B658" s="7" t="str">
        <f>"38662022042711253642297"</f>
        <v>38662022042711253642297</v>
      </c>
      <c r="C658" s="7" t="s">
        <v>11</v>
      </c>
      <c r="D658" s="7" t="str">
        <f>"陈欢欢"</f>
        <v>陈欢欢</v>
      </c>
      <c r="E658" s="7" t="str">
        <f t="shared" si="37"/>
        <v>女</v>
      </c>
    </row>
    <row r="659" spans="1:5" ht="30" customHeight="1">
      <c r="A659" s="7">
        <v>656</v>
      </c>
      <c r="B659" s="7" t="str">
        <f>"38662022042712081942586"</f>
        <v>38662022042712081942586</v>
      </c>
      <c r="C659" s="7" t="s">
        <v>11</v>
      </c>
      <c r="D659" s="7" t="str">
        <f>"周芬"</f>
        <v>周芬</v>
      </c>
      <c r="E659" s="7" t="str">
        <f t="shared" si="37"/>
        <v>女</v>
      </c>
    </row>
    <row r="660" spans="1:5" ht="30" customHeight="1">
      <c r="A660" s="7">
        <v>657</v>
      </c>
      <c r="B660" s="7" t="str">
        <f>"38662022042712290942715"</f>
        <v>38662022042712290942715</v>
      </c>
      <c r="C660" s="7" t="s">
        <v>11</v>
      </c>
      <c r="D660" s="7" t="str">
        <f>"许爱琴"</f>
        <v>许爱琴</v>
      </c>
      <c r="E660" s="7" t="str">
        <f t="shared" si="37"/>
        <v>女</v>
      </c>
    </row>
    <row r="661" spans="1:5" ht="30" customHeight="1">
      <c r="A661" s="7">
        <v>658</v>
      </c>
      <c r="B661" s="7" t="str">
        <f>"38662022042712585242916"</f>
        <v>38662022042712585242916</v>
      </c>
      <c r="C661" s="7" t="s">
        <v>11</v>
      </c>
      <c r="D661" s="7" t="str">
        <f>"罗夏萍"</f>
        <v>罗夏萍</v>
      </c>
      <c r="E661" s="7" t="str">
        <f t="shared" si="37"/>
        <v>女</v>
      </c>
    </row>
    <row r="662" spans="1:5" ht="30" customHeight="1">
      <c r="A662" s="7">
        <v>659</v>
      </c>
      <c r="B662" s="7" t="str">
        <f>"38662022042713112343005"</f>
        <v>38662022042713112343005</v>
      </c>
      <c r="C662" s="7" t="s">
        <v>11</v>
      </c>
      <c r="D662" s="7" t="str">
        <f>"钟经美"</f>
        <v>钟经美</v>
      </c>
      <c r="E662" s="7" t="str">
        <f t="shared" si="37"/>
        <v>女</v>
      </c>
    </row>
    <row r="663" spans="1:5" ht="30" customHeight="1">
      <c r="A663" s="7">
        <v>660</v>
      </c>
      <c r="B663" s="7" t="str">
        <f>"38662022042713312243123"</f>
        <v>38662022042713312243123</v>
      </c>
      <c r="C663" s="7" t="s">
        <v>11</v>
      </c>
      <c r="D663" s="7" t="str">
        <f>"蔡日兰"</f>
        <v>蔡日兰</v>
      </c>
      <c r="E663" s="7" t="str">
        <f t="shared" si="37"/>
        <v>女</v>
      </c>
    </row>
    <row r="664" spans="1:5" ht="30" customHeight="1">
      <c r="A664" s="7">
        <v>661</v>
      </c>
      <c r="B664" s="7" t="str">
        <f>"38662022042713464443210"</f>
        <v>38662022042713464443210</v>
      </c>
      <c r="C664" s="7" t="s">
        <v>11</v>
      </c>
      <c r="D664" s="7" t="str">
        <f>"陈碧娇"</f>
        <v>陈碧娇</v>
      </c>
      <c r="E664" s="7" t="str">
        <f t="shared" si="37"/>
        <v>女</v>
      </c>
    </row>
    <row r="665" spans="1:5" ht="30" customHeight="1">
      <c r="A665" s="7">
        <v>662</v>
      </c>
      <c r="B665" s="7" t="str">
        <f>"38662022042714034343293"</f>
        <v>38662022042714034343293</v>
      </c>
      <c r="C665" s="7" t="s">
        <v>11</v>
      </c>
      <c r="D665" s="7" t="str">
        <f>"何艺娟"</f>
        <v>何艺娟</v>
      </c>
      <c r="E665" s="7" t="str">
        <f t="shared" si="37"/>
        <v>女</v>
      </c>
    </row>
    <row r="666" spans="1:5" ht="30" customHeight="1">
      <c r="A666" s="7">
        <v>663</v>
      </c>
      <c r="B666" s="7" t="str">
        <f>"38662022042714192043379"</f>
        <v>38662022042714192043379</v>
      </c>
      <c r="C666" s="7" t="s">
        <v>11</v>
      </c>
      <c r="D666" s="7" t="str">
        <f>"关雯靖"</f>
        <v>关雯靖</v>
      </c>
      <c r="E666" s="7" t="str">
        <f t="shared" si="37"/>
        <v>女</v>
      </c>
    </row>
    <row r="667" spans="1:5" ht="30" customHeight="1">
      <c r="A667" s="7">
        <v>664</v>
      </c>
      <c r="B667" s="7" t="str">
        <f>"38662022042714512643591"</f>
        <v>38662022042714512643591</v>
      </c>
      <c r="C667" s="7" t="s">
        <v>11</v>
      </c>
      <c r="D667" s="7" t="str">
        <f>"李慧"</f>
        <v>李慧</v>
      </c>
      <c r="E667" s="7" t="str">
        <f t="shared" si="37"/>
        <v>女</v>
      </c>
    </row>
    <row r="668" spans="1:5" ht="30" customHeight="1">
      <c r="A668" s="7">
        <v>665</v>
      </c>
      <c r="B668" s="7" t="str">
        <f>"38662022042715165643748"</f>
        <v>38662022042715165643748</v>
      </c>
      <c r="C668" s="7" t="s">
        <v>11</v>
      </c>
      <c r="D668" s="7" t="str">
        <f>"廖丽云"</f>
        <v>廖丽云</v>
      </c>
      <c r="E668" s="7" t="str">
        <f t="shared" si="37"/>
        <v>女</v>
      </c>
    </row>
    <row r="669" spans="1:5" ht="30" customHeight="1">
      <c r="A669" s="7">
        <v>666</v>
      </c>
      <c r="B669" s="7" t="str">
        <f>"38662022042715233643796"</f>
        <v>38662022042715233643796</v>
      </c>
      <c r="C669" s="7" t="s">
        <v>11</v>
      </c>
      <c r="D669" s="7" t="str">
        <f>"姚冬燕"</f>
        <v>姚冬燕</v>
      </c>
      <c r="E669" s="7" t="str">
        <f t="shared" si="37"/>
        <v>女</v>
      </c>
    </row>
    <row r="670" spans="1:5" ht="30" customHeight="1">
      <c r="A670" s="7">
        <v>667</v>
      </c>
      <c r="B670" s="7" t="str">
        <f>"38662022042715451143926"</f>
        <v>38662022042715451143926</v>
      </c>
      <c r="C670" s="7" t="s">
        <v>11</v>
      </c>
      <c r="D670" s="7" t="str">
        <f>"刘小娟"</f>
        <v>刘小娟</v>
      </c>
      <c r="E670" s="7" t="str">
        <f t="shared" si="37"/>
        <v>女</v>
      </c>
    </row>
    <row r="671" spans="1:5" ht="30" customHeight="1">
      <c r="A671" s="7">
        <v>668</v>
      </c>
      <c r="B671" s="7" t="str">
        <f>"38662022042716205344137"</f>
        <v>38662022042716205344137</v>
      </c>
      <c r="C671" s="7" t="s">
        <v>11</v>
      </c>
      <c r="D671" s="7" t="str">
        <f>"符亚恋"</f>
        <v>符亚恋</v>
      </c>
      <c r="E671" s="7" t="str">
        <f t="shared" si="37"/>
        <v>女</v>
      </c>
    </row>
    <row r="672" spans="1:5" ht="30" customHeight="1">
      <c r="A672" s="7">
        <v>669</v>
      </c>
      <c r="B672" s="7" t="str">
        <f>"38662022042109150525069"</f>
        <v>38662022042109150525069</v>
      </c>
      <c r="C672" s="7" t="s">
        <v>12</v>
      </c>
      <c r="D672" s="7" t="str">
        <f>"苏小妹"</f>
        <v>苏小妹</v>
      </c>
      <c r="E672" s="7" t="str">
        <f t="shared" si="37"/>
        <v>女</v>
      </c>
    </row>
    <row r="673" spans="1:5" ht="30" customHeight="1">
      <c r="A673" s="7">
        <v>670</v>
      </c>
      <c r="B673" s="7" t="str">
        <f>"38662022042109192225116"</f>
        <v>38662022042109192225116</v>
      </c>
      <c r="C673" s="7" t="s">
        <v>12</v>
      </c>
      <c r="D673" s="7" t="str">
        <f>"朱妹"</f>
        <v>朱妹</v>
      </c>
      <c r="E673" s="7" t="str">
        <f t="shared" si="37"/>
        <v>女</v>
      </c>
    </row>
    <row r="674" spans="1:5" ht="30" customHeight="1">
      <c r="A674" s="7">
        <v>671</v>
      </c>
      <c r="B674" s="7" t="str">
        <f>"38662022042109505825498"</f>
        <v>38662022042109505825498</v>
      </c>
      <c r="C674" s="7" t="s">
        <v>12</v>
      </c>
      <c r="D674" s="7" t="str">
        <f>"周雯"</f>
        <v>周雯</v>
      </c>
      <c r="E674" s="7" t="str">
        <f t="shared" si="37"/>
        <v>女</v>
      </c>
    </row>
    <row r="675" spans="1:5" ht="30" customHeight="1">
      <c r="A675" s="7">
        <v>672</v>
      </c>
      <c r="B675" s="7" t="str">
        <f>"38662022042109512325505"</f>
        <v>38662022042109512325505</v>
      </c>
      <c r="C675" s="7" t="s">
        <v>12</v>
      </c>
      <c r="D675" s="7" t="str">
        <f>"鞠虹"</f>
        <v>鞠虹</v>
      </c>
      <c r="E675" s="7" t="str">
        <f t="shared" si="37"/>
        <v>女</v>
      </c>
    </row>
    <row r="676" spans="1:5" ht="30" customHeight="1">
      <c r="A676" s="7">
        <v>673</v>
      </c>
      <c r="B676" s="7" t="str">
        <f>"38662022042109550525562"</f>
        <v>38662022042109550525562</v>
      </c>
      <c r="C676" s="7" t="s">
        <v>12</v>
      </c>
      <c r="D676" s="7" t="str">
        <f>"梁红"</f>
        <v>梁红</v>
      </c>
      <c r="E676" s="7" t="str">
        <f t="shared" si="37"/>
        <v>女</v>
      </c>
    </row>
    <row r="677" spans="1:5" ht="30" customHeight="1">
      <c r="A677" s="7">
        <v>674</v>
      </c>
      <c r="B677" s="7" t="str">
        <f>"38662022042110185425868"</f>
        <v>38662022042110185425868</v>
      </c>
      <c r="C677" s="7" t="s">
        <v>12</v>
      </c>
      <c r="D677" s="7" t="str">
        <f>"符青丽"</f>
        <v>符青丽</v>
      </c>
      <c r="E677" s="7" t="str">
        <f t="shared" si="37"/>
        <v>女</v>
      </c>
    </row>
    <row r="678" spans="1:5" ht="30" customHeight="1">
      <c r="A678" s="7">
        <v>675</v>
      </c>
      <c r="B678" s="7" t="str">
        <f>"38662022042110251725952"</f>
        <v>38662022042110251725952</v>
      </c>
      <c r="C678" s="7" t="s">
        <v>12</v>
      </c>
      <c r="D678" s="7" t="str">
        <f>"符执豪"</f>
        <v>符执豪</v>
      </c>
      <c r="E678" s="7" t="str">
        <f>"男"</f>
        <v>男</v>
      </c>
    </row>
    <row r="679" spans="1:5" ht="30" customHeight="1">
      <c r="A679" s="7">
        <v>676</v>
      </c>
      <c r="B679" s="7" t="str">
        <f>"38662022042110263625967"</f>
        <v>38662022042110263625967</v>
      </c>
      <c r="C679" s="7" t="s">
        <v>12</v>
      </c>
      <c r="D679" s="7" t="str">
        <f>"唐壮玲"</f>
        <v>唐壮玲</v>
      </c>
      <c r="E679" s="7" t="str">
        <f aca="true" t="shared" si="38" ref="E679:E698">"女"</f>
        <v>女</v>
      </c>
    </row>
    <row r="680" spans="1:5" ht="30" customHeight="1">
      <c r="A680" s="7">
        <v>677</v>
      </c>
      <c r="B680" s="7" t="str">
        <f>"38662022042110524526295"</f>
        <v>38662022042110524526295</v>
      </c>
      <c r="C680" s="7" t="s">
        <v>12</v>
      </c>
      <c r="D680" s="7" t="str">
        <f>"吴欢"</f>
        <v>吴欢</v>
      </c>
      <c r="E680" s="7" t="str">
        <f t="shared" si="38"/>
        <v>女</v>
      </c>
    </row>
    <row r="681" spans="1:5" ht="30" customHeight="1">
      <c r="A681" s="7">
        <v>678</v>
      </c>
      <c r="B681" s="7" t="str">
        <f>"38662022042111370726703"</f>
        <v>38662022042111370726703</v>
      </c>
      <c r="C681" s="7" t="s">
        <v>12</v>
      </c>
      <c r="D681" s="7" t="str">
        <f>"李相"</f>
        <v>李相</v>
      </c>
      <c r="E681" s="7" t="str">
        <f t="shared" si="38"/>
        <v>女</v>
      </c>
    </row>
    <row r="682" spans="1:5" ht="30" customHeight="1">
      <c r="A682" s="7">
        <v>679</v>
      </c>
      <c r="B682" s="7" t="str">
        <f>"38662022042112272727072"</f>
        <v>38662022042112272727072</v>
      </c>
      <c r="C682" s="7" t="s">
        <v>12</v>
      </c>
      <c r="D682" s="7" t="str">
        <f>"陈秀萍"</f>
        <v>陈秀萍</v>
      </c>
      <c r="E682" s="7" t="str">
        <f t="shared" si="38"/>
        <v>女</v>
      </c>
    </row>
    <row r="683" spans="1:5" ht="30" customHeight="1">
      <c r="A683" s="7">
        <v>680</v>
      </c>
      <c r="B683" s="7" t="str">
        <f>"38662022042112340227129"</f>
        <v>38662022042112340227129</v>
      </c>
      <c r="C683" s="7" t="s">
        <v>12</v>
      </c>
      <c r="D683" s="7" t="str">
        <f>"林慧焜"</f>
        <v>林慧焜</v>
      </c>
      <c r="E683" s="7" t="str">
        <f t="shared" si="38"/>
        <v>女</v>
      </c>
    </row>
    <row r="684" spans="1:5" ht="30" customHeight="1">
      <c r="A684" s="7">
        <v>681</v>
      </c>
      <c r="B684" s="7" t="str">
        <f>"38662022042114210527669"</f>
        <v>38662022042114210527669</v>
      </c>
      <c r="C684" s="7" t="s">
        <v>12</v>
      </c>
      <c r="D684" s="7" t="str">
        <f>"李莎"</f>
        <v>李莎</v>
      </c>
      <c r="E684" s="7" t="str">
        <f t="shared" si="38"/>
        <v>女</v>
      </c>
    </row>
    <row r="685" spans="1:5" ht="30" customHeight="1">
      <c r="A685" s="7">
        <v>682</v>
      </c>
      <c r="B685" s="7" t="str">
        <f>"38662022042115043728000"</f>
        <v>38662022042115043728000</v>
      </c>
      <c r="C685" s="7" t="s">
        <v>12</v>
      </c>
      <c r="D685" s="7" t="str">
        <f>"刘晓霞"</f>
        <v>刘晓霞</v>
      </c>
      <c r="E685" s="7" t="str">
        <f t="shared" si="38"/>
        <v>女</v>
      </c>
    </row>
    <row r="686" spans="1:5" ht="30" customHeight="1">
      <c r="A686" s="7">
        <v>683</v>
      </c>
      <c r="B686" s="7" t="str">
        <f>"38662022042115492028383"</f>
        <v>38662022042115492028383</v>
      </c>
      <c r="C686" s="7" t="s">
        <v>12</v>
      </c>
      <c r="D686" s="7" t="str">
        <f>"吴兴洁"</f>
        <v>吴兴洁</v>
      </c>
      <c r="E686" s="7" t="str">
        <f t="shared" si="38"/>
        <v>女</v>
      </c>
    </row>
    <row r="687" spans="1:5" ht="30" customHeight="1">
      <c r="A687" s="7">
        <v>684</v>
      </c>
      <c r="B687" s="7" t="str">
        <f>"38662022042116302728663"</f>
        <v>38662022042116302728663</v>
      </c>
      <c r="C687" s="7" t="s">
        <v>12</v>
      </c>
      <c r="D687" s="7" t="str">
        <f>"符芳虹"</f>
        <v>符芳虹</v>
      </c>
      <c r="E687" s="7" t="str">
        <f t="shared" si="38"/>
        <v>女</v>
      </c>
    </row>
    <row r="688" spans="1:5" ht="30" customHeight="1">
      <c r="A688" s="7">
        <v>685</v>
      </c>
      <c r="B688" s="7" t="str">
        <f>"38662022042117155928966"</f>
        <v>38662022042117155928966</v>
      </c>
      <c r="C688" s="7" t="s">
        <v>12</v>
      </c>
      <c r="D688" s="7" t="str">
        <f>"裴玉莹"</f>
        <v>裴玉莹</v>
      </c>
      <c r="E688" s="7" t="str">
        <f t="shared" si="38"/>
        <v>女</v>
      </c>
    </row>
    <row r="689" spans="1:5" ht="30" customHeight="1">
      <c r="A689" s="7">
        <v>686</v>
      </c>
      <c r="B689" s="7" t="str">
        <f>"38662022042118024329224"</f>
        <v>38662022042118024329224</v>
      </c>
      <c r="C689" s="7" t="s">
        <v>12</v>
      </c>
      <c r="D689" s="7" t="str">
        <f>"关远琴"</f>
        <v>关远琴</v>
      </c>
      <c r="E689" s="7" t="str">
        <f t="shared" si="38"/>
        <v>女</v>
      </c>
    </row>
    <row r="690" spans="1:5" ht="30" customHeight="1">
      <c r="A690" s="7">
        <v>687</v>
      </c>
      <c r="B690" s="7" t="str">
        <f>"38662022042118110829246"</f>
        <v>38662022042118110829246</v>
      </c>
      <c r="C690" s="7" t="s">
        <v>12</v>
      </c>
      <c r="D690" s="7" t="str">
        <f>"王丽娟"</f>
        <v>王丽娟</v>
      </c>
      <c r="E690" s="7" t="str">
        <f t="shared" si="38"/>
        <v>女</v>
      </c>
    </row>
    <row r="691" spans="1:5" ht="30" customHeight="1">
      <c r="A691" s="7">
        <v>688</v>
      </c>
      <c r="B691" s="7" t="str">
        <f>"38662022042118381829356"</f>
        <v>38662022042118381829356</v>
      </c>
      <c r="C691" s="7" t="s">
        <v>12</v>
      </c>
      <c r="D691" s="7" t="str">
        <f>"陈美焕"</f>
        <v>陈美焕</v>
      </c>
      <c r="E691" s="7" t="str">
        <f t="shared" si="38"/>
        <v>女</v>
      </c>
    </row>
    <row r="692" spans="1:5" ht="30" customHeight="1">
      <c r="A692" s="7">
        <v>689</v>
      </c>
      <c r="B692" s="7" t="str">
        <f>"38662022042120565230013"</f>
        <v>38662022042120565230013</v>
      </c>
      <c r="C692" s="7" t="s">
        <v>12</v>
      </c>
      <c r="D692" s="7" t="str">
        <f>"陈妮"</f>
        <v>陈妮</v>
      </c>
      <c r="E692" s="7" t="str">
        <f t="shared" si="38"/>
        <v>女</v>
      </c>
    </row>
    <row r="693" spans="1:5" ht="30" customHeight="1">
      <c r="A693" s="7">
        <v>690</v>
      </c>
      <c r="B693" s="7" t="str">
        <f>"38662022042123595230812"</f>
        <v>38662022042123595230812</v>
      </c>
      <c r="C693" s="7" t="s">
        <v>12</v>
      </c>
      <c r="D693" s="7" t="str">
        <f>"蔡小蝶"</f>
        <v>蔡小蝶</v>
      </c>
      <c r="E693" s="7" t="str">
        <f t="shared" si="38"/>
        <v>女</v>
      </c>
    </row>
    <row r="694" spans="1:5" ht="30" customHeight="1">
      <c r="A694" s="7">
        <v>691</v>
      </c>
      <c r="B694" s="7" t="str">
        <f>"38662022042208592931118"</f>
        <v>38662022042208592931118</v>
      </c>
      <c r="C694" s="7" t="s">
        <v>12</v>
      </c>
      <c r="D694" s="7" t="str">
        <f>"林岳丹"</f>
        <v>林岳丹</v>
      </c>
      <c r="E694" s="7" t="str">
        <f t="shared" si="38"/>
        <v>女</v>
      </c>
    </row>
    <row r="695" spans="1:5" ht="30" customHeight="1">
      <c r="A695" s="7">
        <v>692</v>
      </c>
      <c r="B695" s="7" t="str">
        <f>"38662022042209174231206"</f>
        <v>38662022042209174231206</v>
      </c>
      <c r="C695" s="7" t="s">
        <v>12</v>
      </c>
      <c r="D695" s="7" t="str">
        <f>"张国琴"</f>
        <v>张国琴</v>
      </c>
      <c r="E695" s="7" t="str">
        <f t="shared" si="38"/>
        <v>女</v>
      </c>
    </row>
    <row r="696" spans="1:5" ht="30" customHeight="1">
      <c r="A696" s="7">
        <v>693</v>
      </c>
      <c r="B696" s="7" t="str">
        <f>"38662022042209191131212"</f>
        <v>38662022042209191131212</v>
      </c>
      <c r="C696" s="7" t="s">
        <v>12</v>
      </c>
      <c r="D696" s="7" t="str">
        <f>"蒙燕"</f>
        <v>蒙燕</v>
      </c>
      <c r="E696" s="7" t="str">
        <f t="shared" si="38"/>
        <v>女</v>
      </c>
    </row>
    <row r="697" spans="1:5" ht="30" customHeight="1">
      <c r="A697" s="7">
        <v>694</v>
      </c>
      <c r="B697" s="7" t="str">
        <f>"38662022042210110131498"</f>
        <v>38662022042210110131498</v>
      </c>
      <c r="C697" s="7" t="s">
        <v>12</v>
      </c>
      <c r="D697" s="7" t="str">
        <f>"罗红莹"</f>
        <v>罗红莹</v>
      </c>
      <c r="E697" s="7" t="str">
        <f t="shared" si="38"/>
        <v>女</v>
      </c>
    </row>
    <row r="698" spans="1:5" ht="30" customHeight="1">
      <c r="A698" s="7">
        <v>695</v>
      </c>
      <c r="B698" s="7" t="str">
        <f>"38662022042210412731699"</f>
        <v>38662022042210412731699</v>
      </c>
      <c r="C698" s="7" t="s">
        <v>12</v>
      </c>
      <c r="D698" s="7" t="str">
        <f>"蔡汝娜"</f>
        <v>蔡汝娜</v>
      </c>
      <c r="E698" s="7" t="str">
        <f t="shared" si="38"/>
        <v>女</v>
      </c>
    </row>
    <row r="699" spans="1:5" ht="30" customHeight="1">
      <c r="A699" s="7">
        <v>696</v>
      </c>
      <c r="B699" s="7" t="str">
        <f>"38662022042211260432125"</f>
        <v>38662022042211260432125</v>
      </c>
      <c r="C699" s="7" t="s">
        <v>12</v>
      </c>
      <c r="D699" s="7" t="str">
        <f>"林大斯"</f>
        <v>林大斯</v>
      </c>
      <c r="E699" s="7" t="str">
        <f>"男"</f>
        <v>男</v>
      </c>
    </row>
    <row r="700" spans="1:5" ht="30" customHeight="1">
      <c r="A700" s="7">
        <v>697</v>
      </c>
      <c r="B700" s="7" t="str">
        <f>"38662022042211465332402"</f>
        <v>38662022042211465332402</v>
      </c>
      <c r="C700" s="7" t="s">
        <v>12</v>
      </c>
      <c r="D700" s="7" t="str">
        <f>"邢增汝"</f>
        <v>邢增汝</v>
      </c>
      <c r="E700" s="7" t="str">
        <f aca="true" t="shared" si="39" ref="E700:E763">"女"</f>
        <v>女</v>
      </c>
    </row>
    <row r="701" spans="1:5" ht="30" customHeight="1">
      <c r="A701" s="7">
        <v>698</v>
      </c>
      <c r="B701" s="7" t="str">
        <f>"38662022042213163032760"</f>
        <v>38662022042213163032760</v>
      </c>
      <c r="C701" s="7" t="s">
        <v>12</v>
      </c>
      <c r="D701" s="7" t="str">
        <f>"章霖静"</f>
        <v>章霖静</v>
      </c>
      <c r="E701" s="7" t="str">
        <f t="shared" si="39"/>
        <v>女</v>
      </c>
    </row>
    <row r="702" spans="1:5" ht="30" customHeight="1">
      <c r="A702" s="7">
        <v>699</v>
      </c>
      <c r="B702" s="7" t="str">
        <f>"38662022042218244434269"</f>
        <v>38662022042218244434269</v>
      </c>
      <c r="C702" s="7" t="s">
        <v>12</v>
      </c>
      <c r="D702" s="7" t="str">
        <f>"龙倩茹"</f>
        <v>龙倩茹</v>
      </c>
      <c r="E702" s="7" t="str">
        <f t="shared" si="39"/>
        <v>女</v>
      </c>
    </row>
    <row r="703" spans="1:5" ht="30" customHeight="1">
      <c r="A703" s="7">
        <v>700</v>
      </c>
      <c r="B703" s="7" t="str">
        <f>"38662022042223042334794"</f>
        <v>38662022042223042334794</v>
      </c>
      <c r="C703" s="7" t="s">
        <v>12</v>
      </c>
      <c r="D703" s="7" t="str">
        <f>"陈开顺"</f>
        <v>陈开顺</v>
      </c>
      <c r="E703" s="7" t="str">
        <f t="shared" si="39"/>
        <v>女</v>
      </c>
    </row>
    <row r="704" spans="1:5" ht="30" customHeight="1">
      <c r="A704" s="7">
        <v>701</v>
      </c>
      <c r="B704" s="7" t="str">
        <f>"38662022042223084134801"</f>
        <v>38662022042223084134801</v>
      </c>
      <c r="C704" s="7" t="s">
        <v>12</v>
      </c>
      <c r="D704" s="7" t="str">
        <f>"戴王薇"</f>
        <v>戴王薇</v>
      </c>
      <c r="E704" s="7" t="str">
        <f t="shared" si="39"/>
        <v>女</v>
      </c>
    </row>
    <row r="705" spans="1:5" ht="30" customHeight="1">
      <c r="A705" s="7">
        <v>702</v>
      </c>
      <c r="B705" s="7" t="str">
        <f>"38662022042317151335582"</f>
        <v>38662022042317151335582</v>
      </c>
      <c r="C705" s="7" t="s">
        <v>12</v>
      </c>
      <c r="D705" s="7" t="str">
        <f>"陈平"</f>
        <v>陈平</v>
      </c>
      <c r="E705" s="7" t="str">
        <f t="shared" si="39"/>
        <v>女</v>
      </c>
    </row>
    <row r="706" spans="1:5" ht="30" customHeight="1">
      <c r="A706" s="7">
        <v>703</v>
      </c>
      <c r="B706" s="7" t="str">
        <f>"38662022042320110535751"</f>
        <v>38662022042320110535751</v>
      </c>
      <c r="C706" s="7" t="s">
        <v>12</v>
      </c>
      <c r="D706" s="7" t="str">
        <f>"梁其益"</f>
        <v>梁其益</v>
      </c>
      <c r="E706" s="7" t="str">
        <f t="shared" si="39"/>
        <v>女</v>
      </c>
    </row>
    <row r="707" spans="1:5" ht="30" customHeight="1">
      <c r="A707" s="7">
        <v>704</v>
      </c>
      <c r="B707" s="7" t="str">
        <f>"38662022042322152935962"</f>
        <v>38662022042322152935962</v>
      </c>
      <c r="C707" s="7" t="s">
        <v>12</v>
      </c>
      <c r="D707" s="7" t="str">
        <f>"陈丽"</f>
        <v>陈丽</v>
      </c>
      <c r="E707" s="7" t="str">
        <f t="shared" si="39"/>
        <v>女</v>
      </c>
    </row>
    <row r="708" spans="1:5" ht="30" customHeight="1">
      <c r="A708" s="7">
        <v>705</v>
      </c>
      <c r="B708" s="7" t="str">
        <f>"38662022042322222235970"</f>
        <v>38662022042322222235970</v>
      </c>
      <c r="C708" s="7" t="s">
        <v>12</v>
      </c>
      <c r="D708" s="7" t="str">
        <f>"林静"</f>
        <v>林静</v>
      </c>
      <c r="E708" s="7" t="str">
        <f t="shared" si="39"/>
        <v>女</v>
      </c>
    </row>
    <row r="709" spans="1:5" ht="30" customHeight="1">
      <c r="A709" s="7">
        <v>706</v>
      </c>
      <c r="B709" s="7" t="str">
        <f>"38662022042322262735981"</f>
        <v>38662022042322262735981</v>
      </c>
      <c r="C709" s="7" t="s">
        <v>12</v>
      </c>
      <c r="D709" s="7" t="str">
        <f>"杨菁菁"</f>
        <v>杨菁菁</v>
      </c>
      <c r="E709" s="7" t="str">
        <f t="shared" si="39"/>
        <v>女</v>
      </c>
    </row>
    <row r="710" spans="1:5" ht="30" customHeight="1">
      <c r="A710" s="7">
        <v>707</v>
      </c>
      <c r="B710" s="7" t="str">
        <f>"38662022042322501836028"</f>
        <v>38662022042322501836028</v>
      </c>
      <c r="C710" s="7" t="s">
        <v>12</v>
      </c>
      <c r="D710" s="7" t="str">
        <f>"梁玉"</f>
        <v>梁玉</v>
      </c>
      <c r="E710" s="7" t="str">
        <f t="shared" si="39"/>
        <v>女</v>
      </c>
    </row>
    <row r="711" spans="1:5" ht="30" customHeight="1">
      <c r="A711" s="7">
        <v>708</v>
      </c>
      <c r="B711" s="7" t="str">
        <f>"38662022042323584136106"</f>
        <v>38662022042323584136106</v>
      </c>
      <c r="C711" s="7" t="s">
        <v>12</v>
      </c>
      <c r="D711" s="7" t="str">
        <f>"符启娇"</f>
        <v>符启娇</v>
      </c>
      <c r="E711" s="7" t="str">
        <f t="shared" si="39"/>
        <v>女</v>
      </c>
    </row>
    <row r="712" spans="1:5" ht="30" customHeight="1">
      <c r="A712" s="7">
        <v>709</v>
      </c>
      <c r="B712" s="7" t="str">
        <f>"38662022042406174136139"</f>
        <v>38662022042406174136139</v>
      </c>
      <c r="C712" s="7" t="s">
        <v>12</v>
      </c>
      <c r="D712" s="7" t="str">
        <f>"赵珊珊"</f>
        <v>赵珊珊</v>
      </c>
      <c r="E712" s="7" t="str">
        <f t="shared" si="39"/>
        <v>女</v>
      </c>
    </row>
    <row r="713" spans="1:5" ht="30" customHeight="1">
      <c r="A713" s="7">
        <v>710</v>
      </c>
      <c r="B713" s="7" t="str">
        <f>"38662022042410425736448"</f>
        <v>38662022042410425736448</v>
      </c>
      <c r="C713" s="7" t="s">
        <v>12</v>
      </c>
      <c r="D713" s="7" t="str">
        <f>"王雪丹"</f>
        <v>王雪丹</v>
      </c>
      <c r="E713" s="7" t="str">
        <f t="shared" si="39"/>
        <v>女</v>
      </c>
    </row>
    <row r="714" spans="1:5" ht="30" customHeight="1">
      <c r="A714" s="7">
        <v>711</v>
      </c>
      <c r="B714" s="7" t="str">
        <f>"38662022042410502136466"</f>
        <v>38662022042410502136466</v>
      </c>
      <c r="C714" s="7" t="s">
        <v>12</v>
      </c>
      <c r="D714" s="7" t="str">
        <f>"赵联馨"</f>
        <v>赵联馨</v>
      </c>
      <c r="E714" s="7" t="str">
        <f t="shared" si="39"/>
        <v>女</v>
      </c>
    </row>
    <row r="715" spans="1:5" ht="30" customHeight="1">
      <c r="A715" s="7">
        <v>712</v>
      </c>
      <c r="B715" s="7" t="str">
        <f>"38662022042410572036479"</f>
        <v>38662022042410572036479</v>
      </c>
      <c r="C715" s="7" t="s">
        <v>12</v>
      </c>
      <c r="D715" s="7" t="str">
        <f>"符美珍"</f>
        <v>符美珍</v>
      </c>
      <c r="E715" s="7" t="str">
        <f t="shared" si="39"/>
        <v>女</v>
      </c>
    </row>
    <row r="716" spans="1:5" ht="30" customHeight="1">
      <c r="A716" s="7">
        <v>713</v>
      </c>
      <c r="B716" s="7" t="str">
        <f>"38662022042413395736757"</f>
        <v>38662022042413395736757</v>
      </c>
      <c r="C716" s="7" t="s">
        <v>12</v>
      </c>
      <c r="D716" s="7" t="str">
        <f>"欧雅婵"</f>
        <v>欧雅婵</v>
      </c>
      <c r="E716" s="7" t="str">
        <f t="shared" si="39"/>
        <v>女</v>
      </c>
    </row>
    <row r="717" spans="1:5" ht="30" customHeight="1">
      <c r="A717" s="7">
        <v>714</v>
      </c>
      <c r="B717" s="7" t="str">
        <f>"38662022042414341436808"</f>
        <v>38662022042414341436808</v>
      </c>
      <c r="C717" s="7" t="s">
        <v>12</v>
      </c>
      <c r="D717" s="7" t="str">
        <f>"陈婆春"</f>
        <v>陈婆春</v>
      </c>
      <c r="E717" s="7" t="str">
        <f t="shared" si="39"/>
        <v>女</v>
      </c>
    </row>
    <row r="718" spans="1:5" ht="30" customHeight="1">
      <c r="A718" s="7">
        <v>715</v>
      </c>
      <c r="B718" s="7" t="str">
        <f>"38662022042414523336841"</f>
        <v>38662022042414523336841</v>
      </c>
      <c r="C718" s="7" t="s">
        <v>12</v>
      </c>
      <c r="D718" s="7" t="str">
        <f>"符兰新"</f>
        <v>符兰新</v>
      </c>
      <c r="E718" s="7" t="str">
        <f t="shared" si="39"/>
        <v>女</v>
      </c>
    </row>
    <row r="719" spans="1:5" ht="30" customHeight="1">
      <c r="A719" s="7">
        <v>716</v>
      </c>
      <c r="B719" s="7" t="str">
        <f>"38662022042417235637178"</f>
        <v>38662022042417235637178</v>
      </c>
      <c r="C719" s="7" t="s">
        <v>12</v>
      </c>
      <c r="D719" s="7" t="str">
        <f>"洪杰米"</f>
        <v>洪杰米</v>
      </c>
      <c r="E719" s="7" t="str">
        <f t="shared" si="39"/>
        <v>女</v>
      </c>
    </row>
    <row r="720" spans="1:5" ht="30" customHeight="1">
      <c r="A720" s="7">
        <v>717</v>
      </c>
      <c r="B720" s="7" t="str">
        <f>"38662022042422134037617"</f>
        <v>38662022042422134037617</v>
      </c>
      <c r="C720" s="7" t="s">
        <v>12</v>
      </c>
      <c r="D720" s="7" t="str">
        <f>"胡贤玲"</f>
        <v>胡贤玲</v>
      </c>
      <c r="E720" s="7" t="str">
        <f t="shared" si="39"/>
        <v>女</v>
      </c>
    </row>
    <row r="721" spans="1:5" ht="30" customHeight="1">
      <c r="A721" s="7">
        <v>718</v>
      </c>
      <c r="B721" s="7" t="str">
        <f>"38662022042422385837657"</f>
        <v>38662022042422385837657</v>
      </c>
      <c r="C721" s="7" t="s">
        <v>12</v>
      </c>
      <c r="D721" s="7" t="str">
        <f>"林少玲"</f>
        <v>林少玲</v>
      </c>
      <c r="E721" s="7" t="str">
        <f t="shared" si="39"/>
        <v>女</v>
      </c>
    </row>
    <row r="722" spans="1:5" ht="30" customHeight="1">
      <c r="A722" s="7">
        <v>719</v>
      </c>
      <c r="B722" s="7" t="str">
        <f>"38662022042509234537881"</f>
        <v>38662022042509234537881</v>
      </c>
      <c r="C722" s="7" t="s">
        <v>12</v>
      </c>
      <c r="D722" s="7" t="str">
        <f>"李妹妹"</f>
        <v>李妹妹</v>
      </c>
      <c r="E722" s="7" t="str">
        <f t="shared" si="39"/>
        <v>女</v>
      </c>
    </row>
    <row r="723" spans="1:5" ht="30" customHeight="1">
      <c r="A723" s="7">
        <v>720</v>
      </c>
      <c r="B723" s="7" t="str">
        <f>"38662022042509382637903"</f>
        <v>38662022042509382637903</v>
      </c>
      <c r="C723" s="7" t="s">
        <v>12</v>
      </c>
      <c r="D723" s="7" t="str">
        <f>"温小曼"</f>
        <v>温小曼</v>
      </c>
      <c r="E723" s="7" t="str">
        <f t="shared" si="39"/>
        <v>女</v>
      </c>
    </row>
    <row r="724" spans="1:5" ht="30" customHeight="1">
      <c r="A724" s="7">
        <v>721</v>
      </c>
      <c r="B724" s="7" t="str">
        <f>"38662022042510255337991"</f>
        <v>38662022042510255337991</v>
      </c>
      <c r="C724" s="7" t="s">
        <v>12</v>
      </c>
      <c r="D724" s="7" t="str">
        <f>"孟夏水"</f>
        <v>孟夏水</v>
      </c>
      <c r="E724" s="7" t="str">
        <f t="shared" si="39"/>
        <v>女</v>
      </c>
    </row>
    <row r="725" spans="1:5" ht="30" customHeight="1">
      <c r="A725" s="7">
        <v>722</v>
      </c>
      <c r="B725" s="7" t="str">
        <f>"38662022042511014738070"</f>
        <v>38662022042511014738070</v>
      </c>
      <c r="C725" s="7" t="s">
        <v>12</v>
      </c>
      <c r="D725" s="7" t="str">
        <f>"邱春燕"</f>
        <v>邱春燕</v>
      </c>
      <c r="E725" s="7" t="str">
        <f t="shared" si="39"/>
        <v>女</v>
      </c>
    </row>
    <row r="726" spans="1:5" ht="30" customHeight="1">
      <c r="A726" s="7">
        <v>723</v>
      </c>
      <c r="B726" s="7" t="str">
        <f>"38662022042511401238129"</f>
        <v>38662022042511401238129</v>
      </c>
      <c r="C726" s="7" t="s">
        <v>12</v>
      </c>
      <c r="D726" s="7" t="str">
        <f>"罗天凤"</f>
        <v>罗天凤</v>
      </c>
      <c r="E726" s="7" t="str">
        <f t="shared" si="39"/>
        <v>女</v>
      </c>
    </row>
    <row r="727" spans="1:5" ht="30" customHeight="1">
      <c r="A727" s="7">
        <v>724</v>
      </c>
      <c r="B727" s="7" t="str">
        <f>"38662022042513372638237"</f>
        <v>38662022042513372638237</v>
      </c>
      <c r="C727" s="7" t="s">
        <v>12</v>
      </c>
      <c r="D727" s="7" t="str">
        <f>"周小芳"</f>
        <v>周小芳</v>
      </c>
      <c r="E727" s="7" t="str">
        <f t="shared" si="39"/>
        <v>女</v>
      </c>
    </row>
    <row r="728" spans="1:5" ht="30" customHeight="1">
      <c r="A728" s="7">
        <v>725</v>
      </c>
      <c r="B728" s="7" t="str">
        <f>"38662022042515295638385"</f>
        <v>38662022042515295638385</v>
      </c>
      <c r="C728" s="7" t="s">
        <v>12</v>
      </c>
      <c r="D728" s="7" t="str">
        <f>"陈晓娜"</f>
        <v>陈晓娜</v>
      </c>
      <c r="E728" s="7" t="str">
        <f t="shared" si="39"/>
        <v>女</v>
      </c>
    </row>
    <row r="729" spans="1:5" ht="30" customHeight="1">
      <c r="A729" s="7">
        <v>726</v>
      </c>
      <c r="B729" s="7" t="str">
        <f>"38662022042515321838391"</f>
        <v>38662022042515321838391</v>
      </c>
      <c r="C729" s="7" t="s">
        <v>12</v>
      </c>
      <c r="D729" s="7" t="str">
        <f>"王婷"</f>
        <v>王婷</v>
      </c>
      <c r="E729" s="7" t="str">
        <f t="shared" si="39"/>
        <v>女</v>
      </c>
    </row>
    <row r="730" spans="1:5" ht="30" customHeight="1">
      <c r="A730" s="7">
        <v>727</v>
      </c>
      <c r="B730" s="7" t="str">
        <f>"38662022042515362338399"</f>
        <v>38662022042515362338399</v>
      </c>
      <c r="C730" s="7" t="s">
        <v>12</v>
      </c>
      <c r="D730" s="7" t="str">
        <f>"羊代菊"</f>
        <v>羊代菊</v>
      </c>
      <c r="E730" s="7" t="str">
        <f t="shared" si="39"/>
        <v>女</v>
      </c>
    </row>
    <row r="731" spans="1:5" ht="30" customHeight="1">
      <c r="A731" s="7">
        <v>728</v>
      </c>
      <c r="B731" s="7" t="str">
        <f>"38662022042519450738725"</f>
        <v>38662022042519450738725</v>
      </c>
      <c r="C731" s="7" t="s">
        <v>12</v>
      </c>
      <c r="D731" s="7" t="str">
        <f>"陈杏"</f>
        <v>陈杏</v>
      </c>
      <c r="E731" s="7" t="str">
        <f t="shared" si="39"/>
        <v>女</v>
      </c>
    </row>
    <row r="732" spans="1:5" ht="30" customHeight="1">
      <c r="A732" s="7">
        <v>729</v>
      </c>
      <c r="B732" s="7" t="str">
        <f>"38662022042521320138859"</f>
        <v>38662022042521320138859</v>
      </c>
      <c r="C732" s="7" t="s">
        <v>12</v>
      </c>
      <c r="D732" s="7" t="str">
        <f>"姜姗姗"</f>
        <v>姜姗姗</v>
      </c>
      <c r="E732" s="7" t="str">
        <f t="shared" si="39"/>
        <v>女</v>
      </c>
    </row>
    <row r="733" spans="1:5" ht="30" customHeight="1">
      <c r="A733" s="7">
        <v>730</v>
      </c>
      <c r="B733" s="7" t="str">
        <f>"38662022042521573338907"</f>
        <v>38662022042521573338907</v>
      </c>
      <c r="C733" s="7" t="s">
        <v>12</v>
      </c>
      <c r="D733" s="7" t="str">
        <f>"王婷"</f>
        <v>王婷</v>
      </c>
      <c r="E733" s="7" t="str">
        <f t="shared" si="39"/>
        <v>女</v>
      </c>
    </row>
    <row r="734" spans="1:5" ht="30" customHeight="1">
      <c r="A734" s="7">
        <v>731</v>
      </c>
      <c r="B734" s="7" t="str">
        <f>"38662022042600255839074"</f>
        <v>38662022042600255839074</v>
      </c>
      <c r="C734" s="7" t="s">
        <v>12</v>
      </c>
      <c r="D734" s="7" t="str">
        <f>"吴环琴"</f>
        <v>吴环琴</v>
      </c>
      <c r="E734" s="7" t="str">
        <f t="shared" si="39"/>
        <v>女</v>
      </c>
    </row>
    <row r="735" spans="1:5" ht="30" customHeight="1">
      <c r="A735" s="7">
        <v>732</v>
      </c>
      <c r="B735" s="7" t="str">
        <f>"38662022042610405139321"</f>
        <v>38662022042610405139321</v>
      </c>
      <c r="C735" s="7" t="s">
        <v>12</v>
      </c>
      <c r="D735" s="7" t="str">
        <f>"刘淑娜"</f>
        <v>刘淑娜</v>
      </c>
      <c r="E735" s="7" t="str">
        <f t="shared" si="39"/>
        <v>女</v>
      </c>
    </row>
    <row r="736" spans="1:5" ht="30" customHeight="1">
      <c r="A736" s="7">
        <v>733</v>
      </c>
      <c r="B736" s="7" t="str">
        <f>"38662022042613203239535"</f>
        <v>38662022042613203239535</v>
      </c>
      <c r="C736" s="7" t="s">
        <v>12</v>
      </c>
      <c r="D736" s="7" t="str">
        <f>"孙子然"</f>
        <v>孙子然</v>
      </c>
      <c r="E736" s="7" t="str">
        <f t="shared" si="39"/>
        <v>女</v>
      </c>
    </row>
    <row r="737" spans="1:5" ht="30" customHeight="1">
      <c r="A737" s="7">
        <v>734</v>
      </c>
      <c r="B737" s="7" t="str">
        <f>"38662022042613264939539"</f>
        <v>38662022042613264939539</v>
      </c>
      <c r="C737" s="7" t="s">
        <v>12</v>
      </c>
      <c r="D737" s="7" t="str">
        <f>"董丹丽"</f>
        <v>董丹丽</v>
      </c>
      <c r="E737" s="7" t="str">
        <f t="shared" si="39"/>
        <v>女</v>
      </c>
    </row>
    <row r="738" spans="1:5" ht="30" customHeight="1">
      <c r="A738" s="7">
        <v>735</v>
      </c>
      <c r="B738" s="7" t="str">
        <f>"38662022042616220339791"</f>
        <v>38662022042616220339791</v>
      </c>
      <c r="C738" s="7" t="s">
        <v>12</v>
      </c>
      <c r="D738" s="7" t="str">
        <f>"王袁丽"</f>
        <v>王袁丽</v>
      </c>
      <c r="E738" s="7" t="str">
        <f t="shared" si="39"/>
        <v>女</v>
      </c>
    </row>
    <row r="739" spans="1:5" ht="30" customHeight="1">
      <c r="A739" s="7">
        <v>736</v>
      </c>
      <c r="B739" s="7" t="str">
        <f>"38662022042616303839817"</f>
        <v>38662022042616303839817</v>
      </c>
      <c r="C739" s="7" t="s">
        <v>12</v>
      </c>
      <c r="D739" s="7" t="str">
        <f>"谢丽雯"</f>
        <v>谢丽雯</v>
      </c>
      <c r="E739" s="7" t="str">
        <f t="shared" si="39"/>
        <v>女</v>
      </c>
    </row>
    <row r="740" spans="1:5" ht="30" customHeight="1">
      <c r="A740" s="7">
        <v>737</v>
      </c>
      <c r="B740" s="7" t="str">
        <f>"38662022042623011340399"</f>
        <v>38662022042623011340399</v>
      </c>
      <c r="C740" s="7" t="s">
        <v>12</v>
      </c>
      <c r="D740" s="7" t="str">
        <f>"徐思凌"</f>
        <v>徐思凌</v>
      </c>
      <c r="E740" s="7" t="str">
        <f t="shared" si="39"/>
        <v>女</v>
      </c>
    </row>
    <row r="741" spans="1:5" ht="30" customHeight="1">
      <c r="A741" s="7">
        <v>738</v>
      </c>
      <c r="B741" s="7" t="str">
        <f>"38662022042700153240505"</f>
        <v>38662022042700153240505</v>
      </c>
      <c r="C741" s="7" t="s">
        <v>12</v>
      </c>
      <c r="D741" s="7" t="str">
        <f>"陈少惠"</f>
        <v>陈少惠</v>
      </c>
      <c r="E741" s="7" t="str">
        <f t="shared" si="39"/>
        <v>女</v>
      </c>
    </row>
    <row r="742" spans="1:5" ht="30" customHeight="1">
      <c r="A742" s="7">
        <v>739</v>
      </c>
      <c r="B742" s="7" t="str">
        <f>"38662022042709583341435"</f>
        <v>38662022042709583341435</v>
      </c>
      <c r="C742" s="7" t="s">
        <v>12</v>
      </c>
      <c r="D742" s="7" t="str">
        <f>"陈树美"</f>
        <v>陈树美</v>
      </c>
      <c r="E742" s="7" t="str">
        <f t="shared" si="39"/>
        <v>女</v>
      </c>
    </row>
    <row r="743" spans="1:5" ht="30" customHeight="1">
      <c r="A743" s="7">
        <v>740</v>
      </c>
      <c r="B743" s="7" t="str">
        <f>"38662022042710070241527"</f>
        <v>38662022042710070241527</v>
      </c>
      <c r="C743" s="7" t="s">
        <v>12</v>
      </c>
      <c r="D743" s="7" t="str">
        <f>"黎克秀"</f>
        <v>黎克秀</v>
      </c>
      <c r="E743" s="7" t="str">
        <f t="shared" si="39"/>
        <v>女</v>
      </c>
    </row>
    <row r="744" spans="1:5" ht="30" customHeight="1">
      <c r="A744" s="7">
        <v>741</v>
      </c>
      <c r="B744" s="7" t="str">
        <f>"38662022042710454241949"</f>
        <v>38662022042710454241949</v>
      </c>
      <c r="C744" s="7" t="s">
        <v>12</v>
      </c>
      <c r="D744" s="7" t="str">
        <f>"王蔓"</f>
        <v>王蔓</v>
      </c>
      <c r="E744" s="7" t="str">
        <f t="shared" si="39"/>
        <v>女</v>
      </c>
    </row>
    <row r="745" spans="1:5" ht="30" customHeight="1">
      <c r="A745" s="7">
        <v>742</v>
      </c>
      <c r="B745" s="7" t="str">
        <f>"38662022042713424343188"</f>
        <v>38662022042713424343188</v>
      </c>
      <c r="C745" s="7" t="s">
        <v>12</v>
      </c>
      <c r="D745" s="7" t="str">
        <f>"温淑汝"</f>
        <v>温淑汝</v>
      </c>
      <c r="E745" s="7" t="str">
        <f t="shared" si="39"/>
        <v>女</v>
      </c>
    </row>
    <row r="746" spans="1:5" ht="30" customHeight="1">
      <c r="A746" s="7">
        <v>743</v>
      </c>
      <c r="B746" s="7" t="str">
        <f>"38662022042714284943441"</f>
        <v>38662022042714284943441</v>
      </c>
      <c r="C746" s="7" t="s">
        <v>12</v>
      </c>
      <c r="D746" s="7" t="str">
        <f>"甘小碧"</f>
        <v>甘小碧</v>
      </c>
      <c r="E746" s="7" t="str">
        <f t="shared" si="39"/>
        <v>女</v>
      </c>
    </row>
    <row r="747" spans="1:5" ht="30" customHeight="1">
      <c r="A747" s="7">
        <v>744</v>
      </c>
      <c r="B747" s="7" t="str">
        <f>"38662022042714572543625"</f>
        <v>38662022042714572543625</v>
      </c>
      <c r="C747" s="7" t="s">
        <v>12</v>
      </c>
      <c r="D747" s="7" t="str">
        <f>"李妮"</f>
        <v>李妮</v>
      </c>
      <c r="E747" s="7" t="str">
        <f t="shared" si="39"/>
        <v>女</v>
      </c>
    </row>
    <row r="748" spans="1:5" ht="30" customHeight="1">
      <c r="A748" s="7">
        <v>745</v>
      </c>
      <c r="B748" s="7" t="str">
        <f>"38662022042715384343887"</f>
        <v>38662022042715384343887</v>
      </c>
      <c r="C748" s="7" t="s">
        <v>12</v>
      </c>
      <c r="D748" s="7" t="str">
        <f>"林芳君"</f>
        <v>林芳君</v>
      </c>
      <c r="E748" s="7" t="str">
        <f t="shared" si="39"/>
        <v>女</v>
      </c>
    </row>
    <row r="749" spans="1:5" ht="30" customHeight="1">
      <c r="A749" s="7">
        <v>746</v>
      </c>
      <c r="B749" s="7" t="str">
        <f>"38662022042109010324888"</f>
        <v>38662022042109010324888</v>
      </c>
      <c r="C749" s="7" t="s">
        <v>13</v>
      </c>
      <c r="D749" s="7" t="str">
        <f>"张祯虹"</f>
        <v>张祯虹</v>
      </c>
      <c r="E749" s="7" t="str">
        <f t="shared" si="39"/>
        <v>女</v>
      </c>
    </row>
    <row r="750" spans="1:5" ht="30" customHeight="1">
      <c r="A750" s="7">
        <v>747</v>
      </c>
      <c r="B750" s="7" t="str">
        <f>"38662022042109024024915"</f>
        <v>38662022042109024024915</v>
      </c>
      <c r="C750" s="7" t="s">
        <v>13</v>
      </c>
      <c r="D750" s="7" t="str">
        <f>"徐雄姣"</f>
        <v>徐雄姣</v>
      </c>
      <c r="E750" s="7" t="str">
        <f t="shared" si="39"/>
        <v>女</v>
      </c>
    </row>
    <row r="751" spans="1:5" ht="30" customHeight="1">
      <c r="A751" s="7">
        <v>748</v>
      </c>
      <c r="B751" s="7" t="str">
        <f>"38662022042109025224917"</f>
        <v>38662022042109025224917</v>
      </c>
      <c r="C751" s="7" t="s">
        <v>13</v>
      </c>
      <c r="D751" s="7" t="str">
        <f>"赵琦"</f>
        <v>赵琦</v>
      </c>
      <c r="E751" s="7" t="str">
        <f t="shared" si="39"/>
        <v>女</v>
      </c>
    </row>
    <row r="752" spans="1:5" ht="30" customHeight="1">
      <c r="A752" s="7">
        <v>749</v>
      </c>
      <c r="B752" s="7" t="str">
        <f>"38662022042109044224943"</f>
        <v>38662022042109044224943</v>
      </c>
      <c r="C752" s="7" t="s">
        <v>13</v>
      </c>
      <c r="D752" s="7" t="str">
        <f>"羊燕"</f>
        <v>羊燕</v>
      </c>
      <c r="E752" s="7" t="str">
        <f t="shared" si="39"/>
        <v>女</v>
      </c>
    </row>
    <row r="753" spans="1:5" ht="30" customHeight="1">
      <c r="A753" s="7">
        <v>750</v>
      </c>
      <c r="B753" s="7" t="str">
        <f>"38662022042109181425104"</f>
        <v>38662022042109181425104</v>
      </c>
      <c r="C753" s="7" t="s">
        <v>13</v>
      </c>
      <c r="D753" s="7" t="str">
        <f>"易雪"</f>
        <v>易雪</v>
      </c>
      <c r="E753" s="7" t="str">
        <f t="shared" si="39"/>
        <v>女</v>
      </c>
    </row>
    <row r="754" spans="1:5" ht="30" customHeight="1">
      <c r="A754" s="7">
        <v>751</v>
      </c>
      <c r="B754" s="7" t="str">
        <f>"38662022042109193025118"</f>
        <v>38662022042109193025118</v>
      </c>
      <c r="C754" s="7" t="s">
        <v>13</v>
      </c>
      <c r="D754" s="7" t="str">
        <f>"符冬"</f>
        <v>符冬</v>
      </c>
      <c r="E754" s="7" t="str">
        <f t="shared" si="39"/>
        <v>女</v>
      </c>
    </row>
    <row r="755" spans="1:5" ht="30" customHeight="1">
      <c r="A755" s="7">
        <v>752</v>
      </c>
      <c r="B755" s="7" t="str">
        <f>"38662022042109231925165"</f>
        <v>38662022042109231925165</v>
      </c>
      <c r="C755" s="7" t="s">
        <v>13</v>
      </c>
      <c r="D755" s="7" t="str">
        <f>"戴惠红"</f>
        <v>戴惠红</v>
      </c>
      <c r="E755" s="7" t="str">
        <f t="shared" si="39"/>
        <v>女</v>
      </c>
    </row>
    <row r="756" spans="1:5" ht="30" customHeight="1">
      <c r="A756" s="7">
        <v>753</v>
      </c>
      <c r="B756" s="7" t="str">
        <f>"38662022042109260725196"</f>
        <v>38662022042109260725196</v>
      </c>
      <c r="C756" s="7" t="s">
        <v>13</v>
      </c>
      <c r="D756" s="7" t="str">
        <f>"何婧"</f>
        <v>何婧</v>
      </c>
      <c r="E756" s="7" t="str">
        <f t="shared" si="39"/>
        <v>女</v>
      </c>
    </row>
    <row r="757" spans="1:5" ht="30" customHeight="1">
      <c r="A757" s="7">
        <v>754</v>
      </c>
      <c r="B757" s="7" t="str">
        <f>"38662022042109282325220"</f>
        <v>38662022042109282325220</v>
      </c>
      <c r="C757" s="7" t="s">
        <v>13</v>
      </c>
      <c r="D757" s="7" t="str">
        <f>"黄海珍"</f>
        <v>黄海珍</v>
      </c>
      <c r="E757" s="7" t="str">
        <f t="shared" si="39"/>
        <v>女</v>
      </c>
    </row>
    <row r="758" spans="1:5" ht="30" customHeight="1">
      <c r="A758" s="7">
        <v>755</v>
      </c>
      <c r="B758" s="7" t="str">
        <f>"38662022042109301625244"</f>
        <v>38662022042109301625244</v>
      </c>
      <c r="C758" s="7" t="s">
        <v>13</v>
      </c>
      <c r="D758" s="7" t="str">
        <f>"葛秀平"</f>
        <v>葛秀平</v>
      </c>
      <c r="E758" s="7" t="str">
        <f t="shared" si="39"/>
        <v>女</v>
      </c>
    </row>
    <row r="759" spans="1:5" ht="30" customHeight="1">
      <c r="A759" s="7">
        <v>756</v>
      </c>
      <c r="B759" s="7" t="str">
        <f>"38662022042109311225254"</f>
        <v>38662022042109311225254</v>
      </c>
      <c r="C759" s="7" t="s">
        <v>13</v>
      </c>
      <c r="D759" s="7" t="str">
        <f>"兰田靖"</f>
        <v>兰田靖</v>
      </c>
      <c r="E759" s="7" t="str">
        <f t="shared" si="39"/>
        <v>女</v>
      </c>
    </row>
    <row r="760" spans="1:5" ht="30" customHeight="1">
      <c r="A760" s="7">
        <v>757</v>
      </c>
      <c r="B760" s="7" t="str">
        <f>"38662022042109340225290"</f>
        <v>38662022042109340225290</v>
      </c>
      <c r="C760" s="7" t="s">
        <v>13</v>
      </c>
      <c r="D760" s="7" t="str">
        <f>"王厚锦"</f>
        <v>王厚锦</v>
      </c>
      <c r="E760" s="7" t="str">
        <f t="shared" si="39"/>
        <v>女</v>
      </c>
    </row>
    <row r="761" spans="1:5" ht="30" customHeight="1">
      <c r="A761" s="7">
        <v>758</v>
      </c>
      <c r="B761" s="7" t="str">
        <f>"38662022042109382825347"</f>
        <v>38662022042109382825347</v>
      </c>
      <c r="C761" s="7" t="s">
        <v>13</v>
      </c>
      <c r="D761" s="7" t="str">
        <f>"李璐瑶"</f>
        <v>李璐瑶</v>
      </c>
      <c r="E761" s="7" t="str">
        <f t="shared" si="39"/>
        <v>女</v>
      </c>
    </row>
    <row r="762" spans="1:5" ht="30" customHeight="1">
      <c r="A762" s="7">
        <v>759</v>
      </c>
      <c r="B762" s="7" t="str">
        <f>"38662022042109395725361"</f>
        <v>38662022042109395725361</v>
      </c>
      <c r="C762" s="7" t="s">
        <v>13</v>
      </c>
      <c r="D762" s="7" t="str">
        <f>"王媛媛"</f>
        <v>王媛媛</v>
      </c>
      <c r="E762" s="7" t="str">
        <f t="shared" si="39"/>
        <v>女</v>
      </c>
    </row>
    <row r="763" spans="1:5" ht="30" customHeight="1">
      <c r="A763" s="7">
        <v>760</v>
      </c>
      <c r="B763" s="7" t="str">
        <f>"38662022042109411925376"</f>
        <v>38662022042109411925376</v>
      </c>
      <c r="C763" s="7" t="s">
        <v>13</v>
      </c>
      <c r="D763" s="7" t="str">
        <f>"王佩"</f>
        <v>王佩</v>
      </c>
      <c r="E763" s="7" t="str">
        <f t="shared" si="39"/>
        <v>女</v>
      </c>
    </row>
    <row r="764" spans="1:5" ht="30" customHeight="1">
      <c r="A764" s="7">
        <v>761</v>
      </c>
      <c r="B764" s="7" t="str">
        <f>"38662022042109424725405"</f>
        <v>38662022042109424725405</v>
      </c>
      <c r="C764" s="7" t="s">
        <v>13</v>
      </c>
      <c r="D764" s="7" t="str">
        <f>"吴挺丽"</f>
        <v>吴挺丽</v>
      </c>
      <c r="E764" s="7" t="str">
        <f aca="true" t="shared" si="40" ref="E764:E770">"女"</f>
        <v>女</v>
      </c>
    </row>
    <row r="765" spans="1:5" ht="30" customHeight="1">
      <c r="A765" s="7">
        <v>762</v>
      </c>
      <c r="B765" s="7" t="str">
        <f>"38662022042109464425445"</f>
        <v>38662022042109464425445</v>
      </c>
      <c r="C765" s="7" t="s">
        <v>13</v>
      </c>
      <c r="D765" s="7" t="str">
        <f>"杨桂梅"</f>
        <v>杨桂梅</v>
      </c>
      <c r="E765" s="7" t="str">
        <f t="shared" si="40"/>
        <v>女</v>
      </c>
    </row>
    <row r="766" spans="1:5" ht="30" customHeight="1">
      <c r="A766" s="7">
        <v>763</v>
      </c>
      <c r="B766" s="7" t="str">
        <f>"38662022042109472925457"</f>
        <v>38662022042109472925457</v>
      </c>
      <c r="C766" s="7" t="s">
        <v>13</v>
      </c>
      <c r="D766" s="7" t="str">
        <f>"罗周仙"</f>
        <v>罗周仙</v>
      </c>
      <c r="E766" s="7" t="str">
        <f t="shared" si="40"/>
        <v>女</v>
      </c>
    </row>
    <row r="767" spans="1:5" ht="30" customHeight="1">
      <c r="A767" s="7">
        <v>764</v>
      </c>
      <c r="B767" s="7" t="str">
        <f>"38662022042109474025459"</f>
        <v>38662022042109474025459</v>
      </c>
      <c r="C767" s="7" t="s">
        <v>13</v>
      </c>
      <c r="D767" s="7" t="str">
        <f>"羊爱金"</f>
        <v>羊爱金</v>
      </c>
      <c r="E767" s="7" t="str">
        <f t="shared" si="40"/>
        <v>女</v>
      </c>
    </row>
    <row r="768" spans="1:5" ht="30" customHeight="1">
      <c r="A768" s="7">
        <v>765</v>
      </c>
      <c r="B768" s="7" t="str">
        <f>"38662022042109482425469"</f>
        <v>38662022042109482425469</v>
      </c>
      <c r="C768" s="7" t="s">
        <v>13</v>
      </c>
      <c r="D768" s="7" t="str">
        <f>"翁琼霞"</f>
        <v>翁琼霞</v>
      </c>
      <c r="E768" s="7" t="str">
        <f t="shared" si="40"/>
        <v>女</v>
      </c>
    </row>
    <row r="769" spans="1:5" ht="30" customHeight="1">
      <c r="A769" s="7">
        <v>766</v>
      </c>
      <c r="B769" s="7" t="str">
        <f>"38662022042109513725506"</f>
        <v>38662022042109513725506</v>
      </c>
      <c r="C769" s="7" t="s">
        <v>13</v>
      </c>
      <c r="D769" s="7" t="str">
        <f>"黎菊女"</f>
        <v>黎菊女</v>
      </c>
      <c r="E769" s="7" t="str">
        <f t="shared" si="40"/>
        <v>女</v>
      </c>
    </row>
    <row r="770" spans="1:5" ht="30" customHeight="1">
      <c r="A770" s="7">
        <v>767</v>
      </c>
      <c r="B770" s="7" t="str">
        <f>"38662022042109590225619"</f>
        <v>38662022042109590225619</v>
      </c>
      <c r="C770" s="7" t="s">
        <v>13</v>
      </c>
      <c r="D770" s="7" t="str">
        <f>"李文珍"</f>
        <v>李文珍</v>
      </c>
      <c r="E770" s="7" t="str">
        <f t="shared" si="40"/>
        <v>女</v>
      </c>
    </row>
    <row r="771" spans="1:5" ht="30" customHeight="1">
      <c r="A771" s="7">
        <v>768</v>
      </c>
      <c r="B771" s="7" t="str">
        <f>"38662022042110003225646"</f>
        <v>38662022042110003225646</v>
      </c>
      <c r="C771" s="7" t="s">
        <v>13</v>
      </c>
      <c r="D771" s="7" t="str">
        <f>"唐传"</f>
        <v>唐传</v>
      </c>
      <c r="E771" s="7" t="str">
        <f>"男"</f>
        <v>男</v>
      </c>
    </row>
    <row r="772" spans="1:5" ht="30" customHeight="1">
      <c r="A772" s="7">
        <v>769</v>
      </c>
      <c r="B772" s="7" t="str">
        <f>"38662022042110045625689"</f>
        <v>38662022042110045625689</v>
      </c>
      <c r="C772" s="7" t="s">
        <v>13</v>
      </c>
      <c r="D772" s="7" t="str">
        <f>"陈娟"</f>
        <v>陈娟</v>
      </c>
      <c r="E772" s="7" t="str">
        <f aca="true" t="shared" si="41" ref="E772:E791">"女"</f>
        <v>女</v>
      </c>
    </row>
    <row r="773" spans="1:5" ht="30" customHeight="1">
      <c r="A773" s="7">
        <v>770</v>
      </c>
      <c r="B773" s="7" t="str">
        <f>"38662022042110081325731"</f>
        <v>38662022042110081325731</v>
      </c>
      <c r="C773" s="7" t="s">
        <v>13</v>
      </c>
      <c r="D773" s="7" t="str">
        <f>"卢张连"</f>
        <v>卢张连</v>
      </c>
      <c r="E773" s="7" t="str">
        <f t="shared" si="41"/>
        <v>女</v>
      </c>
    </row>
    <row r="774" spans="1:5" ht="30" customHeight="1">
      <c r="A774" s="7">
        <v>771</v>
      </c>
      <c r="B774" s="7" t="str">
        <f>"38662022042110085125740"</f>
        <v>38662022042110085125740</v>
      </c>
      <c r="C774" s="7" t="s">
        <v>13</v>
      </c>
      <c r="D774" s="7" t="str">
        <f>"何石兰"</f>
        <v>何石兰</v>
      </c>
      <c r="E774" s="7" t="str">
        <f t="shared" si="41"/>
        <v>女</v>
      </c>
    </row>
    <row r="775" spans="1:5" ht="30" customHeight="1">
      <c r="A775" s="7">
        <v>772</v>
      </c>
      <c r="B775" s="7" t="str">
        <f>"38662022042110130025789"</f>
        <v>38662022042110130025789</v>
      </c>
      <c r="C775" s="7" t="s">
        <v>13</v>
      </c>
      <c r="D775" s="7" t="str">
        <f>"王春玉"</f>
        <v>王春玉</v>
      </c>
      <c r="E775" s="7" t="str">
        <f t="shared" si="41"/>
        <v>女</v>
      </c>
    </row>
    <row r="776" spans="1:5" ht="30" customHeight="1">
      <c r="A776" s="7">
        <v>773</v>
      </c>
      <c r="B776" s="7" t="str">
        <f>"38662022042110140625804"</f>
        <v>38662022042110140625804</v>
      </c>
      <c r="C776" s="7" t="s">
        <v>13</v>
      </c>
      <c r="D776" s="7" t="str">
        <f>"陈秋蓉"</f>
        <v>陈秋蓉</v>
      </c>
      <c r="E776" s="7" t="str">
        <f t="shared" si="41"/>
        <v>女</v>
      </c>
    </row>
    <row r="777" spans="1:5" ht="30" customHeight="1">
      <c r="A777" s="7">
        <v>774</v>
      </c>
      <c r="B777" s="7" t="str">
        <f>"38662022042110151125817"</f>
        <v>38662022042110151125817</v>
      </c>
      <c r="C777" s="7" t="s">
        <v>13</v>
      </c>
      <c r="D777" s="7" t="str">
        <f>"符菁菁"</f>
        <v>符菁菁</v>
      </c>
      <c r="E777" s="7" t="str">
        <f t="shared" si="41"/>
        <v>女</v>
      </c>
    </row>
    <row r="778" spans="1:5" ht="30" customHeight="1">
      <c r="A778" s="7">
        <v>775</v>
      </c>
      <c r="B778" s="7" t="str">
        <f>"38662022042110153325821"</f>
        <v>38662022042110153325821</v>
      </c>
      <c r="C778" s="7" t="s">
        <v>13</v>
      </c>
      <c r="D778" s="7" t="str">
        <f>"王茹"</f>
        <v>王茹</v>
      </c>
      <c r="E778" s="7" t="str">
        <f t="shared" si="41"/>
        <v>女</v>
      </c>
    </row>
    <row r="779" spans="1:5" ht="30" customHeight="1">
      <c r="A779" s="7">
        <v>776</v>
      </c>
      <c r="B779" s="7" t="str">
        <f>"38662022042110155225828"</f>
        <v>38662022042110155225828</v>
      </c>
      <c r="C779" s="7" t="s">
        <v>13</v>
      </c>
      <c r="D779" s="7" t="str">
        <f>"苏小菊"</f>
        <v>苏小菊</v>
      </c>
      <c r="E779" s="7" t="str">
        <f t="shared" si="41"/>
        <v>女</v>
      </c>
    </row>
    <row r="780" spans="1:5" ht="30" customHeight="1">
      <c r="A780" s="7">
        <v>777</v>
      </c>
      <c r="B780" s="7" t="str">
        <f>"38662022042110170725838"</f>
        <v>38662022042110170725838</v>
      </c>
      <c r="C780" s="7" t="s">
        <v>13</v>
      </c>
      <c r="D780" s="7" t="str">
        <f>"韩丹妮"</f>
        <v>韩丹妮</v>
      </c>
      <c r="E780" s="7" t="str">
        <f t="shared" si="41"/>
        <v>女</v>
      </c>
    </row>
    <row r="781" spans="1:5" ht="30" customHeight="1">
      <c r="A781" s="7">
        <v>778</v>
      </c>
      <c r="B781" s="7" t="str">
        <f>"38662022042110185425869"</f>
        <v>38662022042110185425869</v>
      </c>
      <c r="C781" s="7" t="s">
        <v>13</v>
      </c>
      <c r="D781" s="7" t="str">
        <f>"曹婷"</f>
        <v>曹婷</v>
      </c>
      <c r="E781" s="7" t="str">
        <f t="shared" si="41"/>
        <v>女</v>
      </c>
    </row>
    <row r="782" spans="1:5" ht="30" customHeight="1">
      <c r="A782" s="7">
        <v>779</v>
      </c>
      <c r="B782" s="7" t="str">
        <f>"38662022042110192125871"</f>
        <v>38662022042110192125871</v>
      </c>
      <c r="C782" s="7" t="s">
        <v>13</v>
      </c>
      <c r="D782" s="7" t="str">
        <f>"符彦茉"</f>
        <v>符彦茉</v>
      </c>
      <c r="E782" s="7" t="str">
        <f t="shared" si="41"/>
        <v>女</v>
      </c>
    </row>
    <row r="783" spans="1:5" ht="30" customHeight="1">
      <c r="A783" s="7">
        <v>780</v>
      </c>
      <c r="B783" s="7" t="str">
        <f>"38662022042110202725884"</f>
        <v>38662022042110202725884</v>
      </c>
      <c r="C783" s="7" t="s">
        <v>13</v>
      </c>
      <c r="D783" s="7" t="str">
        <f>"梁梦宁"</f>
        <v>梁梦宁</v>
      </c>
      <c r="E783" s="7" t="str">
        <f t="shared" si="41"/>
        <v>女</v>
      </c>
    </row>
    <row r="784" spans="1:5" ht="30" customHeight="1">
      <c r="A784" s="7">
        <v>781</v>
      </c>
      <c r="B784" s="7" t="str">
        <f>"38662022042110203125885"</f>
        <v>38662022042110203125885</v>
      </c>
      <c r="C784" s="7" t="s">
        <v>13</v>
      </c>
      <c r="D784" s="7" t="str">
        <f>"黎美青"</f>
        <v>黎美青</v>
      </c>
      <c r="E784" s="7" t="str">
        <f t="shared" si="41"/>
        <v>女</v>
      </c>
    </row>
    <row r="785" spans="1:5" ht="30" customHeight="1">
      <c r="A785" s="7">
        <v>782</v>
      </c>
      <c r="B785" s="7" t="str">
        <f>"38662022042110235325935"</f>
        <v>38662022042110235325935</v>
      </c>
      <c r="C785" s="7" t="s">
        <v>13</v>
      </c>
      <c r="D785" s="7" t="str">
        <f>"夏志洁"</f>
        <v>夏志洁</v>
      </c>
      <c r="E785" s="7" t="str">
        <f t="shared" si="41"/>
        <v>女</v>
      </c>
    </row>
    <row r="786" spans="1:5" ht="30" customHeight="1">
      <c r="A786" s="7">
        <v>783</v>
      </c>
      <c r="B786" s="7" t="str">
        <f>"38662022042110235525936"</f>
        <v>38662022042110235525936</v>
      </c>
      <c r="C786" s="7" t="s">
        <v>13</v>
      </c>
      <c r="D786" s="7" t="str">
        <f>"王苏梦"</f>
        <v>王苏梦</v>
      </c>
      <c r="E786" s="7" t="str">
        <f t="shared" si="41"/>
        <v>女</v>
      </c>
    </row>
    <row r="787" spans="1:5" ht="30" customHeight="1">
      <c r="A787" s="7">
        <v>784</v>
      </c>
      <c r="B787" s="7" t="str">
        <f>"38662022042110253525956"</f>
        <v>38662022042110253525956</v>
      </c>
      <c r="C787" s="7" t="s">
        <v>13</v>
      </c>
      <c r="D787" s="7" t="str">
        <f>"胡惠贤"</f>
        <v>胡惠贤</v>
      </c>
      <c r="E787" s="7" t="str">
        <f t="shared" si="41"/>
        <v>女</v>
      </c>
    </row>
    <row r="788" spans="1:5" ht="30" customHeight="1">
      <c r="A788" s="7">
        <v>785</v>
      </c>
      <c r="B788" s="7" t="str">
        <f>"38662022042110275025984"</f>
        <v>38662022042110275025984</v>
      </c>
      <c r="C788" s="7" t="s">
        <v>13</v>
      </c>
      <c r="D788" s="7" t="str">
        <f>"黄欣欣"</f>
        <v>黄欣欣</v>
      </c>
      <c r="E788" s="7" t="str">
        <f t="shared" si="41"/>
        <v>女</v>
      </c>
    </row>
    <row r="789" spans="1:5" ht="30" customHeight="1">
      <c r="A789" s="7">
        <v>786</v>
      </c>
      <c r="B789" s="7" t="str">
        <f>"38662022042110281825993"</f>
        <v>38662022042110281825993</v>
      </c>
      <c r="C789" s="7" t="s">
        <v>13</v>
      </c>
      <c r="D789" s="7" t="str">
        <f>"黄翠青"</f>
        <v>黄翠青</v>
      </c>
      <c r="E789" s="7" t="str">
        <f t="shared" si="41"/>
        <v>女</v>
      </c>
    </row>
    <row r="790" spans="1:5" ht="30" customHeight="1">
      <c r="A790" s="7">
        <v>787</v>
      </c>
      <c r="B790" s="7" t="str">
        <f>"38662022042110294126010"</f>
        <v>38662022042110294126010</v>
      </c>
      <c r="C790" s="7" t="s">
        <v>13</v>
      </c>
      <c r="D790" s="7" t="str">
        <f>"符小芳"</f>
        <v>符小芳</v>
      </c>
      <c r="E790" s="7" t="str">
        <f t="shared" si="41"/>
        <v>女</v>
      </c>
    </row>
    <row r="791" spans="1:5" ht="30" customHeight="1">
      <c r="A791" s="7">
        <v>788</v>
      </c>
      <c r="B791" s="7" t="str">
        <f>"38662022042110381326113"</f>
        <v>38662022042110381326113</v>
      </c>
      <c r="C791" s="7" t="s">
        <v>13</v>
      </c>
      <c r="D791" s="7" t="str">
        <f>"陈仙养"</f>
        <v>陈仙养</v>
      </c>
      <c r="E791" s="7" t="str">
        <f t="shared" si="41"/>
        <v>女</v>
      </c>
    </row>
    <row r="792" spans="1:5" ht="30" customHeight="1">
      <c r="A792" s="7">
        <v>789</v>
      </c>
      <c r="B792" s="7" t="str">
        <f>"38662022042110455326206"</f>
        <v>38662022042110455326206</v>
      </c>
      <c r="C792" s="7" t="s">
        <v>13</v>
      </c>
      <c r="D792" s="7" t="str">
        <f>"汪建"</f>
        <v>汪建</v>
      </c>
      <c r="E792" s="7" t="str">
        <f>"男"</f>
        <v>男</v>
      </c>
    </row>
    <row r="793" spans="1:5" ht="30" customHeight="1">
      <c r="A793" s="7">
        <v>790</v>
      </c>
      <c r="B793" s="7" t="str">
        <f>"38662022042110471526225"</f>
        <v>38662022042110471526225</v>
      </c>
      <c r="C793" s="7" t="s">
        <v>13</v>
      </c>
      <c r="D793" s="7" t="str">
        <f>"黄小贝"</f>
        <v>黄小贝</v>
      </c>
      <c r="E793" s="7" t="str">
        <f>"女"</f>
        <v>女</v>
      </c>
    </row>
    <row r="794" spans="1:5" ht="30" customHeight="1">
      <c r="A794" s="7">
        <v>791</v>
      </c>
      <c r="B794" s="7" t="str">
        <f>"38662022042110480826235"</f>
        <v>38662022042110480826235</v>
      </c>
      <c r="C794" s="7" t="s">
        <v>13</v>
      </c>
      <c r="D794" s="7" t="str">
        <f>"卢少婧"</f>
        <v>卢少婧</v>
      </c>
      <c r="E794" s="7" t="str">
        <f>"女"</f>
        <v>女</v>
      </c>
    </row>
    <row r="795" spans="1:5" ht="30" customHeight="1">
      <c r="A795" s="7">
        <v>792</v>
      </c>
      <c r="B795" s="7" t="str">
        <f>"38662022042110524126293"</f>
        <v>38662022042110524126293</v>
      </c>
      <c r="C795" s="7" t="s">
        <v>13</v>
      </c>
      <c r="D795" s="7" t="str">
        <f>"郭爱教"</f>
        <v>郭爱教</v>
      </c>
      <c r="E795" s="7" t="str">
        <f>"女"</f>
        <v>女</v>
      </c>
    </row>
    <row r="796" spans="1:5" ht="30" customHeight="1">
      <c r="A796" s="7">
        <v>793</v>
      </c>
      <c r="B796" s="7" t="str">
        <f>"38662022042110565826335"</f>
        <v>38662022042110565826335</v>
      </c>
      <c r="C796" s="7" t="s">
        <v>13</v>
      </c>
      <c r="D796" s="7" t="str">
        <f>"练霞"</f>
        <v>练霞</v>
      </c>
      <c r="E796" s="7" t="str">
        <f>"女"</f>
        <v>女</v>
      </c>
    </row>
    <row r="797" spans="1:5" ht="30" customHeight="1">
      <c r="A797" s="7">
        <v>794</v>
      </c>
      <c r="B797" s="7" t="str">
        <f>"38662022042110581026349"</f>
        <v>38662022042110581026349</v>
      </c>
      <c r="C797" s="7" t="s">
        <v>13</v>
      </c>
      <c r="D797" s="7" t="str">
        <f>"朱代振"</f>
        <v>朱代振</v>
      </c>
      <c r="E797" s="7" t="str">
        <f>"女"</f>
        <v>女</v>
      </c>
    </row>
    <row r="798" spans="1:5" ht="30" customHeight="1">
      <c r="A798" s="7">
        <v>795</v>
      </c>
      <c r="B798" s="7" t="str">
        <f>"38662022042111020826392"</f>
        <v>38662022042111020826392</v>
      </c>
      <c r="C798" s="7" t="s">
        <v>13</v>
      </c>
      <c r="D798" s="7" t="str">
        <f>"苏文强"</f>
        <v>苏文强</v>
      </c>
      <c r="E798" s="7" t="str">
        <f>"男"</f>
        <v>男</v>
      </c>
    </row>
    <row r="799" spans="1:5" ht="30" customHeight="1">
      <c r="A799" s="7">
        <v>796</v>
      </c>
      <c r="B799" s="7" t="str">
        <f>"38662022042111035926412"</f>
        <v>38662022042111035926412</v>
      </c>
      <c r="C799" s="7" t="s">
        <v>13</v>
      </c>
      <c r="D799" s="7" t="str">
        <f>"符丹青"</f>
        <v>符丹青</v>
      </c>
      <c r="E799" s="7" t="str">
        <f>"女汉族"</f>
        <v>女汉族</v>
      </c>
    </row>
    <row r="800" spans="1:5" ht="30" customHeight="1">
      <c r="A800" s="7">
        <v>797</v>
      </c>
      <c r="B800" s="7" t="str">
        <f>"38662022042111104626470"</f>
        <v>38662022042111104626470</v>
      </c>
      <c r="C800" s="7" t="s">
        <v>13</v>
      </c>
      <c r="D800" s="7" t="str">
        <f>"符芷芸"</f>
        <v>符芷芸</v>
      </c>
      <c r="E800" s="7" t="str">
        <f aca="true" t="shared" si="42" ref="E800:E842">"女"</f>
        <v>女</v>
      </c>
    </row>
    <row r="801" spans="1:5" ht="30" customHeight="1">
      <c r="A801" s="7">
        <v>798</v>
      </c>
      <c r="B801" s="7" t="str">
        <f>"38662022042111110526475"</f>
        <v>38662022042111110526475</v>
      </c>
      <c r="C801" s="7" t="s">
        <v>13</v>
      </c>
      <c r="D801" s="7" t="str">
        <f>"曾妮"</f>
        <v>曾妮</v>
      </c>
      <c r="E801" s="7" t="str">
        <f t="shared" si="42"/>
        <v>女</v>
      </c>
    </row>
    <row r="802" spans="1:5" ht="30" customHeight="1">
      <c r="A802" s="7">
        <v>799</v>
      </c>
      <c r="B802" s="7" t="str">
        <f>"38662022042111171726533"</f>
        <v>38662022042111171726533</v>
      </c>
      <c r="C802" s="7" t="s">
        <v>13</v>
      </c>
      <c r="D802" s="7" t="str">
        <f>"符永艳"</f>
        <v>符永艳</v>
      </c>
      <c r="E802" s="7" t="str">
        <f t="shared" si="42"/>
        <v>女</v>
      </c>
    </row>
    <row r="803" spans="1:5" ht="30" customHeight="1">
      <c r="A803" s="7">
        <v>800</v>
      </c>
      <c r="B803" s="7" t="str">
        <f>"38662022042111232926585"</f>
        <v>38662022042111232926585</v>
      </c>
      <c r="C803" s="7" t="s">
        <v>13</v>
      </c>
      <c r="D803" s="7" t="str">
        <f>"文潇"</f>
        <v>文潇</v>
      </c>
      <c r="E803" s="7" t="str">
        <f t="shared" si="42"/>
        <v>女</v>
      </c>
    </row>
    <row r="804" spans="1:5" ht="30" customHeight="1">
      <c r="A804" s="7">
        <v>801</v>
      </c>
      <c r="B804" s="7" t="str">
        <f>"38662022042111292426631"</f>
        <v>38662022042111292426631</v>
      </c>
      <c r="C804" s="7" t="s">
        <v>13</v>
      </c>
      <c r="D804" s="7" t="str">
        <f>"文昌婷"</f>
        <v>文昌婷</v>
      </c>
      <c r="E804" s="7" t="str">
        <f t="shared" si="42"/>
        <v>女</v>
      </c>
    </row>
    <row r="805" spans="1:5" ht="30" customHeight="1">
      <c r="A805" s="7">
        <v>802</v>
      </c>
      <c r="B805" s="7" t="str">
        <f>"38662022042111293626635"</f>
        <v>38662022042111293626635</v>
      </c>
      <c r="C805" s="7" t="s">
        <v>13</v>
      </c>
      <c r="D805" s="7" t="str">
        <f>"李青"</f>
        <v>李青</v>
      </c>
      <c r="E805" s="7" t="str">
        <f t="shared" si="42"/>
        <v>女</v>
      </c>
    </row>
    <row r="806" spans="1:5" ht="30" customHeight="1">
      <c r="A806" s="7">
        <v>803</v>
      </c>
      <c r="B806" s="7" t="str">
        <f>"38662022042111295926638"</f>
        <v>38662022042111295926638</v>
      </c>
      <c r="C806" s="7" t="s">
        <v>13</v>
      </c>
      <c r="D806" s="7" t="str">
        <f>"吴丽"</f>
        <v>吴丽</v>
      </c>
      <c r="E806" s="7" t="str">
        <f t="shared" si="42"/>
        <v>女</v>
      </c>
    </row>
    <row r="807" spans="1:5" ht="30" customHeight="1">
      <c r="A807" s="7">
        <v>804</v>
      </c>
      <c r="B807" s="7" t="str">
        <f>"38662022042111301726640"</f>
        <v>38662022042111301726640</v>
      </c>
      <c r="C807" s="7" t="s">
        <v>13</v>
      </c>
      <c r="D807" s="7" t="str">
        <f>"吴欢"</f>
        <v>吴欢</v>
      </c>
      <c r="E807" s="7" t="str">
        <f t="shared" si="42"/>
        <v>女</v>
      </c>
    </row>
    <row r="808" spans="1:5" ht="30" customHeight="1">
      <c r="A808" s="7">
        <v>805</v>
      </c>
      <c r="B808" s="7" t="str">
        <f>"38662022042111314126651"</f>
        <v>38662022042111314126651</v>
      </c>
      <c r="C808" s="7" t="s">
        <v>13</v>
      </c>
      <c r="D808" s="7" t="str">
        <f>"梁文欣"</f>
        <v>梁文欣</v>
      </c>
      <c r="E808" s="7" t="str">
        <f t="shared" si="42"/>
        <v>女</v>
      </c>
    </row>
    <row r="809" spans="1:5" ht="30" customHeight="1">
      <c r="A809" s="7">
        <v>806</v>
      </c>
      <c r="B809" s="7" t="str">
        <f>"38662022042111350826682"</f>
        <v>38662022042111350826682</v>
      </c>
      <c r="C809" s="7" t="s">
        <v>13</v>
      </c>
      <c r="D809" s="7" t="str">
        <f>"陈林燕"</f>
        <v>陈林燕</v>
      </c>
      <c r="E809" s="7" t="str">
        <f t="shared" si="42"/>
        <v>女</v>
      </c>
    </row>
    <row r="810" spans="1:5" ht="30" customHeight="1">
      <c r="A810" s="7">
        <v>807</v>
      </c>
      <c r="B810" s="7" t="str">
        <f>"38662022042111373226710"</f>
        <v>38662022042111373226710</v>
      </c>
      <c r="C810" s="7" t="s">
        <v>13</v>
      </c>
      <c r="D810" s="7" t="str">
        <f>"林德焱"</f>
        <v>林德焱</v>
      </c>
      <c r="E810" s="7" t="str">
        <f t="shared" si="42"/>
        <v>女</v>
      </c>
    </row>
    <row r="811" spans="1:5" ht="30" customHeight="1">
      <c r="A811" s="7">
        <v>808</v>
      </c>
      <c r="B811" s="7" t="str">
        <f>"38662022042111373726712"</f>
        <v>38662022042111373726712</v>
      </c>
      <c r="C811" s="7" t="s">
        <v>13</v>
      </c>
      <c r="D811" s="7" t="str">
        <f>"景秋慧"</f>
        <v>景秋慧</v>
      </c>
      <c r="E811" s="7" t="str">
        <f t="shared" si="42"/>
        <v>女</v>
      </c>
    </row>
    <row r="812" spans="1:5" ht="30" customHeight="1">
      <c r="A812" s="7">
        <v>809</v>
      </c>
      <c r="B812" s="7" t="str">
        <f>"38662022042111392226744"</f>
        <v>38662022042111392226744</v>
      </c>
      <c r="C812" s="7" t="s">
        <v>13</v>
      </c>
      <c r="D812" s="7" t="str">
        <f>"蔡春萍"</f>
        <v>蔡春萍</v>
      </c>
      <c r="E812" s="7" t="str">
        <f t="shared" si="42"/>
        <v>女</v>
      </c>
    </row>
    <row r="813" spans="1:5" ht="30" customHeight="1">
      <c r="A813" s="7">
        <v>810</v>
      </c>
      <c r="B813" s="7" t="str">
        <f>"38662022042111421826767"</f>
        <v>38662022042111421826767</v>
      </c>
      <c r="C813" s="7" t="s">
        <v>13</v>
      </c>
      <c r="D813" s="7" t="str">
        <f>"符晓倩"</f>
        <v>符晓倩</v>
      </c>
      <c r="E813" s="7" t="str">
        <f t="shared" si="42"/>
        <v>女</v>
      </c>
    </row>
    <row r="814" spans="1:5" ht="30" customHeight="1">
      <c r="A814" s="7">
        <v>811</v>
      </c>
      <c r="B814" s="7" t="str">
        <f>"38662022042111432326777"</f>
        <v>38662022042111432326777</v>
      </c>
      <c r="C814" s="7" t="s">
        <v>13</v>
      </c>
      <c r="D814" s="7" t="str">
        <f>"曾月"</f>
        <v>曾月</v>
      </c>
      <c r="E814" s="7" t="str">
        <f t="shared" si="42"/>
        <v>女</v>
      </c>
    </row>
    <row r="815" spans="1:5" ht="30" customHeight="1">
      <c r="A815" s="7">
        <v>812</v>
      </c>
      <c r="B815" s="7" t="str">
        <f>"38662022042111433726779"</f>
        <v>38662022042111433726779</v>
      </c>
      <c r="C815" s="7" t="s">
        <v>13</v>
      </c>
      <c r="D815" s="7" t="str">
        <f>"羊思思"</f>
        <v>羊思思</v>
      </c>
      <c r="E815" s="7" t="str">
        <f t="shared" si="42"/>
        <v>女</v>
      </c>
    </row>
    <row r="816" spans="1:5" ht="30" customHeight="1">
      <c r="A816" s="7">
        <v>813</v>
      </c>
      <c r="B816" s="7" t="str">
        <f>"38662022042111442126786"</f>
        <v>38662022042111442126786</v>
      </c>
      <c r="C816" s="7" t="s">
        <v>13</v>
      </c>
      <c r="D816" s="7" t="str">
        <f>"柯云飞"</f>
        <v>柯云飞</v>
      </c>
      <c r="E816" s="7" t="str">
        <f t="shared" si="42"/>
        <v>女</v>
      </c>
    </row>
    <row r="817" spans="1:5" ht="30" customHeight="1">
      <c r="A817" s="7">
        <v>814</v>
      </c>
      <c r="B817" s="7" t="str">
        <f>"38662022042111445126790"</f>
        <v>38662022042111445126790</v>
      </c>
      <c r="C817" s="7" t="s">
        <v>13</v>
      </c>
      <c r="D817" s="7" t="str">
        <f>"姚翠菁"</f>
        <v>姚翠菁</v>
      </c>
      <c r="E817" s="7" t="str">
        <f t="shared" si="42"/>
        <v>女</v>
      </c>
    </row>
    <row r="818" spans="1:5" ht="30" customHeight="1">
      <c r="A818" s="7">
        <v>815</v>
      </c>
      <c r="B818" s="7" t="str">
        <f>"38662022042111480626810"</f>
        <v>38662022042111480626810</v>
      </c>
      <c r="C818" s="7" t="s">
        <v>13</v>
      </c>
      <c r="D818" s="7" t="str">
        <f>"陈楚楚"</f>
        <v>陈楚楚</v>
      </c>
      <c r="E818" s="7" t="str">
        <f t="shared" si="42"/>
        <v>女</v>
      </c>
    </row>
    <row r="819" spans="1:5" ht="30" customHeight="1">
      <c r="A819" s="7">
        <v>816</v>
      </c>
      <c r="B819" s="7" t="str">
        <f>"38662022042111535126860"</f>
        <v>38662022042111535126860</v>
      </c>
      <c r="C819" s="7" t="s">
        <v>13</v>
      </c>
      <c r="D819" s="7" t="str">
        <f>"陈楚楚"</f>
        <v>陈楚楚</v>
      </c>
      <c r="E819" s="7" t="str">
        <f t="shared" si="42"/>
        <v>女</v>
      </c>
    </row>
    <row r="820" spans="1:5" ht="30" customHeight="1">
      <c r="A820" s="7">
        <v>817</v>
      </c>
      <c r="B820" s="7" t="str">
        <f>"38662022042111544226868"</f>
        <v>38662022042111544226868</v>
      </c>
      <c r="C820" s="7" t="s">
        <v>13</v>
      </c>
      <c r="D820" s="7" t="str">
        <f>"符有妹"</f>
        <v>符有妹</v>
      </c>
      <c r="E820" s="7" t="str">
        <f t="shared" si="42"/>
        <v>女</v>
      </c>
    </row>
    <row r="821" spans="1:5" ht="30" customHeight="1">
      <c r="A821" s="7">
        <v>818</v>
      </c>
      <c r="B821" s="7" t="str">
        <f>"38662022042111554426874"</f>
        <v>38662022042111554426874</v>
      </c>
      <c r="C821" s="7" t="s">
        <v>13</v>
      </c>
      <c r="D821" s="7" t="str">
        <f>"羊香桂"</f>
        <v>羊香桂</v>
      </c>
      <c r="E821" s="7" t="str">
        <f t="shared" si="42"/>
        <v>女</v>
      </c>
    </row>
    <row r="822" spans="1:5" ht="30" customHeight="1">
      <c r="A822" s="7">
        <v>819</v>
      </c>
      <c r="B822" s="7" t="str">
        <f>"38662022042111555626878"</f>
        <v>38662022042111555626878</v>
      </c>
      <c r="C822" s="7" t="s">
        <v>13</v>
      </c>
      <c r="D822" s="7" t="str">
        <f>"李靓"</f>
        <v>李靓</v>
      </c>
      <c r="E822" s="7" t="str">
        <f t="shared" si="42"/>
        <v>女</v>
      </c>
    </row>
    <row r="823" spans="1:5" ht="30" customHeight="1">
      <c r="A823" s="7">
        <v>820</v>
      </c>
      <c r="B823" s="7" t="str">
        <f>"38662022042112005326908"</f>
        <v>38662022042112005326908</v>
      </c>
      <c r="C823" s="7" t="s">
        <v>13</v>
      </c>
      <c r="D823" s="7" t="str">
        <f>"张晓丹"</f>
        <v>张晓丹</v>
      </c>
      <c r="E823" s="7" t="str">
        <f t="shared" si="42"/>
        <v>女</v>
      </c>
    </row>
    <row r="824" spans="1:5" ht="30" customHeight="1">
      <c r="A824" s="7">
        <v>821</v>
      </c>
      <c r="B824" s="7" t="str">
        <f>"38662022042112020826913"</f>
        <v>38662022042112020826913</v>
      </c>
      <c r="C824" s="7" t="s">
        <v>13</v>
      </c>
      <c r="D824" s="7" t="str">
        <f>"姜玮岩"</f>
        <v>姜玮岩</v>
      </c>
      <c r="E824" s="7" t="str">
        <f t="shared" si="42"/>
        <v>女</v>
      </c>
    </row>
    <row r="825" spans="1:5" ht="30" customHeight="1">
      <c r="A825" s="7">
        <v>822</v>
      </c>
      <c r="B825" s="7" t="str">
        <f>"38662022042112041126926"</f>
        <v>38662022042112041126926</v>
      </c>
      <c r="C825" s="7" t="s">
        <v>13</v>
      </c>
      <c r="D825" s="7" t="str">
        <f>"王婷"</f>
        <v>王婷</v>
      </c>
      <c r="E825" s="7" t="str">
        <f t="shared" si="42"/>
        <v>女</v>
      </c>
    </row>
    <row r="826" spans="1:5" ht="30" customHeight="1">
      <c r="A826" s="7">
        <v>823</v>
      </c>
      <c r="B826" s="7" t="str">
        <f>"38662022042112055826936"</f>
        <v>38662022042112055826936</v>
      </c>
      <c r="C826" s="7" t="s">
        <v>13</v>
      </c>
      <c r="D826" s="7" t="str">
        <f>"符芳莹"</f>
        <v>符芳莹</v>
      </c>
      <c r="E826" s="7" t="str">
        <f t="shared" si="42"/>
        <v>女</v>
      </c>
    </row>
    <row r="827" spans="1:5" ht="30" customHeight="1">
      <c r="A827" s="7">
        <v>824</v>
      </c>
      <c r="B827" s="7" t="str">
        <f>"38662022042112164926997"</f>
        <v>38662022042112164926997</v>
      </c>
      <c r="C827" s="7" t="s">
        <v>13</v>
      </c>
      <c r="D827" s="7" t="str">
        <f>"莫泽婉"</f>
        <v>莫泽婉</v>
      </c>
      <c r="E827" s="7" t="str">
        <f t="shared" si="42"/>
        <v>女</v>
      </c>
    </row>
    <row r="828" spans="1:5" ht="30" customHeight="1">
      <c r="A828" s="7">
        <v>825</v>
      </c>
      <c r="B828" s="7" t="str">
        <f>"38662022042112330427118"</f>
        <v>38662022042112330427118</v>
      </c>
      <c r="C828" s="7" t="s">
        <v>13</v>
      </c>
      <c r="D828" s="7" t="str">
        <f>"苏凤妹"</f>
        <v>苏凤妹</v>
      </c>
      <c r="E828" s="7" t="str">
        <f t="shared" si="42"/>
        <v>女</v>
      </c>
    </row>
    <row r="829" spans="1:5" ht="30" customHeight="1">
      <c r="A829" s="7">
        <v>826</v>
      </c>
      <c r="B829" s="7" t="str">
        <f>"38662022042112331127119"</f>
        <v>38662022042112331127119</v>
      </c>
      <c r="C829" s="7" t="s">
        <v>13</v>
      </c>
      <c r="D829" s="7" t="str">
        <f>"羊仙爱"</f>
        <v>羊仙爱</v>
      </c>
      <c r="E829" s="7" t="str">
        <f t="shared" si="42"/>
        <v>女</v>
      </c>
    </row>
    <row r="830" spans="1:5" ht="30" customHeight="1">
      <c r="A830" s="7">
        <v>827</v>
      </c>
      <c r="B830" s="7" t="str">
        <f>"38662022042112411827173"</f>
        <v>38662022042112411827173</v>
      </c>
      <c r="C830" s="7" t="s">
        <v>13</v>
      </c>
      <c r="D830" s="7" t="str">
        <f>"何尾月"</f>
        <v>何尾月</v>
      </c>
      <c r="E830" s="7" t="str">
        <f t="shared" si="42"/>
        <v>女</v>
      </c>
    </row>
    <row r="831" spans="1:5" ht="30" customHeight="1">
      <c r="A831" s="7">
        <v>828</v>
      </c>
      <c r="B831" s="7" t="str">
        <f>"38662022042112424827183"</f>
        <v>38662022042112424827183</v>
      </c>
      <c r="C831" s="7" t="s">
        <v>13</v>
      </c>
      <c r="D831" s="7" t="str">
        <f>"符秀妹"</f>
        <v>符秀妹</v>
      </c>
      <c r="E831" s="7" t="str">
        <f t="shared" si="42"/>
        <v>女</v>
      </c>
    </row>
    <row r="832" spans="1:5" ht="30" customHeight="1">
      <c r="A832" s="7">
        <v>829</v>
      </c>
      <c r="B832" s="7" t="str">
        <f>"38662022042112484427211"</f>
        <v>38662022042112484427211</v>
      </c>
      <c r="C832" s="7" t="s">
        <v>13</v>
      </c>
      <c r="D832" s="7" t="str">
        <f>"符秋婷"</f>
        <v>符秋婷</v>
      </c>
      <c r="E832" s="7" t="str">
        <f t="shared" si="42"/>
        <v>女</v>
      </c>
    </row>
    <row r="833" spans="1:5" ht="30" customHeight="1">
      <c r="A833" s="7">
        <v>830</v>
      </c>
      <c r="B833" s="7" t="str">
        <f>"38662022042112520727234"</f>
        <v>38662022042112520727234</v>
      </c>
      <c r="C833" s="7" t="s">
        <v>13</v>
      </c>
      <c r="D833" s="7" t="str">
        <f>"王露娜"</f>
        <v>王露娜</v>
      </c>
      <c r="E833" s="7" t="str">
        <f t="shared" si="42"/>
        <v>女</v>
      </c>
    </row>
    <row r="834" spans="1:5" ht="30" customHeight="1">
      <c r="A834" s="7">
        <v>831</v>
      </c>
      <c r="B834" s="7" t="str">
        <f>"38662022042112564027257"</f>
        <v>38662022042112564027257</v>
      </c>
      <c r="C834" s="7" t="s">
        <v>13</v>
      </c>
      <c r="D834" s="7" t="str">
        <f>"黄杨椀"</f>
        <v>黄杨椀</v>
      </c>
      <c r="E834" s="7" t="str">
        <f t="shared" si="42"/>
        <v>女</v>
      </c>
    </row>
    <row r="835" spans="1:5" ht="30" customHeight="1">
      <c r="A835" s="7">
        <v>832</v>
      </c>
      <c r="B835" s="7" t="str">
        <f>"38662022042112571527261"</f>
        <v>38662022042112571527261</v>
      </c>
      <c r="C835" s="7" t="s">
        <v>13</v>
      </c>
      <c r="D835" s="7" t="str">
        <f>"黄秋霜"</f>
        <v>黄秋霜</v>
      </c>
      <c r="E835" s="7" t="str">
        <f t="shared" si="42"/>
        <v>女</v>
      </c>
    </row>
    <row r="836" spans="1:5" ht="30" customHeight="1">
      <c r="A836" s="7">
        <v>833</v>
      </c>
      <c r="B836" s="7" t="str">
        <f>"38662022042113000627283"</f>
        <v>38662022042113000627283</v>
      </c>
      <c r="C836" s="7" t="s">
        <v>13</v>
      </c>
      <c r="D836" s="7" t="str">
        <f>"刘丽"</f>
        <v>刘丽</v>
      </c>
      <c r="E836" s="7" t="str">
        <f t="shared" si="42"/>
        <v>女</v>
      </c>
    </row>
    <row r="837" spans="1:5" ht="30" customHeight="1">
      <c r="A837" s="7">
        <v>834</v>
      </c>
      <c r="B837" s="7" t="str">
        <f>"38662022042113043027313"</f>
        <v>38662022042113043027313</v>
      </c>
      <c r="C837" s="7" t="s">
        <v>13</v>
      </c>
      <c r="D837" s="7" t="str">
        <f>"张婷"</f>
        <v>张婷</v>
      </c>
      <c r="E837" s="7" t="str">
        <f t="shared" si="42"/>
        <v>女</v>
      </c>
    </row>
    <row r="838" spans="1:5" ht="30" customHeight="1">
      <c r="A838" s="7">
        <v>835</v>
      </c>
      <c r="B838" s="7" t="str">
        <f>"38662022042113075927332"</f>
        <v>38662022042113075927332</v>
      </c>
      <c r="C838" s="7" t="s">
        <v>13</v>
      </c>
      <c r="D838" s="7" t="str">
        <f>"赵佳明"</f>
        <v>赵佳明</v>
      </c>
      <c r="E838" s="7" t="str">
        <f t="shared" si="42"/>
        <v>女</v>
      </c>
    </row>
    <row r="839" spans="1:5" ht="30" customHeight="1">
      <c r="A839" s="7">
        <v>836</v>
      </c>
      <c r="B839" s="7" t="str">
        <f>"38662022042113134127363"</f>
        <v>38662022042113134127363</v>
      </c>
      <c r="C839" s="7" t="s">
        <v>13</v>
      </c>
      <c r="D839" s="7" t="str">
        <f>"吴金慧"</f>
        <v>吴金慧</v>
      </c>
      <c r="E839" s="7" t="str">
        <f t="shared" si="42"/>
        <v>女</v>
      </c>
    </row>
    <row r="840" spans="1:5" ht="30" customHeight="1">
      <c r="A840" s="7">
        <v>837</v>
      </c>
      <c r="B840" s="7" t="str">
        <f>"38662022042113580027547"</f>
        <v>38662022042113580027547</v>
      </c>
      <c r="C840" s="7" t="s">
        <v>13</v>
      </c>
      <c r="D840" s="7" t="str">
        <f>"梁璐"</f>
        <v>梁璐</v>
      </c>
      <c r="E840" s="7" t="str">
        <f t="shared" si="42"/>
        <v>女</v>
      </c>
    </row>
    <row r="841" spans="1:5" ht="30" customHeight="1">
      <c r="A841" s="7">
        <v>838</v>
      </c>
      <c r="B841" s="7" t="str">
        <f>"38662022042113594827552"</f>
        <v>38662022042113594827552</v>
      </c>
      <c r="C841" s="7" t="s">
        <v>13</v>
      </c>
      <c r="D841" s="7" t="str">
        <f>"王芷华"</f>
        <v>王芷华</v>
      </c>
      <c r="E841" s="7" t="str">
        <f t="shared" si="42"/>
        <v>女</v>
      </c>
    </row>
    <row r="842" spans="1:5" ht="30" customHeight="1">
      <c r="A842" s="7">
        <v>839</v>
      </c>
      <c r="B842" s="7" t="str">
        <f>"38662022042114062527574"</f>
        <v>38662022042114062527574</v>
      </c>
      <c r="C842" s="7" t="s">
        <v>13</v>
      </c>
      <c r="D842" s="7" t="str">
        <f>"韦琳影"</f>
        <v>韦琳影</v>
      </c>
      <c r="E842" s="7" t="str">
        <f t="shared" si="42"/>
        <v>女</v>
      </c>
    </row>
    <row r="843" spans="1:5" ht="30" customHeight="1">
      <c r="A843" s="7">
        <v>840</v>
      </c>
      <c r="B843" s="7" t="str">
        <f>"38662022042114112927607"</f>
        <v>38662022042114112927607</v>
      </c>
      <c r="C843" s="7" t="s">
        <v>13</v>
      </c>
      <c r="D843" s="7" t="str">
        <f>"王星蕴"</f>
        <v>王星蕴</v>
      </c>
      <c r="E843" s="7" t="str">
        <f>"男"</f>
        <v>男</v>
      </c>
    </row>
    <row r="844" spans="1:5" ht="30" customHeight="1">
      <c r="A844" s="7">
        <v>841</v>
      </c>
      <c r="B844" s="7" t="str">
        <f>"38662022042114213327672"</f>
        <v>38662022042114213327672</v>
      </c>
      <c r="C844" s="7" t="s">
        <v>13</v>
      </c>
      <c r="D844" s="7" t="str">
        <f>"刘静"</f>
        <v>刘静</v>
      </c>
      <c r="E844" s="7" t="str">
        <f aca="true" t="shared" si="43" ref="E844:E871">"女"</f>
        <v>女</v>
      </c>
    </row>
    <row r="845" spans="1:5" ht="30" customHeight="1">
      <c r="A845" s="7">
        <v>842</v>
      </c>
      <c r="B845" s="7" t="str">
        <f>"38662022042114360227752"</f>
        <v>38662022042114360227752</v>
      </c>
      <c r="C845" s="7" t="s">
        <v>13</v>
      </c>
      <c r="D845" s="7" t="str">
        <f>"郝素净"</f>
        <v>郝素净</v>
      </c>
      <c r="E845" s="7" t="str">
        <f t="shared" si="43"/>
        <v>女</v>
      </c>
    </row>
    <row r="846" spans="1:5" ht="30" customHeight="1">
      <c r="A846" s="7">
        <v>843</v>
      </c>
      <c r="B846" s="7" t="str">
        <f>"38662022042114440027820"</f>
        <v>38662022042114440027820</v>
      </c>
      <c r="C846" s="7" t="s">
        <v>13</v>
      </c>
      <c r="D846" s="7" t="str">
        <f>"王秋南"</f>
        <v>王秋南</v>
      </c>
      <c r="E846" s="7" t="str">
        <f t="shared" si="43"/>
        <v>女</v>
      </c>
    </row>
    <row r="847" spans="1:5" ht="30" customHeight="1">
      <c r="A847" s="7">
        <v>844</v>
      </c>
      <c r="B847" s="7" t="str">
        <f>"38662022042115023027979"</f>
        <v>38662022042115023027979</v>
      </c>
      <c r="C847" s="7" t="s">
        <v>13</v>
      </c>
      <c r="D847" s="7" t="str">
        <f>"陈欣玫"</f>
        <v>陈欣玫</v>
      </c>
      <c r="E847" s="7" t="str">
        <f t="shared" si="43"/>
        <v>女</v>
      </c>
    </row>
    <row r="848" spans="1:5" ht="30" customHeight="1">
      <c r="A848" s="7">
        <v>845</v>
      </c>
      <c r="B848" s="7" t="str">
        <f>"38662022042115065328019"</f>
        <v>38662022042115065328019</v>
      </c>
      <c r="C848" s="7" t="s">
        <v>13</v>
      </c>
      <c r="D848" s="7" t="str">
        <f>"陈海虹"</f>
        <v>陈海虹</v>
      </c>
      <c r="E848" s="7" t="str">
        <f t="shared" si="43"/>
        <v>女</v>
      </c>
    </row>
    <row r="849" spans="1:5" ht="30" customHeight="1">
      <c r="A849" s="7">
        <v>846</v>
      </c>
      <c r="B849" s="7" t="str">
        <f>"38662022042115092228041"</f>
        <v>38662022042115092228041</v>
      </c>
      <c r="C849" s="7" t="s">
        <v>13</v>
      </c>
      <c r="D849" s="7" t="str">
        <f>"卢炳欣"</f>
        <v>卢炳欣</v>
      </c>
      <c r="E849" s="7" t="str">
        <f t="shared" si="43"/>
        <v>女</v>
      </c>
    </row>
    <row r="850" spans="1:5" ht="30" customHeight="1">
      <c r="A850" s="7">
        <v>847</v>
      </c>
      <c r="B850" s="7" t="str">
        <f>"38662022042115094828048"</f>
        <v>38662022042115094828048</v>
      </c>
      <c r="C850" s="7" t="s">
        <v>13</v>
      </c>
      <c r="D850" s="7" t="str">
        <f>"吴清冰"</f>
        <v>吴清冰</v>
      </c>
      <c r="E850" s="7" t="str">
        <f t="shared" si="43"/>
        <v>女</v>
      </c>
    </row>
    <row r="851" spans="1:5" ht="30" customHeight="1">
      <c r="A851" s="7">
        <v>848</v>
      </c>
      <c r="B851" s="7" t="str">
        <f>"38662022042115141428094"</f>
        <v>38662022042115141428094</v>
      </c>
      <c r="C851" s="7" t="s">
        <v>13</v>
      </c>
      <c r="D851" s="7" t="str">
        <f>"谭文颖"</f>
        <v>谭文颖</v>
      </c>
      <c r="E851" s="7" t="str">
        <f t="shared" si="43"/>
        <v>女</v>
      </c>
    </row>
    <row r="852" spans="1:5" ht="30" customHeight="1">
      <c r="A852" s="7">
        <v>849</v>
      </c>
      <c r="B852" s="7" t="str">
        <f>"38662022042115150128102"</f>
        <v>38662022042115150128102</v>
      </c>
      <c r="C852" s="7" t="s">
        <v>13</v>
      </c>
      <c r="D852" s="7" t="str">
        <f>"马敏敏"</f>
        <v>马敏敏</v>
      </c>
      <c r="E852" s="7" t="str">
        <f t="shared" si="43"/>
        <v>女</v>
      </c>
    </row>
    <row r="853" spans="1:5" ht="30" customHeight="1">
      <c r="A853" s="7">
        <v>850</v>
      </c>
      <c r="B853" s="7" t="str">
        <f>"38662022042115191428143"</f>
        <v>38662022042115191428143</v>
      </c>
      <c r="C853" s="7" t="s">
        <v>13</v>
      </c>
      <c r="D853" s="7" t="str">
        <f>"潘晓虹"</f>
        <v>潘晓虹</v>
      </c>
      <c r="E853" s="7" t="str">
        <f t="shared" si="43"/>
        <v>女</v>
      </c>
    </row>
    <row r="854" spans="1:5" ht="30" customHeight="1">
      <c r="A854" s="7">
        <v>851</v>
      </c>
      <c r="B854" s="7" t="str">
        <f>"38662022042115291328226"</f>
        <v>38662022042115291328226</v>
      </c>
      <c r="C854" s="7" t="s">
        <v>13</v>
      </c>
      <c r="D854" s="7" t="str">
        <f>"王樱抚"</f>
        <v>王樱抚</v>
      </c>
      <c r="E854" s="7" t="str">
        <f t="shared" si="43"/>
        <v>女</v>
      </c>
    </row>
    <row r="855" spans="1:5" ht="30" customHeight="1">
      <c r="A855" s="7">
        <v>852</v>
      </c>
      <c r="B855" s="7" t="str">
        <f>"38662022042115424028325"</f>
        <v>38662022042115424028325</v>
      </c>
      <c r="C855" s="7" t="s">
        <v>13</v>
      </c>
      <c r="D855" s="7" t="str">
        <f>"陈赛苗"</f>
        <v>陈赛苗</v>
      </c>
      <c r="E855" s="7" t="str">
        <f t="shared" si="43"/>
        <v>女</v>
      </c>
    </row>
    <row r="856" spans="1:5" ht="30" customHeight="1">
      <c r="A856" s="7">
        <v>853</v>
      </c>
      <c r="B856" s="7" t="str">
        <f>"38662022042115483228376"</f>
        <v>38662022042115483228376</v>
      </c>
      <c r="C856" s="7" t="s">
        <v>13</v>
      </c>
      <c r="D856" s="7" t="str">
        <f>"黄美佳"</f>
        <v>黄美佳</v>
      </c>
      <c r="E856" s="7" t="str">
        <f t="shared" si="43"/>
        <v>女</v>
      </c>
    </row>
    <row r="857" spans="1:5" ht="30" customHeight="1">
      <c r="A857" s="7">
        <v>854</v>
      </c>
      <c r="B857" s="7" t="str">
        <f>"38662022042115533128416"</f>
        <v>38662022042115533128416</v>
      </c>
      <c r="C857" s="7" t="s">
        <v>13</v>
      </c>
      <c r="D857" s="7" t="str">
        <f>"刘海霞"</f>
        <v>刘海霞</v>
      </c>
      <c r="E857" s="7" t="str">
        <f t="shared" si="43"/>
        <v>女</v>
      </c>
    </row>
    <row r="858" spans="1:5" ht="30" customHeight="1">
      <c r="A858" s="7">
        <v>855</v>
      </c>
      <c r="B858" s="7" t="str">
        <f>"38662022042116171128564"</f>
        <v>38662022042116171128564</v>
      </c>
      <c r="C858" s="7" t="s">
        <v>13</v>
      </c>
      <c r="D858" s="7" t="str">
        <f>"刘缯铭"</f>
        <v>刘缯铭</v>
      </c>
      <c r="E858" s="7" t="str">
        <f t="shared" si="43"/>
        <v>女</v>
      </c>
    </row>
    <row r="859" spans="1:5" ht="30" customHeight="1">
      <c r="A859" s="7">
        <v>856</v>
      </c>
      <c r="B859" s="7" t="str">
        <f>"38662022042116252728634"</f>
        <v>38662022042116252728634</v>
      </c>
      <c r="C859" s="7" t="s">
        <v>13</v>
      </c>
      <c r="D859" s="7" t="str">
        <f>"王惠"</f>
        <v>王惠</v>
      </c>
      <c r="E859" s="7" t="str">
        <f t="shared" si="43"/>
        <v>女</v>
      </c>
    </row>
    <row r="860" spans="1:5" ht="30" customHeight="1">
      <c r="A860" s="7">
        <v>857</v>
      </c>
      <c r="B860" s="7" t="str">
        <f>"38662022042116260628641"</f>
        <v>38662022042116260628641</v>
      </c>
      <c r="C860" s="7" t="s">
        <v>13</v>
      </c>
      <c r="D860" s="7" t="str">
        <f>"何理培"</f>
        <v>何理培</v>
      </c>
      <c r="E860" s="7" t="str">
        <f t="shared" si="43"/>
        <v>女</v>
      </c>
    </row>
    <row r="861" spans="1:5" ht="30" customHeight="1">
      <c r="A861" s="7">
        <v>858</v>
      </c>
      <c r="B861" s="7" t="str">
        <f>"38662022042116310828667"</f>
        <v>38662022042116310828667</v>
      </c>
      <c r="C861" s="7" t="s">
        <v>13</v>
      </c>
      <c r="D861" s="7" t="str">
        <f>"俞思曼"</f>
        <v>俞思曼</v>
      </c>
      <c r="E861" s="7" t="str">
        <f t="shared" si="43"/>
        <v>女</v>
      </c>
    </row>
    <row r="862" spans="1:5" ht="30" customHeight="1">
      <c r="A862" s="7">
        <v>859</v>
      </c>
      <c r="B862" s="7" t="str">
        <f>"38662022042116385928713"</f>
        <v>38662022042116385928713</v>
      </c>
      <c r="C862" s="7" t="s">
        <v>13</v>
      </c>
      <c r="D862" s="7" t="str">
        <f>"李日红"</f>
        <v>李日红</v>
      </c>
      <c r="E862" s="7" t="str">
        <f t="shared" si="43"/>
        <v>女</v>
      </c>
    </row>
    <row r="863" spans="1:5" ht="30" customHeight="1">
      <c r="A863" s="7">
        <v>860</v>
      </c>
      <c r="B863" s="7" t="str">
        <f>"38662022042116393628719"</f>
        <v>38662022042116393628719</v>
      </c>
      <c r="C863" s="7" t="s">
        <v>13</v>
      </c>
      <c r="D863" s="7" t="str">
        <f>"黄春"</f>
        <v>黄春</v>
      </c>
      <c r="E863" s="7" t="str">
        <f t="shared" si="43"/>
        <v>女</v>
      </c>
    </row>
    <row r="864" spans="1:5" ht="30" customHeight="1">
      <c r="A864" s="7">
        <v>861</v>
      </c>
      <c r="B864" s="7" t="str">
        <f>"38662022042116455928763"</f>
        <v>38662022042116455928763</v>
      </c>
      <c r="C864" s="7" t="s">
        <v>13</v>
      </c>
      <c r="D864" s="7" t="str">
        <f>"苏先敏"</f>
        <v>苏先敏</v>
      </c>
      <c r="E864" s="7" t="str">
        <f t="shared" si="43"/>
        <v>女</v>
      </c>
    </row>
    <row r="865" spans="1:5" ht="30" customHeight="1">
      <c r="A865" s="7">
        <v>862</v>
      </c>
      <c r="B865" s="7" t="str">
        <f>"38662022042116463828767"</f>
        <v>38662022042116463828767</v>
      </c>
      <c r="C865" s="7" t="s">
        <v>13</v>
      </c>
      <c r="D865" s="7" t="str">
        <f>"王日珠"</f>
        <v>王日珠</v>
      </c>
      <c r="E865" s="7" t="str">
        <f t="shared" si="43"/>
        <v>女</v>
      </c>
    </row>
    <row r="866" spans="1:5" ht="30" customHeight="1">
      <c r="A866" s="7">
        <v>863</v>
      </c>
      <c r="B866" s="7" t="str">
        <f>"38662022042116495528788"</f>
        <v>38662022042116495528788</v>
      </c>
      <c r="C866" s="7" t="s">
        <v>13</v>
      </c>
      <c r="D866" s="7" t="str">
        <f>"陈盛美"</f>
        <v>陈盛美</v>
      </c>
      <c r="E866" s="7" t="str">
        <f t="shared" si="43"/>
        <v>女</v>
      </c>
    </row>
    <row r="867" spans="1:5" ht="30" customHeight="1">
      <c r="A867" s="7">
        <v>864</v>
      </c>
      <c r="B867" s="7" t="str">
        <f>"38662022042116521328806"</f>
        <v>38662022042116521328806</v>
      </c>
      <c r="C867" s="7" t="s">
        <v>13</v>
      </c>
      <c r="D867" s="7" t="str">
        <f>"李慧芹"</f>
        <v>李慧芹</v>
      </c>
      <c r="E867" s="7" t="str">
        <f t="shared" si="43"/>
        <v>女</v>
      </c>
    </row>
    <row r="868" spans="1:5" ht="30" customHeight="1">
      <c r="A868" s="7">
        <v>865</v>
      </c>
      <c r="B868" s="7" t="str">
        <f>"38662022042117144828961"</f>
        <v>38662022042117144828961</v>
      </c>
      <c r="C868" s="7" t="s">
        <v>13</v>
      </c>
      <c r="D868" s="7" t="str">
        <f>"李青榕"</f>
        <v>李青榕</v>
      </c>
      <c r="E868" s="7" t="str">
        <f t="shared" si="43"/>
        <v>女</v>
      </c>
    </row>
    <row r="869" spans="1:5" ht="30" customHeight="1">
      <c r="A869" s="7">
        <v>866</v>
      </c>
      <c r="B869" s="7" t="str">
        <f>"38662022042117330429057"</f>
        <v>38662022042117330429057</v>
      </c>
      <c r="C869" s="7" t="s">
        <v>13</v>
      </c>
      <c r="D869" s="7" t="str">
        <f>"王小环"</f>
        <v>王小环</v>
      </c>
      <c r="E869" s="7" t="str">
        <f t="shared" si="43"/>
        <v>女</v>
      </c>
    </row>
    <row r="870" spans="1:5" ht="30" customHeight="1">
      <c r="A870" s="7">
        <v>867</v>
      </c>
      <c r="B870" s="7" t="str">
        <f>"38662022042117512729157"</f>
        <v>38662022042117512729157</v>
      </c>
      <c r="C870" s="7" t="s">
        <v>13</v>
      </c>
      <c r="D870" s="7" t="str">
        <f>"麦绍妹"</f>
        <v>麦绍妹</v>
      </c>
      <c r="E870" s="7" t="str">
        <f t="shared" si="43"/>
        <v>女</v>
      </c>
    </row>
    <row r="871" spans="1:5" ht="30" customHeight="1">
      <c r="A871" s="7">
        <v>868</v>
      </c>
      <c r="B871" s="7" t="str">
        <f>"38662022042117532229169"</f>
        <v>38662022042117532229169</v>
      </c>
      <c r="C871" s="7" t="s">
        <v>13</v>
      </c>
      <c r="D871" s="7" t="str">
        <f>"陈财来"</f>
        <v>陈财来</v>
      </c>
      <c r="E871" s="7" t="str">
        <f t="shared" si="43"/>
        <v>女</v>
      </c>
    </row>
    <row r="872" spans="1:5" ht="30" customHeight="1">
      <c r="A872" s="7">
        <v>869</v>
      </c>
      <c r="B872" s="7" t="str">
        <f>"38662022042117593429202"</f>
        <v>38662022042117593429202</v>
      </c>
      <c r="C872" s="7" t="s">
        <v>13</v>
      </c>
      <c r="D872" s="7" t="str">
        <f>"林明歌"</f>
        <v>林明歌</v>
      </c>
      <c r="E872" s="7" t="str">
        <f>"男"</f>
        <v>男</v>
      </c>
    </row>
    <row r="873" spans="1:5" ht="30" customHeight="1">
      <c r="A873" s="7">
        <v>870</v>
      </c>
      <c r="B873" s="7" t="str">
        <f>"38662022042117594229204"</f>
        <v>38662022042117594229204</v>
      </c>
      <c r="C873" s="7" t="s">
        <v>13</v>
      </c>
      <c r="D873" s="7" t="str">
        <f>"黄欢怡"</f>
        <v>黄欢怡</v>
      </c>
      <c r="E873" s="7" t="str">
        <f aca="true" t="shared" si="44" ref="E873:E881">"女"</f>
        <v>女</v>
      </c>
    </row>
    <row r="874" spans="1:5" ht="30" customHeight="1">
      <c r="A874" s="7">
        <v>871</v>
      </c>
      <c r="B874" s="7" t="str">
        <f>"38662022042118050729229"</f>
        <v>38662022042118050729229</v>
      </c>
      <c r="C874" s="7" t="s">
        <v>13</v>
      </c>
      <c r="D874" s="7" t="str">
        <f>"朱柳书"</f>
        <v>朱柳书</v>
      </c>
      <c r="E874" s="7" t="str">
        <f t="shared" si="44"/>
        <v>女</v>
      </c>
    </row>
    <row r="875" spans="1:5" ht="30" customHeight="1">
      <c r="A875" s="7">
        <v>872</v>
      </c>
      <c r="B875" s="7" t="str">
        <f>"38662022042118142329262"</f>
        <v>38662022042118142329262</v>
      </c>
      <c r="C875" s="7" t="s">
        <v>13</v>
      </c>
      <c r="D875" s="7" t="str">
        <f>"邱小颜"</f>
        <v>邱小颜</v>
      </c>
      <c r="E875" s="7" t="str">
        <f t="shared" si="44"/>
        <v>女</v>
      </c>
    </row>
    <row r="876" spans="1:5" ht="30" customHeight="1">
      <c r="A876" s="7">
        <v>873</v>
      </c>
      <c r="B876" s="7" t="str">
        <f>"38662022042118241629299"</f>
        <v>38662022042118241629299</v>
      </c>
      <c r="C876" s="7" t="s">
        <v>13</v>
      </c>
      <c r="D876" s="7" t="str">
        <f>"李丽洁"</f>
        <v>李丽洁</v>
      </c>
      <c r="E876" s="7" t="str">
        <f t="shared" si="44"/>
        <v>女</v>
      </c>
    </row>
    <row r="877" spans="1:5" ht="30" customHeight="1">
      <c r="A877" s="7">
        <v>874</v>
      </c>
      <c r="B877" s="7" t="str">
        <f>"38662022042118515029406"</f>
        <v>38662022042118515029406</v>
      </c>
      <c r="C877" s="7" t="s">
        <v>13</v>
      </c>
      <c r="D877" s="7" t="str">
        <f>"陈明颖"</f>
        <v>陈明颖</v>
      </c>
      <c r="E877" s="7" t="str">
        <f t="shared" si="44"/>
        <v>女</v>
      </c>
    </row>
    <row r="878" spans="1:5" ht="30" customHeight="1">
      <c r="A878" s="7">
        <v>875</v>
      </c>
      <c r="B878" s="7" t="str">
        <f>"38662022042119003829450"</f>
        <v>38662022042119003829450</v>
      </c>
      <c r="C878" s="7" t="s">
        <v>13</v>
      </c>
      <c r="D878" s="7" t="str">
        <f>"羊钰"</f>
        <v>羊钰</v>
      </c>
      <c r="E878" s="7" t="str">
        <f t="shared" si="44"/>
        <v>女</v>
      </c>
    </row>
    <row r="879" spans="1:5" ht="30" customHeight="1">
      <c r="A879" s="7">
        <v>876</v>
      </c>
      <c r="B879" s="7" t="str">
        <f>"38662022042119045229472"</f>
        <v>38662022042119045229472</v>
      </c>
      <c r="C879" s="7" t="s">
        <v>13</v>
      </c>
      <c r="D879" s="7" t="str">
        <f>"张秀丽"</f>
        <v>张秀丽</v>
      </c>
      <c r="E879" s="7" t="str">
        <f t="shared" si="44"/>
        <v>女</v>
      </c>
    </row>
    <row r="880" spans="1:5" ht="30" customHeight="1">
      <c r="A880" s="7">
        <v>877</v>
      </c>
      <c r="B880" s="7" t="str">
        <f>"38662022042119211329546"</f>
        <v>38662022042119211329546</v>
      </c>
      <c r="C880" s="7" t="s">
        <v>13</v>
      </c>
      <c r="D880" s="7" t="str">
        <f>"关长娟"</f>
        <v>关长娟</v>
      </c>
      <c r="E880" s="7" t="str">
        <f t="shared" si="44"/>
        <v>女</v>
      </c>
    </row>
    <row r="881" spans="1:5" ht="30" customHeight="1">
      <c r="A881" s="7">
        <v>878</v>
      </c>
      <c r="B881" s="7" t="str">
        <f>"38662022042119252229563"</f>
        <v>38662022042119252229563</v>
      </c>
      <c r="C881" s="7" t="s">
        <v>13</v>
      </c>
      <c r="D881" s="7" t="str">
        <f>"吴艺洁"</f>
        <v>吴艺洁</v>
      </c>
      <c r="E881" s="7" t="str">
        <f t="shared" si="44"/>
        <v>女</v>
      </c>
    </row>
    <row r="882" spans="1:5" ht="30" customHeight="1">
      <c r="A882" s="7">
        <v>879</v>
      </c>
      <c r="B882" s="7" t="str">
        <f>"38662022042119323429598"</f>
        <v>38662022042119323429598</v>
      </c>
      <c r="C882" s="7" t="s">
        <v>13</v>
      </c>
      <c r="D882" s="7" t="str">
        <f>"朱立军"</f>
        <v>朱立军</v>
      </c>
      <c r="E882" s="7" t="str">
        <f>"男"</f>
        <v>男</v>
      </c>
    </row>
    <row r="883" spans="1:5" ht="30" customHeight="1">
      <c r="A883" s="7">
        <v>880</v>
      </c>
      <c r="B883" s="7" t="str">
        <f>"38662022042119435029650"</f>
        <v>38662022042119435029650</v>
      </c>
      <c r="C883" s="7" t="s">
        <v>13</v>
      </c>
      <c r="D883" s="7" t="str">
        <f>"羊多枫"</f>
        <v>羊多枫</v>
      </c>
      <c r="E883" s="7" t="str">
        <f aca="true" t="shared" si="45" ref="E883:E895">"女"</f>
        <v>女</v>
      </c>
    </row>
    <row r="884" spans="1:5" ht="30" customHeight="1">
      <c r="A884" s="7">
        <v>881</v>
      </c>
      <c r="B884" s="7" t="str">
        <f>"38662022042119444029654"</f>
        <v>38662022042119444029654</v>
      </c>
      <c r="C884" s="7" t="s">
        <v>13</v>
      </c>
      <c r="D884" s="7" t="str">
        <f>"陈熙文"</f>
        <v>陈熙文</v>
      </c>
      <c r="E884" s="7" t="str">
        <f t="shared" si="45"/>
        <v>女</v>
      </c>
    </row>
    <row r="885" spans="1:5" ht="30" customHeight="1">
      <c r="A885" s="7">
        <v>882</v>
      </c>
      <c r="B885" s="7" t="str">
        <f>"38662022042119463429663"</f>
        <v>38662022042119463429663</v>
      </c>
      <c r="C885" s="7" t="s">
        <v>13</v>
      </c>
      <c r="D885" s="7" t="str">
        <f>"潘敏敏"</f>
        <v>潘敏敏</v>
      </c>
      <c r="E885" s="7" t="str">
        <f t="shared" si="45"/>
        <v>女</v>
      </c>
    </row>
    <row r="886" spans="1:5" ht="30" customHeight="1">
      <c r="A886" s="7">
        <v>883</v>
      </c>
      <c r="B886" s="7" t="str">
        <f>"38662022042119491229670"</f>
        <v>38662022042119491229670</v>
      </c>
      <c r="C886" s="7" t="s">
        <v>13</v>
      </c>
      <c r="D886" s="7" t="str">
        <f>"郭智嘉"</f>
        <v>郭智嘉</v>
      </c>
      <c r="E886" s="7" t="str">
        <f t="shared" si="45"/>
        <v>女</v>
      </c>
    </row>
    <row r="887" spans="1:5" ht="30" customHeight="1">
      <c r="A887" s="7">
        <v>884</v>
      </c>
      <c r="B887" s="7" t="str">
        <f>"38662022042120115029773"</f>
        <v>38662022042120115029773</v>
      </c>
      <c r="C887" s="7" t="s">
        <v>13</v>
      </c>
      <c r="D887" s="7" t="str">
        <f>"林秀带"</f>
        <v>林秀带</v>
      </c>
      <c r="E887" s="7" t="str">
        <f t="shared" si="45"/>
        <v>女</v>
      </c>
    </row>
    <row r="888" spans="1:5" ht="30" customHeight="1">
      <c r="A888" s="7">
        <v>885</v>
      </c>
      <c r="B888" s="7" t="str">
        <f>"38662022042120175529800"</f>
        <v>38662022042120175529800</v>
      </c>
      <c r="C888" s="7" t="s">
        <v>13</v>
      </c>
      <c r="D888" s="7" t="str">
        <f>"伍淑妍"</f>
        <v>伍淑妍</v>
      </c>
      <c r="E888" s="7" t="str">
        <f t="shared" si="45"/>
        <v>女</v>
      </c>
    </row>
    <row r="889" spans="1:5" ht="30" customHeight="1">
      <c r="A889" s="7">
        <v>886</v>
      </c>
      <c r="B889" s="7" t="str">
        <f>"38662022042120215429818"</f>
        <v>38662022042120215429818</v>
      </c>
      <c r="C889" s="7" t="s">
        <v>13</v>
      </c>
      <c r="D889" s="7" t="str">
        <f>"黄小妹"</f>
        <v>黄小妹</v>
      </c>
      <c r="E889" s="7" t="str">
        <f t="shared" si="45"/>
        <v>女</v>
      </c>
    </row>
    <row r="890" spans="1:5" ht="30" customHeight="1">
      <c r="A890" s="7">
        <v>887</v>
      </c>
      <c r="B890" s="7" t="str">
        <f>"38662022042120264829841"</f>
        <v>38662022042120264829841</v>
      </c>
      <c r="C890" s="7" t="s">
        <v>13</v>
      </c>
      <c r="D890" s="7" t="str">
        <f>"陈莉金"</f>
        <v>陈莉金</v>
      </c>
      <c r="E890" s="7" t="str">
        <f t="shared" si="45"/>
        <v>女</v>
      </c>
    </row>
    <row r="891" spans="1:5" ht="30" customHeight="1">
      <c r="A891" s="7">
        <v>888</v>
      </c>
      <c r="B891" s="7" t="str">
        <f>"38662022042120274529846"</f>
        <v>38662022042120274529846</v>
      </c>
      <c r="C891" s="7" t="s">
        <v>13</v>
      </c>
      <c r="D891" s="7" t="str">
        <f>"李娜"</f>
        <v>李娜</v>
      </c>
      <c r="E891" s="7" t="str">
        <f t="shared" si="45"/>
        <v>女</v>
      </c>
    </row>
    <row r="892" spans="1:5" ht="30" customHeight="1">
      <c r="A892" s="7">
        <v>889</v>
      </c>
      <c r="B892" s="7" t="str">
        <f>"38662022042120282629852"</f>
        <v>38662022042120282629852</v>
      </c>
      <c r="C892" s="7" t="s">
        <v>13</v>
      </c>
      <c r="D892" s="7" t="str">
        <f>"林忆莹"</f>
        <v>林忆莹</v>
      </c>
      <c r="E892" s="7" t="str">
        <f t="shared" si="45"/>
        <v>女</v>
      </c>
    </row>
    <row r="893" spans="1:5" ht="30" customHeight="1">
      <c r="A893" s="7">
        <v>890</v>
      </c>
      <c r="B893" s="7" t="str">
        <f>"38662022042120292329859"</f>
        <v>38662022042120292329859</v>
      </c>
      <c r="C893" s="7" t="s">
        <v>13</v>
      </c>
      <c r="D893" s="7" t="str">
        <f>"孟庆玫"</f>
        <v>孟庆玫</v>
      </c>
      <c r="E893" s="7" t="str">
        <f t="shared" si="45"/>
        <v>女</v>
      </c>
    </row>
    <row r="894" spans="1:5" ht="30" customHeight="1">
      <c r="A894" s="7">
        <v>891</v>
      </c>
      <c r="B894" s="7" t="str">
        <f>"38662022042120315629879"</f>
        <v>38662022042120315629879</v>
      </c>
      <c r="C894" s="7" t="s">
        <v>13</v>
      </c>
      <c r="D894" s="7" t="str">
        <f>"羊香梅"</f>
        <v>羊香梅</v>
      </c>
      <c r="E894" s="7" t="str">
        <f t="shared" si="45"/>
        <v>女</v>
      </c>
    </row>
    <row r="895" spans="1:5" ht="30" customHeight="1">
      <c r="A895" s="7">
        <v>892</v>
      </c>
      <c r="B895" s="7" t="str">
        <f>"38662022042120371329913"</f>
        <v>38662022042120371329913</v>
      </c>
      <c r="C895" s="7" t="s">
        <v>13</v>
      </c>
      <c r="D895" s="7" t="str">
        <f>"陈瑞雪"</f>
        <v>陈瑞雪</v>
      </c>
      <c r="E895" s="7" t="str">
        <f t="shared" si="45"/>
        <v>女</v>
      </c>
    </row>
    <row r="896" spans="1:5" ht="30" customHeight="1">
      <c r="A896" s="7">
        <v>893</v>
      </c>
      <c r="B896" s="7" t="str">
        <f>"38662022042121001730035"</f>
        <v>38662022042121001730035</v>
      </c>
      <c r="C896" s="7" t="s">
        <v>13</v>
      </c>
      <c r="D896" s="7" t="str">
        <f>"刘家伟"</f>
        <v>刘家伟</v>
      </c>
      <c r="E896" s="7" t="str">
        <f>"男"</f>
        <v>男</v>
      </c>
    </row>
    <row r="897" spans="1:5" ht="30" customHeight="1">
      <c r="A897" s="7">
        <v>894</v>
      </c>
      <c r="B897" s="7" t="str">
        <f>"38662022042121194830148"</f>
        <v>38662022042121194830148</v>
      </c>
      <c r="C897" s="7" t="s">
        <v>13</v>
      </c>
      <c r="D897" s="7" t="str">
        <f>"邱欢艳"</f>
        <v>邱欢艳</v>
      </c>
      <c r="E897" s="7" t="str">
        <f>"女"</f>
        <v>女</v>
      </c>
    </row>
    <row r="898" spans="1:5" ht="30" customHeight="1">
      <c r="A898" s="7">
        <v>895</v>
      </c>
      <c r="B898" s="7" t="str">
        <f>"38662022042121195130150"</f>
        <v>38662022042121195130150</v>
      </c>
      <c r="C898" s="7" t="s">
        <v>13</v>
      </c>
      <c r="D898" s="7" t="str">
        <f>"王艺桦"</f>
        <v>王艺桦</v>
      </c>
      <c r="E898" s="7" t="str">
        <f>"女"</f>
        <v>女</v>
      </c>
    </row>
    <row r="899" spans="1:5" ht="30" customHeight="1">
      <c r="A899" s="7">
        <v>896</v>
      </c>
      <c r="B899" s="7" t="str">
        <f>"38662022042121255330182"</f>
        <v>38662022042121255330182</v>
      </c>
      <c r="C899" s="7" t="s">
        <v>13</v>
      </c>
      <c r="D899" s="7" t="str">
        <f>"钟富琴"</f>
        <v>钟富琴</v>
      </c>
      <c r="E899" s="7" t="str">
        <f>"女"</f>
        <v>女</v>
      </c>
    </row>
    <row r="900" spans="1:5" ht="30" customHeight="1">
      <c r="A900" s="7">
        <v>897</v>
      </c>
      <c r="B900" s="7" t="str">
        <f>"38662022042121345730229"</f>
        <v>38662022042121345730229</v>
      </c>
      <c r="C900" s="7" t="s">
        <v>13</v>
      </c>
      <c r="D900" s="7" t="str">
        <f>"邢增菊"</f>
        <v>邢增菊</v>
      </c>
      <c r="E900" s="7" t="str">
        <f>"女"</f>
        <v>女</v>
      </c>
    </row>
    <row r="901" spans="1:5" ht="30" customHeight="1">
      <c r="A901" s="7">
        <v>898</v>
      </c>
      <c r="B901" s="7" t="str">
        <f>"38662022042122001030354"</f>
        <v>38662022042122001030354</v>
      </c>
      <c r="C901" s="7" t="s">
        <v>13</v>
      </c>
      <c r="D901" s="7" t="str">
        <f>"陈凤妍"</f>
        <v>陈凤妍</v>
      </c>
      <c r="E901" s="7" t="str">
        <f>"女"</f>
        <v>女</v>
      </c>
    </row>
    <row r="902" spans="1:5" ht="30" customHeight="1">
      <c r="A902" s="7">
        <v>899</v>
      </c>
      <c r="B902" s="7" t="str">
        <f>"38662022042122082930410"</f>
        <v>38662022042122082930410</v>
      </c>
      <c r="C902" s="7" t="s">
        <v>13</v>
      </c>
      <c r="D902" s="7" t="str">
        <f>"符达琼"</f>
        <v>符达琼</v>
      </c>
      <c r="E902" s="7" t="str">
        <f>"男"</f>
        <v>男</v>
      </c>
    </row>
    <row r="903" spans="1:5" ht="30" customHeight="1">
      <c r="A903" s="7">
        <v>900</v>
      </c>
      <c r="B903" s="7" t="str">
        <f>"38662022042122293530504"</f>
        <v>38662022042122293530504</v>
      </c>
      <c r="C903" s="7" t="s">
        <v>13</v>
      </c>
      <c r="D903" s="7" t="str">
        <f>"陈扬"</f>
        <v>陈扬</v>
      </c>
      <c r="E903" s="7" t="str">
        <f aca="true" t="shared" si="46" ref="E903:E966">"女"</f>
        <v>女</v>
      </c>
    </row>
    <row r="904" spans="1:5" ht="30" customHeight="1">
      <c r="A904" s="7">
        <v>901</v>
      </c>
      <c r="B904" s="7" t="str">
        <f>"38662022042122405630560"</f>
        <v>38662022042122405630560</v>
      </c>
      <c r="C904" s="7" t="s">
        <v>13</v>
      </c>
      <c r="D904" s="7" t="str">
        <f>"苏丽丽"</f>
        <v>苏丽丽</v>
      </c>
      <c r="E904" s="7" t="str">
        <f t="shared" si="46"/>
        <v>女</v>
      </c>
    </row>
    <row r="905" spans="1:5" ht="30" customHeight="1">
      <c r="A905" s="7">
        <v>902</v>
      </c>
      <c r="B905" s="7" t="str">
        <f>"38662022042122540030605"</f>
        <v>38662022042122540030605</v>
      </c>
      <c r="C905" s="7" t="s">
        <v>13</v>
      </c>
      <c r="D905" s="7" t="str">
        <f>"韦文娟"</f>
        <v>韦文娟</v>
      </c>
      <c r="E905" s="7" t="str">
        <f t="shared" si="46"/>
        <v>女</v>
      </c>
    </row>
    <row r="906" spans="1:5" ht="30" customHeight="1">
      <c r="A906" s="7">
        <v>903</v>
      </c>
      <c r="B906" s="7" t="str">
        <f>"38662022042123044130648"</f>
        <v>38662022042123044130648</v>
      </c>
      <c r="C906" s="7" t="s">
        <v>13</v>
      </c>
      <c r="D906" s="7" t="str">
        <f>"阮华彩"</f>
        <v>阮华彩</v>
      </c>
      <c r="E906" s="7" t="str">
        <f t="shared" si="46"/>
        <v>女</v>
      </c>
    </row>
    <row r="907" spans="1:5" ht="30" customHeight="1">
      <c r="A907" s="7">
        <v>904</v>
      </c>
      <c r="B907" s="7" t="str">
        <f>"38662022042123062630656"</f>
        <v>38662022042123062630656</v>
      </c>
      <c r="C907" s="7" t="s">
        <v>13</v>
      </c>
      <c r="D907" s="7" t="str">
        <f>"罗圣玲"</f>
        <v>罗圣玲</v>
      </c>
      <c r="E907" s="7" t="str">
        <f t="shared" si="46"/>
        <v>女</v>
      </c>
    </row>
    <row r="908" spans="1:5" ht="30" customHeight="1">
      <c r="A908" s="7">
        <v>905</v>
      </c>
      <c r="B908" s="7" t="str">
        <f>"38662022042123071830660"</f>
        <v>38662022042123071830660</v>
      </c>
      <c r="C908" s="7" t="s">
        <v>13</v>
      </c>
      <c r="D908" s="7" t="str">
        <f>"陈小月"</f>
        <v>陈小月</v>
      </c>
      <c r="E908" s="7" t="str">
        <f t="shared" si="46"/>
        <v>女</v>
      </c>
    </row>
    <row r="909" spans="1:5" ht="30" customHeight="1">
      <c r="A909" s="7">
        <v>906</v>
      </c>
      <c r="B909" s="7" t="str">
        <f>"38662022042123105930679"</f>
        <v>38662022042123105930679</v>
      </c>
      <c r="C909" s="7" t="s">
        <v>13</v>
      </c>
      <c r="D909" s="7" t="str">
        <f>"文方婷"</f>
        <v>文方婷</v>
      </c>
      <c r="E909" s="7" t="str">
        <f t="shared" si="46"/>
        <v>女</v>
      </c>
    </row>
    <row r="910" spans="1:5" ht="30" customHeight="1">
      <c r="A910" s="7">
        <v>907</v>
      </c>
      <c r="B910" s="7" t="str">
        <f>"38662022042123304830745"</f>
        <v>38662022042123304830745</v>
      </c>
      <c r="C910" s="7" t="s">
        <v>13</v>
      </c>
      <c r="D910" s="7" t="str">
        <f>"林世萍"</f>
        <v>林世萍</v>
      </c>
      <c r="E910" s="7" t="str">
        <f t="shared" si="46"/>
        <v>女</v>
      </c>
    </row>
    <row r="911" spans="1:5" ht="30" customHeight="1">
      <c r="A911" s="7">
        <v>908</v>
      </c>
      <c r="B911" s="7" t="str">
        <f>"38662022042123324830750"</f>
        <v>38662022042123324830750</v>
      </c>
      <c r="C911" s="7" t="s">
        <v>13</v>
      </c>
      <c r="D911" s="7" t="str">
        <f>"熊嘉雯"</f>
        <v>熊嘉雯</v>
      </c>
      <c r="E911" s="7" t="str">
        <f t="shared" si="46"/>
        <v>女</v>
      </c>
    </row>
    <row r="912" spans="1:5" ht="30" customHeight="1">
      <c r="A912" s="7">
        <v>909</v>
      </c>
      <c r="B912" s="7" t="str">
        <f>"38662022042123340430754"</f>
        <v>38662022042123340430754</v>
      </c>
      <c r="C912" s="7" t="s">
        <v>13</v>
      </c>
      <c r="D912" s="7" t="str">
        <f>"吴婷婷"</f>
        <v>吴婷婷</v>
      </c>
      <c r="E912" s="7" t="str">
        <f t="shared" si="46"/>
        <v>女</v>
      </c>
    </row>
    <row r="913" spans="1:5" ht="30" customHeight="1">
      <c r="A913" s="7">
        <v>910</v>
      </c>
      <c r="B913" s="7" t="str">
        <f>"38662022042123522330784"</f>
        <v>38662022042123522330784</v>
      </c>
      <c r="C913" s="7" t="s">
        <v>13</v>
      </c>
      <c r="D913" s="7" t="str">
        <f>"杨辛飞"</f>
        <v>杨辛飞</v>
      </c>
      <c r="E913" s="7" t="str">
        <f t="shared" si="46"/>
        <v>女</v>
      </c>
    </row>
    <row r="914" spans="1:5" ht="30" customHeight="1">
      <c r="A914" s="7">
        <v>911</v>
      </c>
      <c r="B914" s="7" t="str">
        <f>"38662022042123543430791"</f>
        <v>38662022042123543430791</v>
      </c>
      <c r="C914" s="7" t="s">
        <v>13</v>
      </c>
      <c r="D914" s="7" t="str">
        <f>"邓奇英"</f>
        <v>邓奇英</v>
      </c>
      <c r="E914" s="7" t="str">
        <f t="shared" si="46"/>
        <v>女</v>
      </c>
    </row>
    <row r="915" spans="1:5" ht="30" customHeight="1">
      <c r="A915" s="7">
        <v>912</v>
      </c>
      <c r="B915" s="7" t="str">
        <f>"38662022042208151230962"</f>
        <v>38662022042208151230962</v>
      </c>
      <c r="C915" s="7" t="s">
        <v>13</v>
      </c>
      <c r="D915" s="7" t="str">
        <f>"吉微"</f>
        <v>吉微</v>
      </c>
      <c r="E915" s="7" t="str">
        <f t="shared" si="46"/>
        <v>女</v>
      </c>
    </row>
    <row r="916" spans="1:5" ht="30" customHeight="1">
      <c r="A916" s="7">
        <v>913</v>
      </c>
      <c r="B916" s="7" t="str">
        <f>"38662022042208215430983"</f>
        <v>38662022042208215430983</v>
      </c>
      <c r="C916" s="7" t="s">
        <v>13</v>
      </c>
      <c r="D916" s="7" t="str">
        <f>"符利静"</f>
        <v>符利静</v>
      </c>
      <c r="E916" s="7" t="str">
        <f t="shared" si="46"/>
        <v>女</v>
      </c>
    </row>
    <row r="917" spans="1:5" ht="30" customHeight="1">
      <c r="A917" s="7">
        <v>914</v>
      </c>
      <c r="B917" s="7" t="str">
        <f>"38662022042208322831011"</f>
        <v>38662022042208322831011</v>
      </c>
      <c r="C917" s="7" t="s">
        <v>13</v>
      </c>
      <c r="D917" s="7" t="str">
        <f>"文真真"</f>
        <v>文真真</v>
      </c>
      <c r="E917" s="7" t="str">
        <f t="shared" si="46"/>
        <v>女</v>
      </c>
    </row>
    <row r="918" spans="1:5" ht="30" customHeight="1">
      <c r="A918" s="7">
        <v>915</v>
      </c>
      <c r="B918" s="7" t="str">
        <f>"38662022042208420631043"</f>
        <v>38662022042208420631043</v>
      </c>
      <c r="C918" s="7" t="s">
        <v>13</v>
      </c>
      <c r="D918" s="7" t="str">
        <f>"文梅燕"</f>
        <v>文梅燕</v>
      </c>
      <c r="E918" s="7" t="str">
        <f t="shared" si="46"/>
        <v>女</v>
      </c>
    </row>
    <row r="919" spans="1:5" ht="30" customHeight="1">
      <c r="A919" s="7">
        <v>916</v>
      </c>
      <c r="B919" s="7" t="str">
        <f>"38662022042208421231044"</f>
        <v>38662022042208421231044</v>
      </c>
      <c r="C919" s="7" t="s">
        <v>13</v>
      </c>
      <c r="D919" s="7" t="str">
        <f>"黄奕琳"</f>
        <v>黄奕琳</v>
      </c>
      <c r="E919" s="7" t="str">
        <f t="shared" si="46"/>
        <v>女</v>
      </c>
    </row>
    <row r="920" spans="1:5" ht="30" customHeight="1">
      <c r="A920" s="7">
        <v>917</v>
      </c>
      <c r="B920" s="7" t="str">
        <f>"38662022042208520731083"</f>
        <v>38662022042208520731083</v>
      </c>
      <c r="C920" s="7" t="s">
        <v>13</v>
      </c>
      <c r="D920" s="7" t="str">
        <f>"陈少密"</f>
        <v>陈少密</v>
      </c>
      <c r="E920" s="7" t="str">
        <f t="shared" si="46"/>
        <v>女</v>
      </c>
    </row>
    <row r="921" spans="1:5" ht="30" customHeight="1">
      <c r="A921" s="7">
        <v>918</v>
      </c>
      <c r="B921" s="7" t="str">
        <f>"38662022042209032931138"</f>
        <v>38662022042209032931138</v>
      </c>
      <c r="C921" s="7" t="s">
        <v>13</v>
      </c>
      <c r="D921" s="7" t="str">
        <f>"董杏妍"</f>
        <v>董杏妍</v>
      </c>
      <c r="E921" s="7" t="str">
        <f t="shared" si="46"/>
        <v>女</v>
      </c>
    </row>
    <row r="922" spans="1:5" ht="30" customHeight="1">
      <c r="A922" s="7">
        <v>919</v>
      </c>
      <c r="B922" s="7" t="str">
        <f>"38662022042209044131145"</f>
        <v>38662022042209044131145</v>
      </c>
      <c r="C922" s="7" t="s">
        <v>13</v>
      </c>
      <c r="D922" s="7" t="str">
        <f>"王恋"</f>
        <v>王恋</v>
      </c>
      <c r="E922" s="7" t="str">
        <f t="shared" si="46"/>
        <v>女</v>
      </c>
    </row>
    <row r="923" spans="1:5" ht="30" customHeight="1">
      <c r="A923" s="7">
        <v>920</v>
      </c>
      <c r="B923" s="7" t="str">
        <f>"38662022042209133431186"</f>
        <v>38662022042209133431186</v>
      </c>
      <c r="C923" s="7" t="s">
        <v>13</v>
      </c>
      <c r="D923" s="7" t="str">
        <f>"李亚楠"</f>
        <v>李亚楠</v>
      </c>
      <c r="E923" s="7" t="str">
        <f t="shared" si="46"/>
        <v>女</v>
      </c>
    </row>
    <row r="924" spans="1:5" ht="30" customHeight="1">
      <c r="A924" s="7">
        <v>921</v>
      </c>
      <c r="B924" s="7" t="str">
        <f>"38662022042209161231196"</f>
        <v>38662022042209161231196</v>
      </c>
      <c r="C924" s="7" t="s">
        <v>13</v>
      </c>
      <c r="D924" s="7" t="str">
        <f>"李娇君"</f>
        <v>李娇君</v>
      </c>
      <c r="E924" s="7" t="str">
        <f t="shared" si="46"/>
        <v>女</v>
      </c>
    </row>
    <row r="925" spans="1:5" ht="30" customHeight="1">
      <c r="A925" s="7">
        <v>922</v>
      </c>
      <c r="B925" s="7" t="str">
        <f>"38662022042209201431217"</f>
        <v>38662022042209201431217</v>
      </c>
      <c r="C925" s="7" t="s">
        <v>13</v>
      </c>
      <c r="D925" s="7" t="str">
        <f>"刘海珍"</f>
        <v>刘海珍</v>
      </c>
      <c r="E925" s="7" t="str">
        <f t="shared" si="46"/>
        <v>女</v>
      </c>
    </row>
    <row r="926" spans="1:5" ht="30" customHeight="1">
      <c r="A926" s="7">
        <v>923</v>
      </c>
      <c r="B926" s="7" t="str">
        <f>"38662022042209271631251"</f>
        <v>38662022042209271631251</v>
      </c>
      <c r="C926" s="7" t="s">
        <v>13</v>
      </c>
      <c r="D926" s="7" t="str">
        <f>"郑冬容"</f>
        <v>郑冬容</v>
      </c>
      <c r="E926" s="7" t="str">
        <f t="shared" si="46"/>
        <v>女</v>
      </c>
    </row>
    <row r="927" spans="1:5" ht="30" customHeight="1">
      <c r="A927" s="7">
        <v>924</v>
      </c>
      <c r="B927" s="7" t="str">
        <f>"38662022042209345331293"</f>
        <v>38662022042209345331293</v>
      </c>
      <c r="C927" s="7" t="s">
        <v>13</v>
      </c>
      <c r="D927" s="7" t="str">
        <f>"方妍"</f>
        <v>方妍</v>
      </c>
      <c r="E927" s="7" t="str">
        <f t="shared" si="46"/>
        <v>女</v>
      </c>
    </row>
    <row r="928" spans="1:5" ht="30" customHeight="1">
      <c r="A928" s="7">
        <v>925</v>
      </c>
      <c r="B928" s="7" t="str">
        <f>"38662022042209451631358"</f>
        <v>38662022042209451631358</v>
      </c>
      <c r="C928" s="7" t="s">
        <v>13</v>
      </c>
      <c r="D928" s="7" t="str">
        <f>"云雅"</f>
        <v>云雅</v>
      </c>
      <c r="E928" s="7" t="str">
        <f t="shared" si="46"/>
        <v>女</v>
      </c>
    </row>
    <row r="929" spans="1:5" ht="30" customHeight="1">
      <c r="A929" s="7">
        <v>926</v>
      </c>
      <c r="B929" s="7" t="str">
        <f>"38662022042209531331393"</f>
        <v>38662022042209531331393</v>
      </c>
      <c r="C929" s="7" t="s">
        <v>13</v>
      </c>
      <c r="D929" s="7" t="str">
        <f>"苏玉池"</f>
        <v>苏玉池</v>
      </c>
      <c r="E929" s="7" t="str">
        <f t="shared" si="46"/>
        <v>女</v>
      </c>
    </row>
    <row r="930" spans="1:5" ht="30" customHeight="1">
      <c r="A930" s="7">
        <v>927</v>
      </c>
      <c r="B930" s="7" t="str">
        <f>"38662022042209571431414"</f>
        <v>38662022042209571431414</v>
      </c>
      <c r="C930" s="7" t="s">
        <v>13</v>
      </c>
      <c r="D930" s="7" t="str">
        <f>"杨月兰"</f>
        <v>杨月兰</v>
      </c>
      <c r="E930" s="7" t="str">
        <f t="shared" si="46"/>
        <v>女</v>
      </c>
    </row>
    <row r="931" spans="1:5" ht="30" customHeight="1">
      <c r="A931" s="7">
        <v>928</v>
      </c>
      <c r="B931" s="7" t="str">
        <f>"38662022042210071331470"</f>
        <v>38662022042210071331470</v>
      </c>
      <c r="C931" s="7" t="s">
        <v>13</v>
      </c>
      <c r="D931" s="7" t="str">
        <f>"柴智伟"</f>
        <v>柴智伟</v>
      </c>
      <c r="E931" s="7" t="str">
        <f t="shared" si="46"/>
        <v>女</v>
      </c>
    </row>
    <row r="932" spans="1:5" ht="30" customHeight="1">
      <c r="A932" s="7">
        <v>929</v>
      </c>
      <c r="B932" s="7" t="str">
        <f>"38662022042210092731482"</f>
        <v>38662022042210092731482</v>
      </c>
      <c r="C932" s="7" t="s">
        <v>13</v>
      </c>
      <c r="D932" s="7" t="str">
        <f>"郭益含"</f>
        <v>郭益含</v>
      </c>
      <c r="E932" s="7" t="str">
        <f t="shared" si="46"/>
        <v>女</v>
      </c>
    </row>
    <row r="933" spans="1:5" ht="30" customHeight="1">
      <c r="A933" s="7">
        <v>930</v>
      </c>
      <c r="B933" s="7" t="str">
        <f>"38662022042210101831489"</f>
        <v>38662022042210101831489</v>
      </c>
      <c r="C933" s="7" t="s">
        <v>13</v>
      </c>
      <c r="D933" s="7" t="str">
        <f>"范珊珊"</f>
        <v>范珊珊</v>
      </c>
      <c r="E933" s="7" t="str">
        <f t="shared" si="46"/>
        <v>女</v>
      </c>
    </row>
    <row r="934" spans="1:5" ht="30" customHeight="1">
      <c r="A934" s="7">
        <v>931</v>
      </c>
      <c r="B934" s="7" t="str">
        <f>"38662022042210115831505"</f>
        <v>38662022042210115831505</v>
      </c>
      <c r="C934" s="7" t="s">
        <v>13</v>
      </c>
      <c r="D934" s="7" t="str">
        <f>"张肇莎"</f>
        <v>张肇莎</v>
      </c>
      <c r="E934" s="7" t="str">
        <f t="shared" si="46"/>
        <v>女</v>
      </c>
    </row>
    <row r="935" spans="1:5" ht="30" customHeight="1">
      <c r="A935" s="7">
        <v>932</v>
      </c>
      <c r="B935" s="7" t="str">
        <f>"38662022042210173131554"</f>
        <v>38662022042210173131554</v>
      </c>
      <c r="C935" s="7" t="s">
        <v>13</v>
      </c>
      <c r="D935" s="7" t="str">
        <f>"林叶玉"</f>
        <v>林叶玉</v>
      </c>
      <c r="E935" s="7" t="str">
        <f t="shared" si="46"/>
        <v>女</v>
      </c>
    </row>
    <row r="936" spans="1:5" ht="30" customHeight="1">
      <c r="A936" s="7">
        <v>933</v>
      </c>
      <c r="B936" s="7" t="str">
        <f>"38662022042210193531567"</f>
        <v>38662022042210193531567</v>
      </c>
      <c r="C936" s="7" t="s">
        <v>13</v>
      </c>
      <c r="D936" s="7" t="str">
        <f>"陈妹玉"</f>
        <v>陈妹玉</v>
      </c>
      <c r="E936" s="7" t="str">
        <f t="shared" si="46"/>
        <v>女</v>
      </c>
    </row>
    <row r="937" spans="1:5" ht="30" customHeight="1">
      <c r="A937" s="7">
        <v>934</v>
      </c>
      <c r="B937" s="7" t="str">
        <f>"38662022042210194431568"</f>
        <v>38662022042210194431568</v>
      </c>
      <c r="C937" s="7" t="s">
        <v>13</v>
      </c>
      <c r="D937" s="7" t="str">
        <f>"唐岸"</f>
        <v>唐岸</v>
      </c>
      <c r="E937" s="7" t="str">
        <f t="shared" si="46"/>
        <v>女</v>
      </c>
    </row>
    <row r="938" spans="1:5" ht="30" customHeight="1">
      <c r="A938" s="7">
        <v>935</v>
      </c>
      <c r="B938" s="7" t="str">
        <f>"38662022042210261631609"</f>
        <v>38662022042210261631609</v>
      </c>
      <c r="C938" s="7" t="s">
        <v>13</v>
      </c>
      <c r="D938" s="7" t="str">
        <f>"范叶雅"</f>
        <v>范叶雅</v>
      </c>
      <c r="E938" s="7" t="str">
        <f t="shared" si="46"/>
        <v>女</v>
      </c>
    </row>
    <row r="939" spans="1:5" ht="30" customHeight="1">
      <c r="A939" s="7">
        <v>936</v>
      </c>
      <c r="B939" s="7" t="str">
        <f>"38662022042210415931703"</f>
        <v>38662022042210415931703</v>
      </c>
      <c r="C939" s="7" t="s">
        <v>13</v>
      </c>
      <c r="D939" s="7" t="str">
        <f>"周玲"</f>
        <v>周玲</v>
      </c>
      <c r="E939" s="7" t="str">
        <f t="shared" si="46"/>
        <v>女</v>
      </c>
    </row>
    <row r="940" spans="1:5" ht="30" customHeight="1">
      <c r="A940" s="7">
        <v>937</v>
      </c>
      <c r="B940" s="7" t="str">
        <f>"38662022042211004231818"</f>
        <v>38662022042211004231818</v>
      </c>
      <c r="C940" s="7" t="s">
        <v>13</v>
      </c>
      <c r="D940" s="7" t="str">
        <f>"蔡兰"</f>
        <v>蔡兰</v>
      </c>
      <c r="E940" s="7" t="str">
        <f t="shared" si="46"/>
        <v>女</v>
      </c>
    </row>
    <row r="941" spans="1:5" ht="30" customHeight="1">
      <c r="A941" s="7">
        <v>938</v>
      </c>
      <c r="B941" s="7" t="str">
        <f>"38662022042211072331849"</f>
        <v>38662022042211072331849</v>
      </c>
      <c r="C941" s="7" t="s">
        <v>13</v>
      </c>
      <c r="D941" s="7" t="str">
        <f>"林蕊"</f>
        <v>林蕊</v>
      </c>
      <c r="E941" s="7" t="str">
        <f t="shared" si="46"/>
        <v>女</v>
      </c>
    </row>
    <row r="942" spans="1:5" ht="30" customHeight="1">
      <c r="A942" s="7">
        <v>939</v>
      </c>
      <c r="B942" s="7" t="str">
        <f>"38662022042211193231984"</f>
        <v>38662022042211193231984</v>
      </c>
      <c r="C942" s="7" t="s">
        <v>13</v>
      </c>
      <c r="D942" s="7" t="str">
        <f>"廖晓彤"</f>
        <v>廖晓彤</v>
      </c>
      <c r="E942" s="7" t="str">
        <f t="shared" si="46"/>
        <v>女</v>
      </c>
    </row>
    <row r="943" spans="1:5" ht="30" customHeight="1">
      <c r="A943" s="7">
        <v>940</v>
      </c>
      <c r="B943" s="7" t="str">
        <f>"38662022042211292832139"</f>
        <v>38662022042211292832139</v>
      </c>
      <c r="C943" s="7" t="s">
        <v>13</v>
      </c>
      <c r="D943" s="7" t="str">
        <f>"钟金姐"</f>
        <v>钟金姐</v>
      </c>
      <c r="E943" s="7" t="str">
        <f t="shared" si="46"/>
        <v>女</v>
      </c>
    </row>
    <row r="944" spans="1:5" ht="30" customHeight="1">
      <c r="A944" s="7">
        <v>941</v>
      </c>
      <c r="B944" s="7" t="str">
        <f>"38662022042211505732419"</f>
        <v>38662022042211505732419</v>
      </c>
      <c r="C944" s="7" t="s">
        <v>13</v>
      </c>
      <c r="D944" s="7" t="str">
        <f>"李素"</f>
        <v>李素</v>
      </c>
      <c r="E944" s="7" t="str">
        <f t="shared" si="46"/>
        <v>女</v>
      </c>
    </row>
    <row r="945" spans="1:5" ht="30" customHeight="1">
      <c r="A945" s="7">
        <v>942</v>
      </c>
      <c r="B945" s="7" t="str">
        <f>"38662022042212032432460"</f>
        <v>38662022042212032432460</v>
      </c>
      <c r="C945" s="7" t="s">
        <v>13</v>
      </c>
      <c r="D945" s="7" t="str">
        <f>"符锡垦"</f>
        <v>符锡垦</v>
      </c>
      <c r="E945" s="7" t="str">
        <f t="shared" si="46"/>
        <v>女</v>
      </c>
    </row>
    <row r="946" spans="1:5" ht="30" customHeight="1">
      <c r="A946" s="7">
        <v>943</v>
      </c>
      <c r="B946" s="7" t="str">
        <f>"38662022042212063132475"</f>
        <v>38662022042212063132475</v>
      </c>
      <c r="C946" s="7" t="s">
        <v>13</v>
      </c>
      <c r="D946" s="7" t="str">
        <f>"何春蓉"</f>
        <v>何春蓉</v>
      </c>
      <c r="E946" s="7" t="str">
        <f t="shared" si="46"/>
        <v>女</v>
      </c>
    </row>
    <row r="947" spans="1:5" ht="30" customHeight="1">
      <c r="A947" s="7">
        <v>944</v>
      </c>
      <c r="B947" s="7" t="str">
        <f>"38662022042212184032522"</f>
        <v>38662022042212184032522</v>
      </c>
      <c r="C947" s="7" t="s">
        <v>13</v>
      </c>
      <c r="D947" s="7" t="str">
        <f>"黄琼花"</f>
        <v>黄琼花</v>
      </c>
      <c r="E947" s="7" t="str">
        <f t="shared" si="46"/>
        <v>女</v>
      </c>
    </row>
    <row r="948" spans="1:5" ht="30" customHeight="1">
      <c r="A948" s="7">
        <v>945</v>
      </c>
      <c r="B948" s="7" t="str">
        <f>"38662022042212190632524"</f>
        <v>38662022042212190632524</v>
      </c>
      <c r="C948" s="7" t="s">
        <v>13</v>
      </c>
      <c r="D948" s="7" t="str">
        <f>"符碧南"</f>
        <v>符碧南</v>
      </c>
      <c r="E948" s="7" t="str">
        <f t="shared" si="46"/>
        <v>女</v>
      </c>
    </row>
    <row r="949" spans="1:5" ht="30" customHeight="1">
      <c r="A949" s="7">
        <v>946</v>
      </c>
      <c r="B949" s="7" t="str">
        <f>"38662022042212254732549"</f>
        <v>38662022042212254732549</v>
      </c>
      <c r="C949" s="7" t="s">
        <v>13</v>
      </c>
      <c r="D949" s="7" t="str">
        <f>"陈梦婷"</f>
        <v>陈梦婷</v>
      </c>
      <c r="E949" s="7" t="str">
        <f t="shared" si="46"/>
        <v>女</v>
      </c>
    </row>
    <row r="950" spans="1:5" ht="30" customHeight="1">
      <c r="A950" s="7">
        <v>947</v>
      </c>
      <c r="B950" s="7" t="str">
        <f>"38662022042212401532610"</f>
        <v>38662022042212401532610</v>
      </c>
      <c r="C950" s="7" t="s">
        <v>13</v>
      </c>
      <c r="D950" s="7" t="str">
        <f>"李春菊"</f>
        <v>李春菊</v>
      </c>
      <c r="E950" s="7" t="str">
        <f t="shared" si="46"/>
        <v>女</v>
      </c>
    </row>
    <row r="951" spans="1:5" ht="30" customHeight="1">
      <c r="A951" s="7">
        <v>948</v>
      </c>
      <c r="B951" s="7" t="str">
        <f>"38662022042212493132643"</f>
        <v>38662022042212493132643</v>
      </c>
      <c r="C951" s="7" t="s">
        <v>13</v>
      </c>
      <c r="D951" s="7" t="str">
        <f>"程琳"</f>
        <v>程琳</v>
      </c>
      <c r="E951" s="7" t="str">
        <f t="shared" si="46"/>
        <v>女</v>
      </c>
    </row>
    <row r="952" spans="1:5" ht="30" customHeight="1">
      <c r="A952" s="7">
        <v>949</v>
      </c>
      <c r="B952" s="7" t="str">
        <f>"38662022042212581132683"</f>
        <v>38662022042212581132683</v>
      </c>
      <c r="C952" s="7" t="s">
        <v>13</v>
      </c>
      <c r="D952" s="7" t="str">
        <f>"李柳妍"</f>
        <v>李柳妍</v>
      </c>
      <c r="E952" s="7" t="str">
        <f t="shared" si="46"/>
        <v>女</v>
      </c>
    </row>
    <row r="953" spans="1:5" ht="30" customHeight="1">
      <c r="A953" s="7">
        <v>950</v>
      </c>
      <c r="B953" s="7" t="str">
        <f>"38662022042213004032696"</f>
        <v>38662022042213004032696</v>
      </c>
      <c r="C953" s="7" t="s">
        <v>13</v>
      </c>
      <c r="D953" s="7" t="str">
        <f>"张也"</f>
        <v>张也</v>
      </c>
      <c r="E953" s="7" t="str">
        <f t="shared" si="46"/>
        <v>女</v>
      </c>
    </row>
    <row r="954" spans="1:5" ht="30" customHeight="1">
      <c r="A954" s="7">
        <v>951</v>
      </c>
      <c r="B954" s="7" t="str">
        <f>"38662022042214131432943"</f>
        <v>38662022042214131432943</v>
      </c>
      <c r="C954" s="7" t="s">
        <v>13</v>
      </c>
      <c r="D954" s="7" t="str">
        <f>"吴方花"</f>
        <v>吴方花</v>
      </c>
      <c r="E954" s="7" t="str">
        <f t="shared" si="46"/>
        <v>女</v>
      </c>
    </row>
    <row r="955" spans="1:5" ht="30" customHeight="1">
      <c r="A955" s="7">
        <v>952</v>
      </c>
      <c r="B955" s="7" t="str">
        <f>"38662022042214224732976"</f>
        <v>38662022042214224732976</v>
      </c>
      <c r="C955" s="7" t="s">
        <v>13</v>
      </c>
      <c r="D955" s="7" t="str">
        <f>"赵甜"</f>
        <v>赵甜</v>
      </c>
      <c r="E955" s="7" t="str">
        <f t="shared" si="46"/>
        <v>女</v>
      </c>
    </row>
    <row r="956" spans="1:5" ht="30" customHeight="1">
      <c r="A956" s="7">
        <v>953</v>
      </c>
      <c r="B956" s="7" t="str">
        <f>"38662022042214431433077"</f>
        <v>38662022042214431433077</v>
      </c>
      <c r="C956" s="7" t="s">
        <v>13</v>
      </c>
      <c r="D956" s="7" t="str">
        <f>"吴少云"</f>
        <v>吴少云</v>
      </c>
      <c r="E956" s="7" t="str">
        <f t="shared" si="46"/>
        <v>女</v>
      </c>
    </row>
    <row r="957" spans="1:5" ht="30" customHeight="1">
      <c r="A957" s="7">
        <v>954</v>
      </c>
      <c r="B957" s="7" t="str">
        <f>"38662022042215072733205"</f>
        <v>38662022042215072733205</v>
      </c>
      <c r="C957" s="7" t="s">
        <v>13</v>
      </c>
      <c r="D957" s="7" t="str">
        <f>"陈云芳"</f>
        <v>陈云芳</v>
      </c>
      <c r="E957" s="7" t="str">
        <f t="shared" si="46"/>
        <v>女</v>
      </c>
    </row>
    <row r="958" spans="1:5" ht="30" customHeight="1">
      <c r="A958" s="7">
        <v>955</v>
      </c>
      <c r="B958" s="7" t="str">
        <f>"38662022042215121633231"</f>
        <v>38662022042215121633231</v>
      </c>
      <c r="C958" s="7" t="s">
        <v>13</v>
      </c>
      <c r="D958" s="7" t="str">
        <f>"罗小妹"</f>
        <v>罗小妹</v>
      </c>
      <c r="E958" s="7" t="str">
        <f t="shared" si="46"/>
        <v>女</v>
      </c>
    </row>
    <row r="959" spans="1:5" ht="30" customHeight="1">
      <c r="A959" s="7">
        <v>956</v>
      </c>
      <c r="B959" s="7" t="str">
        <f>"38662022042215122233233"</f>
        <v>38662022042215122233233</v>
      </c>
      <c r="C959" s="7" t="s">
        <v>13</v>
      </c>
      <c r="D959" s="7" t="str">
        <f>"林驰驰"</f>
        <v>林驰驰</v>
      </c>
      <c r="E959" s="7" t="str">
        <f t="shared" si="46"/>
        <v>女</v>
      </c>
    </row>
    <row r="960" spans="1:5" ht="30" customHeight="1">
      <c r="A960" s="7">
        <v>957</v>
      </c>
      <c r="B960" s="7" t="str">
        <f>"38662022042215210033290"</f>
        <v>38662022042215210033290</v>
      </c>
      <c r="C960" s="7" t="s">
        <v>13</v>
      </c>
      <c r="D960" s="7" t="str">
        <f>"陈亚燕"</f>
        <v>陈亚燕</v>
      </c>
      <c r="E960" s="7" t="str">
        <f t="shared" si="46"/>
        <v>女</v>
      </c>
    </row>
    <row r="961" spans="1:5" ht="30" customHeight="1">
      <c r="A961" s="7">
        <v>958</v>
      </c>
      <c r="B961" s="7" t="str">
        <f>"38662022042215214133296"</f>
        <v>38662022042215214133296</v>
      </c>
      <c r="C961" s="7" t="s">
        <v>13</v>
      </c>
      <c r="D961" s="7" t="str">
        <f>"符海玲"</f>
        <v>符海玲</v>
      </c>
      <c r="E961" s="7" t="str">
        <f t="shared" si="46"/>
        <v>女</v>
      </c>
    </row>
    <row r="962" spans="1:5" ht="30" customHeight="1">
      <c r="A962" s="7">
        <v>959</v>
      </c>
      <c r="B962" s="7" t="str">
        <f>"38662022042215384333402"</f>
        <v>38662022042215384333402</v>
      </c>
      <c r="C962" s="7" t="s">
        <v>13</v>
      </c>
      <c r="D962" s="7" t="str">
        <f>"许腾尹"</f>
        <v>许腾尹</v>
      </c>
      <c r="E962" s="7" t="str">
        <f t="shared" si="46"/>
        <v>女</v>
      </c>
    </row>
    <row r="963" spans="1:5" ht="30" customHeight="1">
      <c r="A963" s="7">
        <v>960</v>
      </c>
      <c r="B963" s="7" t="str">
        <f>"38662022042215405733412"</f>
        <v>38662022042215405733412</v>
      </c>
      <c r="C963" s="7" t="s">
        <v>13</v>
      </c>
      <c r="D963" s="7" t="str">
        <f>"黄小妹"</f>
        <v>黄小妹</v>
      </c>
      <c r="E963" s="7" t="str">
        <f t="shared" si="46"/>
        <v>女</v>
      </c>
    </row>
    <row r="964" spans="1:5" ht="30" customHeight="1">
      <c r="A964" s="7">
        <v>961</v>
      </c>
      <c r="B964" s="7" t="str">
        <f>"38662022042215455533440"</f>
        <v>38662022042215455533440</v>
      </c>
      <c r="C964" s="7" t="s">
        <v>13</v>
      </c>
      <c r="D964" s="7" t="str">
        <f>"谢静敏"</f>
        <v>谢静敏</v>
      </c>
      <c r="E964" s="7" t="str">
        <f t="shared" si="46"/>
        <v>女</v>
      </c>
    </row>
    <row r="965" spans="1:5" ht="30" customHeight="1">
      <c r="A965" s="7">
        <v>962</v>
      </c>
      <c r="B965" s="7" t="str">
        <f>"38662022042215511833482"</f>
        <v>38662022042215511833482</v>
      </c>
      <c r="C965" s="7" t="s">
        <v>13</v>
      </c>
      <c r="D965" s="7" t="str">
        <f>"李小如"</f>
        <v>李小如</v>
      </c>
      <c r="E965" s="7" t="str">
        <f t="shared" si="46"/>
        <v>女</v>
      </c>
    </row>
    <row r="966" spans="1:5" ht="30" customHeight="1">
      <c r="A966" s="7">
        <v>963</v>
      </c>
      <c r="B966" s="7" t="str">
        <f>"38662022042216082733591"</f>
        <v>38662022042216082733591</v>
      </c>
      <c r="C966" s="7" t="s">
        <v>13</v>
      </c>
      <c r="D966" s="7" t="str">
        <f>"刘美珍"</f>
        <v>刘美珍</v>
      </c>
      <c r="E966" s="7" t="str">
        <f t="shared" si="46"/>
        <v>女</v>
      </c>
    </row>
    <row r="967" spans="1:5" ht="30" customHeight="1">
      <c r="A967" s="7">
        <v>964</v>
      </c>
      <c r="B967" s="7" t="str">
        <f>"38662022042216104233609"</f>
        <v>38662022042216104233609</v>
      </c>
      <c r="C967" s="7" t="s">
        <v>13</v>
      </c>
      <c r="D967" s="7" t="str">
        <f>"雷珊"</f>
        <v>雷珊</v>
      </c>
      <c r="E967" s="7" t="str">
        <f>"女"</f>
        <v>女</v>
      </c>
    </row>
    <row r="968" spans="1:5" ht="30" customHeight="1">
      <c r="A968" s="7">
        <v>965</v>
      </c>
      <c r="B968" s="7" t="str">
        <f>"38662022042216171533648"</f>
        <v>38662022042216171533648</v>
      </c>
      <c r="C968" s="7" t="s">
        <v>13</v>
      </c>
      <c r="D968" s="7" t="str">
        <f>"吴惠丽"</f>
        <v>吴惠丽</v>
      </c>
      <c r="E968" s="7" t="str">
        <f>"女"</f>
        <v>女</v>
      </c>
    </row>
    <row r="969" spans="1:5" ht="30" customHeight="1">
      <c r="A969" s="7">
        <v>966</v>
      </c>
      <c r="B969" s="7" t="str">
        <f>"38662022042216211333673"</f>
        <v>38662022042216211333673</v>
      </c>
      <c r="C969" s="7" t="s">
        <v>13</v>
      </c>
      <c r="D969" s="7" t="str">
        <f>"陈燕芳"</f>
        <v>陈燕芳</v>
      </c>
      <c r="E969" s="7" t="str">
        <f>"女"</f>
        <v>女</v>
      </c>
    </row>
    <row r="970" spans="1:5" ht="30" customHeight="1">
      <c r="A970" s="7">
        <v>967</v>
      </c>
      <c r="B970" s="7" t="str">
        <f>"38662022042216233633684"</f>
        <v>38662022042216233633684</v>
      </c>
      <c r="C970" s="7" t="s">
        <v>13</v>
      </c>
      <c r="D970" s="7" t="str">
        <f>"符运伟"</f>
        <v>符运伟</v>
      </c>
      <c r="E970" s="7" t="str">
        <f>"男"</f>
        <v>男</v>
      </c>
    </row>
    <row r="971" spans="1:5" ht="30" customHeight="1">
      <c r="A971" s="7">
        <v>968</v>
      </c>
      <c r="B971" s="7" t="str">
        <f>"38662022042216281233713"</f>
        <v>38662022042216281233713</v>
      </c>
      <c r="C971" s="7" t="s">
        <v>13</v>
      </c>
      <c r="D971" s="7" t="str">
        <f>"钟凤娇"</f>
        <v>钟凤娇</v>
      </c>
      <c r="E971" s="7" t="str">
        <f>"女"</f>
        <v>女</v>
      </c>
    </row>
    <row r="972" spans="1:5" ht="30" customHeight="1">
      <c r="A972" s="7">
        <v>969</v>
      </c>
      <c r="B972" s="7" t="str">
        <f>"38662022042216285733717"</f>
        <v>38662022042216285733717</v>
      </c>
      <c r="C972" s="7" t="s">
        <v>13</v>
      </c>
      <c r="D972" s="7" t="str">
        <f>"文秋"</f>
        <v>文秋</v>
      </c>
      <c r="E972" s="7" t="str">
        <f>"女"</f>
        <v>女</v>
      </c>
    </row>
    <row r="973" spans="1:5" ht="30" customHeight="1">
      <c r="A973" s="7">
        <v>970</v>
      </c>
      <c r="B973" s="7" t="str">
        <f>"38662022042216403933800"</f>
        <v>38662022042216403933800</v>
      </c>
      <c r="C973" s="7" t="s">
        <v>13</v>
      </c>
      <c r="D973" s="7" t="str">
        <f>"王雪花"</f>
        <v>王雪花</v>
      </c>
      <c r="E973" s="7" t="str">
        <f>"女"</f>
        <v>女</v>
      </c>
    </row>
    <row r="974" spans="1:5" ht="30" customHeight="1">
      <c r="A974" s="7">
        <v>971</v>
      </c>
      <c r="B974" s="7" t="str">
        <f>"38662022042216462033836"</f>
        <v>38662022042216462033836</v>
      </c>
      <c r="C974" s="7" t="s">
        <v>13</v>
      </c>
      <c r="D974" s="7" t="str">
        <f>"王书莉"</f>
        <v>王书莉</v>
      </c>
      <c r="E974" s="7" t="str">
        <f>"女"</f>
        <v>女</v>
      </c>
    </row>
    <row r="975" spans="1:5" ht="30" customHeight="1">
      <c r="A975" s="7">
        <v>972</v>
      </c>
      <c r="B975" s="7" t="str">
        <f>"38662022042216562233905"</f>
        <v>38662022042216562233905</v>
      </c>
      <c r="C975" s="7" t="s">
        <v>13</v>
      </c>
      <c r="D975" s="7" t="str">
        <f>"王啟鉴"</f>
        <v>王啟鉴</v>
      </c>
      <c r="E975" s="7" t="str">
        <f>"男"</f>
        <v>男</v>
      </c>
    </row>
    <row r="976" spans="1:5" ht="30" customHeight="1">
      <c r="A976" s="7">
        <v>973</v>
      </c>
      <c r="B976" s="7" t="str">
        <f>"38662022042216592533928"</f>
        <v>38662022042216592533928</v>
      </c>
      <c r="C976" s="7" t="s">
        <v>13</v>
      </c>
      <c r="D976" s="7" t="str">
        <f>"林芳舟"</f>
        <v>林芳舟</v>
      </c>
      <c r="E976" s="7" t="str">
        <f aca="true" t="shared" si="47" ref="E976:E995">"女"</f>
        <v>女</v>
      </c>
    </row>
    <row r="977" spans="1:5" ht="30" customHeight="1">
      <c r="A977" s="7">
        <v>974</v>
      </c>
      <c r="B977" s="7" t="str">
        <f>"38662022042217082033981"</f>
        <v>38662022042217082033981</v>
      </c>
      <c r="C977" s="7" t="s">
        <v>13</v>
      </c>
      <c r="D977" s="7" t="str">
        <f>"李淑婷"</f>
        <v>李淑婷</v>
      </c>
      <c r="E977" s="7" t="str">
        <f t="shared" si="47"/>
        <v>女</v>
      </c>
    </row>
    <row r="978" spans="1:5" ht="30" customHeight="1">
      <c r="A978" s="7">
        <v>975</v>
      </c>
      <c r="B978" s="7" t="str">
        <f>"38662022042217181934026"</f>
        <v>38662022042217181934026</v>
      </c>
      <c r="C978" s="7" t="s">
        <v>13</v>
      </c>
      <c r="D978" s="7" t="str">
        <f>"陈世倩"</f>
        <v>陈世倩</v>
      </c>
      <c r="E978" s="7" t="str">
        <f t="shared" si="47"/>
        <v>女</v>
      </c>
    </row>
    <row r="979" spans="1:5" ht="30" customHeight="1">
      <c r="A979" s="7">
        <v>976</v>
      </c>
      <c r="B979" s="7" t="str">
        <f>"38662022042217364034123"</f>
        <v>38662022042217364034123</v>
      </c>
      <c r="C979" s="7" t="s">
        <v>13</v>
      </c>
      <c r="D979" s="7" t="str">
        <f>"叶海婷"</f>
        <v>叶海婷</v>
      </c>
      <c r="E979" s="7" t="str">
        <f t="shared" si="47"/>
        <v>女</v>
      </c>
    </row>
    <row r="980" spans="1:5" ht="30" customHeight="1">
      <c r="A980" s="7">
        <v>977</v>
      </c>
      <c r="B980" s="7" t="str">
        <f>"38662022042218143934253"</f>
        <v>38662022042218143934253</v>
      </c>
      <c r="C980" s="7" t="s">
        <v>13</v>
      </c>
      <c r="D980" s="7" t="str">
        <f>"文高莹"</f>
        <v>文高莹</v>
      </c>
      <c r="E980" s="7" t="str">
        <f t="shared" si="47"/>
        <v>女</v>
      </c>
    </row>
    <row r="981" spans="1:5" ht="30" customHeight="1">
      <c r="A981" s="7">
        <v>978</v>
      </c>
      <c r="B981" s="7" t="str">
        <f>"38662022042218200934260"</f>
        <v>38662022042218200934260</v>
      </c>
      <c r="C981" s="7" t="s">
        <v>13</v>
      </c>
      <c r="D981" s="7" t="str">
        <f>"王利佳"</f>
        <v>王利佳</v>
      </c>
      <c r="E981" s="7" t="str">
        <f t="shared" si="47"/>
        <v>女</v>
      </c>
    </row>
    <row r="982" spans="1:5" ht="30" customHeight="1">
      <c r="A982" s="7">
        <v>979</v>
      </c>
      <c r="B982" s="7" t="str">
        <f>"38662022042218253934272"</f>
        <v>38662022042218253934272</v>
      </c>
      <c r="C982" s="7" t="s">
        <v>13</v>
      </c>
      <c r="D982" s="7" t="str">
        <f>"廖雯丽"</f>
        <v>廖雯丽</v>
      </c>
      <c r="E982" s="7" t="str">
        <f t="shared" si="47"/>
        <v>女</v>
      </c>
    </row>
    <row r="983" spans="1:5" ht="30" customHeight="1">
      <c r="A983" s="7">
        <v>980</v>
      </c>
      <c r="B983" s="7" t="str">
        <f>"38662022042218434434315"</f>
        <v>38662022042218434434315</v>
      </c>
      <c r="C983" s="7" t="s">
        <v>13</v>
      </c>
      <c r="D983" s="7" t="str">
        <f>"黄秋梅"</f>
        <v>黄秋梅</v>
      </c>
      <c r="E983" s="7" t="str">
        <f t="shared" si="47"/>
        <v>女</v>
      </c>
    </row>
    <row r="984" spans="1:5" ht="30" customHeight="1">
      <c r="A984" s="7">
        <v>981</v>
      </c>
      <c r="B984" s="7" t="str">
        <f>"38662022042218462434320"</f>
        <v>38662022042218462434320</v>
      </c>
      <c r="C984" s="7" t="s">
        <v>13</v>
      </c>
      <c r="D984" s="7" t="str">
        <f>"吴文君"</f>
        <v>吴文君</v>
      </c>
      <c r="E984" s="7" t="str">
        <f t="shared" si="47"/>
        <v>女</v>
      </c>
    </row>
    <row r="985" spans="1:5" ht="30" customHeight="1">
      <c r="A985" s="7">
        <v>982</v>
      </c>
      <c r="B985" s="7" t="str">
        <f>"38662022042218494934325"</f>
        <v>38662022042218494934325</v>
      </c>
      <c r="C985" s="7" t="s">
        <v>13</v>
      </c>
      <c r="D985" s="7" t="str">
        <f>"林诗苑"</f>
        <v>林诗苑</v>
      </c>
      <c r="E985" s="7" t="str">
        <f t="shared" si="47"/>
        <v>女</v>
      </c>
    </row>
    <row r="986" spans="1:5" ht="30" customHeight="1">
      <c r="A986" s="7">
        <v>983</v>
      </c>
      <c r="B986" s="7" t="str">
        <f>"38662022042219131334381"</f>
        <v>38662022042219131334381</v>
      </c>
      <c r="C986" s="7" t="s">
        <v>13</v>
      </c>
      <c r="D986" s="7" t="str">
        <f>"梁富容"</f>
        <v>梁富容</v>
      </c>
      <c r="E986" s="7" t="str">
        <f t="shared" si="47"/>
        <v>女</v>
      </c>
    </row>
    <row r="987" spans="1:5" ht="30" customHeight="1">
      <c r="A987" s="7">
        <v>984</v>
      </c>
      <c r="B987" s="7" t="str">
        <f>"38662022042219284934405"</f>
        <v>38662022042219284934405</v>
      </c>
      <c r="C987" s="7" t="s">
        <v>13</v>
      </c>
      <c r="D987" s="7" t="str">
        <f>"王娟"</f>
        <v>王娟</v>
      </c>
      <c r="E987" s="7" t="str">
        <f t="shared" si="47"/>
        <v>女</v>
      </c>
    </row>
    <row r="988" spans="1:5" ht="30" customHeight="1">
      <c r="A988" s="7">
        <v>985</v>
      </c>
      <c r="B988" s="7" t="str">
        <f>"38662022042219434934440"</f>
        <v>38662022042219434934440</v>
      </c>
      <c r="C988" s="7" t="s">
        <v>13</v>
      </c>
      <c r="D988" s="7" t="str">
        <f>"邢慧娴"</f>
        <v>邢慧娴</v>
      </c>
      <c r="E988" s="7" t="str">
        <f t="shared" si="47"/>
        <v>女</v>
      </c>
    </row>
    <row r="989" spans="1:5" ht="30" customHeight="1">
      <c r="A989" s="7">
        <v>986</v>
      </c>
      <c r="B989" s="7" t="str">
        <f>"38662022042219472034450"</f>
        <v>38662022042219472034450</v>
      </c>
      <c r="C989" s="7" t="s">
        <v>13</v>
      </c>
      <c r="D989" s="7" t="str">
        <f>"黄秋丽"</f>
        <v>黄秋丽</v>
      </c>
      <c r="E989" s="7" t="str">
        <f t="shared" si="47"/>
        <v>女</v>
      </c>
    </row>
    <row r="990" spans="1:5" ht="30" customHeight="1">
      <c r="A990" s="7">
        <v>987</v>
      </c>
      <c r="B990" s="7" t="str">
        <f>"38662022042220022234474"</f>
        <v>38662022042220022234474</v>
      </c>
      <c r="C990" s="7" t="s">
        <v>13</v>
      </c>
      <c r="D990" s="7" t="str">
        <f>"余莉秋"</f>
        <v>余莉秋</v>
      </c>
      <c r="E990" s="7" t="str">
        <f t="shared" si="47"/>
        <v>女</v>
      </c>
    </row>
    <row r="991" spans="1:5" ht="30" customHeight="1">
      <c r="A991" s="7">
        <v>988</v>
      </c>
      <c r="B991" s="7" t="str">
        <f>"38662022042220312334522"</f>
        <v>38662022042220312334522</v>
      </c>
      <c r="C991" s="7" t="s">
        <v>13</v>
      </c>
      <c r="D991" s="7" t="str">
        <f>"李祥梦"</f>
        <v>李祥梦</v>
      </c>
      <c r="E991" s="7" t="str">
        <f t="shared" si="47"/>
        <v>女</v>
      </c>
    </row>
    <row r="992" spans="1:5" ht="30" customHeight="1">
      <c r="A992" s="7">
        <v>989</v>
      </c>
      <c r="B992" s="7" t="str">
        <f>"38662022042220451734553"</f>
        <v>38662022042220451734553</v>
      </c>
      <c r="C992" s="7" t="s">
        <v>13</v>
      </c>
      <c r="D992" s="7" t="str">
        <f>"邓陈杏"</f>
        <v>邓陈杏</v>
      </c>
      <c r="E992" s="7" t="str">
        <f t="shared" si="47"/>
        <v>女</v>
      </c>
    </row>
    <row r="993" spans="1:5" ht="30" customHeight="1">
      <c r="A993" s="7">
        <v>990</v>
      </c>
      <c r="B993" s="7" t="str">
        <f>"38662022042220465034555"</f>
        <v>38662022042220465034555</v>
      </c>
      <c r="C993" s="7" t="s">
        <v>13</v>
      </c>
      <c r="D993" s="7" t="str">
        <f>"王敏"</f>
        <v>王敏</v>
      </c>
      <c r="E993" s="7" t="str">
        <f t="shared" si="47"/>
        <v>女</v>
      </c>
    </row>
    <row r="994" spans="1:5" ht="30" customHeight="1">
      <c r="A994" s="7">
        <v>991</v>
      </c>
      <c r="B994" s="7" t="str">
        <f>"38662022042220535434566"</f>
        <v>38662022042220535434566</v>
      </c>
      <c r="C994" s="7" t="s">
        <v>13</v>
      </c>
      <c r="D994" s="7" t="str">
        <f>"周春瑜"</f>
        <v>周春瑜</v>
      </c>
      <c r="E994" s="7" t="str">
        <f t="shared" si="47"/>
        <v>女</v>
      </c>
    </row>
    <row r="995" spans="1:5" ht="30" customHeight="1">
      <c r="A995" s="7">
        <v>992</v>
      </c>
      <c r="B995" s="7" t="str">
        <f>"38662022042221184534613"</f>
        <v>38662022042221184534613</v>
      </c>
      <c r="C995" s="7" t="s">
        <v>13</v>
      </c>
      <c r="D995" s="7" t="str">
        <f>"高山清"</f>
        <v>高山清</v>
      </c>
      <c r="E995" s="7" t="str">
        <f t="shared" si="47"/>
        <v>女</v>
      </c>
    </row>
    <row r="996" spans="1:5" ht="30" customHeight="1">
      <c r="A996" s="7">
        <v>993</v>
      </c>
      <c r="B996" s="7" t="str">
        <f>"38662022042221224734622"</f>
        <v>38662022042221224734622</v>
      </c>
      <c r="C996" s="7" t="s">
        <v>13</v>
      </c>
      <c r="D996" s="7" t="str">
        <f>"王道东"</f>
        <v>王道东</v>
      </c>
      <c r="E996" s="7" t="str">
        <f>"男"</f>
        <v>男</v>
      </c>
    </row>
    <row r="997" spans="1:5" ht="30" customHeight="1">
      <c r="A997" s="7">
        <v>994</v>
      </c>
      <c r="B997" s="7" t="str">
        <f>"38662022042221332734640"</f>
        <v>38662022042221332734640</v>
      </c>
      <c r="C997" s="7" t="s">
        <v>13</v>
      </c>
      <c r="D997" s="7" t="str">
        <f>"罗丹"</f>
        <v>罗丹</v>
      </c>
      <c r="E997" s="7" t="str">
        <f aca="true" t="shared" si="48" ref="E997:E1038">"女"</f>
        <v>女</v>
      </c>
    </row>
    <row r="998" spans="1:5" ht="30" customHeight="1">
      <c r="A998" s="7">
        <v>995</v>
      </c>
      <c r="B998" s="7" t="str">
        <f>"38662022042221412034653"</f>
        <v>38662022042221412034653</v>
      </c>
      <c r="C998" s="7" t="s">
        <v>13</v>
      </c>
      <c r="D998" s="7" t="str">
        <f>"王捷"</f>
        <v>王捷</v>
      </c>
      <c r="E998" s="7" t="str">
        <f t="shared" si="48"/>
        <v>女</v>
      </c>
    </row>
    <row r="999" spans="1:5" ht="30" customHeight="1">
      <c r="A999" s="7">
        <v>996</v>
      </c>
      <c r="B999" s="7" t="str">
        <f>"38662022042223025534790"</f>
        <v>38662022042223025534790</v>
      </c>
      <c r="C999" s="7" t="s">
        <v>13</v>
      </c>
      <c r="D999" s="7" t="str">
        <f>"何旺灵"</f>
        <v>何旺灵</v>
      </c>
      <c r="E999" s="7" t="str">
        <f t="shared" si="48"/>
        <v>女</v>
      </c>
    </row>
    <row r="1000" spans="1:5" ht="30" customHeight="1">
      <c r="A1000" s="7">
        <v>997</v>
      </c>
      <c r="B1000" s="7" t="str">
        <f>"38662022042223053634797"</f>
        <v>38662022042223053634797</v>
      </c>
      <c r="C1000" s="7" t="s">
        <v>13</v>
      </c>
      <c r="D1000" s="7" t="str">
        <f>"陈奕瑶"</f>
        <v>陈奕瑶</v>
      </c>
      <c r="E1000" s="7" t="str">
        <f t="shared" si="48"/>
        <v>女</v>
      </c>
    </row>
    <row r="1001" spans="1:5" ht="30" customHeight="1">
      <c r="A1001" s="7">
        <v>998</v>
      </c>
      <c r="B1001" s="7" t="str">
        <f>"38662022042223074834799"</f>
        <v>38662022042223074834799</v>
      </c>
      <c r="C1001" s="7" t="s">
        <v>13</v>
      </c>
      <c r="D1001" s="7" t="str">
        <f>"韦嗣扬"</f>
        <v>韦嗣扬</v>
      </c>
      <c r="E1001" s="7" t="str">
        <f t="shared" si="48"/>
        <v>女</v>
      </c>
    </row>
    <row r="1002" spans="1:5" ht="30" customHeight="1">
      <c r="A1002" s="7">
        <v>999</v>
      </c>
      <c r="B1002" s="7" t="str">
        <f>"38662022042223332334824"</f>
        <v>38662022042223332334824</v>
      </c>
      <c r="C1002" s="7" t="s">
        <v>13</v>
      </c>
      <c r="D1002" s="7" t="str">
        <f>"许儒莲"</f>
        <v>许儒莲</v>
      </c>
      <c r="E1002" s="7" t="str">
        <f t="shared" si="48"/>
        <v>女</v>
      </c>
    </row>
    <row r="1003" spans="1:5" ht="30" customHeight="1">
      <c r="A1003" s="7">
        <v>1000</v>
      </c>
      <c r="B1003" s="7" t="str">
        <f>"38662022042223452634832"</f>
        <v>38662022042223452634832</v>
      </c>
      <c r="C1003" s="7" t="s">
        <v>13</v>
      </c>
      <c r="D1003" s="7" t="str">
        <f>"韩千红"</f>
        <v>韩千红</v>
      </c>
      <c r="E1003" s="7" t="str">
        <f t="shared" si="48"/>
        <v>女</v>
      </c>
    </row>
    <row r="1004" spans="1:5" ht="30" customHeight="1">
      <c r="A1004" s="7">
        <v>1001</v>
      </c>
      <c r="B1004" s="7" t="str">
        <f>"38662022042300244134846"</f>
        <v>38662022042300244134846</v>
      </c>
      <c r="C1004" s="7" t="s">
        <v>13</v>
      </c>
      <c r="D1004" s="7" t="str">
        <f>"陈晓娟"</f>
        <v>陈晓娟</v>
      </c>
      <c r="E1004" s="7" t="str">
        <f t="shared" si="48"/>
        <v>女</v>
      </c>
    </row>
    <row r="1005" spans="1:5" ht="30" customHeight="1">
      <c r="A1005" s="7">
        <v>1002</v>
      </c>
      <c r="B1005" s="7" t="str">
        <f>"38662022042308071434895"</f>
        <v>38662022042308071434895</v>
      </c>
      <c r="C1005" s="7" t="s">
        <v>13</v>
      </c>
      <c r="D1005" s="7" t="str">
        <f>"王垂丽"</f>
        <v>王垂丽</v>
      </c>
      <c r="E1005" s="7" t="str">
        <f t="shared" si="48"/>
        <v>女</v>
      </c>
    </row>
    <row r="1006" spans="1:5" ht="30" customHeight="1">
      <c r="A1006" s="7">
        <v>1003</v>
      </c>
      <c r="B1006" s="7" t="str">
        <f>"38662022042308210634904"</f>
        <v>38662022042308210634904</v>
      </c>
      <c r="C1006" s="7" t="s">
        <v>13</v>
      </c>
      <c r="D1006" s="7" t="str">
        <f>"陈春玲"</f>
        <v>陈春玲</v>
      </c>
      <c r="E1006" s="7" t="str">
        <f t="shared" si="48"/>
        <v>女</v>
      </c>
    </row>
    <row r="1007" spans="1:5" ht="30" customHeight="1">
      <c r="A1007" s="7">
        <v>1004</v>
      </c>
      <c r="B1007" s="7" t="str">
        <f>"38662022042308335034910"</f>
        <v>38662022042308335034910</v>
      </c>
      <c r="C1007" s="7" t="s">
        <v>13</v>
      </c>
      <c r="D1007" s="7" t="str">
        <f>"黄寿静"</f>
        <v>黄寿静</v>
      </c>
      <c r="E1007" s="7" t="str">
        <f t="shared" si="48"/>
        <v>女</v>
      </c>
    </row>
    <row r="1008" spans="1:5" ht="30" customHeight="1">
      <c r="A1008" s="7">
        <v>1005</v>
      </c>
      <c r="B1008" s="7" t="str">
        <f>"38662022042308505134926"</f>
        <v>38662022042308505134926</v>
      </c>
      <c r="C1008" s="7" t="s">
        <v>13</v>
      </c>
      <c r="D1008" s="7" t="str">
        <f>"梁才南"</f>
        <v>梁才南</v>
      </c>
      <c r="E1008" s="7" t="str">
        <f t="shared" si="48"/>
        <v>女</v>
      </c>
    </row>
    <row r="1009" spans="1:5" ht="30" customHeight="1">
      <c r="A1009" s="7">
        <v>1006</v>
      </c>
      <c r="B1009" s="7" t="str">
        <f>"38662022042309440234976"</f>
        <v>38662022042309440234976</v>
      </c>
      <c r="C1009" s="7" t="s">
        <v>13</v>
      </c>
      <c r="D1009" s="7" t="str">
        <f>"王诗彤"</f>
        <v>王诗彤</v>
      </c>
      <c r="E1009" s="7" t="str">
        <f t="shared" si="48"/>
        <v>女</v>
      </c>
    </row>
    <row r="1010" spans="1:5" ht="30" customHeight="1">
      <c r="A1010" s="7">
        <v>1007</v>
      </c>
      <c r="B1010" s="7" t="str">
        <f>"38662022042310112635011"</f>
        <v>38662022042310112635011</v>
      </c>
      <c r="C1010" s="7" t="s">
        <v>13</v>
      </c>
      <c r="D1010" s="7" t="str">
        <f>"郑燕桂"</f>
        <v>郑燕桂</v>
      </c>
      <c r="E1010" s="7" t="str">
        <f t="shared" si="48"/>
        <v>女</v>
      </c>
    </row>
    <row r="1011" spans="1:5" ht="30" customHeight="1">
      <c r="A1011" s="7">
        <v>1008</v>
      </c>
      <c r="B1011" s="7" t="str">
        <f>"38662022042310142335016"</f>
        <v>38662022042310142335016</v>
      </c>
      <c r="C1011" s="7" t="s">
        <v>13</v>
      </c>
      <c r="D1011" s="7" t="str">
        <f>"潘容"</f>
        <v>潘容</v>
      </c>
      <c r="E1011" s="7" t="str">
        <f t="shared" si="48"/>
        <v>女</v>
      </c>
    </row>
    <row r="1012" spans="1:5" ht="30" customHeight="1">
      <c r="A1012" s="7">
        <v>1009</v>
      </c>
      <c r="B1012" s="7" t="str">
        <f>"38662022042310202935026"</f>
        <v>38662022042310202935026</v>
      </c>
      <c r="C1012" s="7" t="s">
        <v>13</v>
      </c>
      <c r="D1012" s="7" t="str">
        <f>"王小容"</f>
        <v>王小容</v>
      </c>
      <c r="E1012" s="7" t="str">
        <f t="shared" si="48"/>
        <v>女</v>
      </c>
    </row>
    <row r="1013" spans="1:5" ht="30" customHeight="1">
      <c r="A1013" s="7">
        <v>1010</v>
      </c>
      <c r="B1013" s="7" t="str">
        <f>"38662022042310304035041"</f>
        <v>38662022042310304035041</v>
      </c>
      <c r="C1013" s="7" t="s">
        <v>13</v>
      </c>
      <c r="D1013" s="7" t="str">
        <f>"谢曼玉"</f>
        <v>谢曼玉</v>
      </c>
      <c r="E1013" s="7" t="str">
        <f t="shared" si="48"/>
        <v>女</v>
      </c>
    </row>
    <row r="1014" spans="1:5" ht="30" customHeight="1">
      <c r="A1014" s="7">
        <v>1011</v>
      </c>
      <c r="B1014" s="7" t="str">
        <f>"38662022042310312835043"</f>
        <v>38662022042310312835043</v>
      </c>
      <c r="C1014" s="7" t="s">
        <v>13</v>
      </c>
      <c r="D1014" s="7" t="str">
        <f>"吴新芬"</f>
        <v>吴新芬</v>
      </c>
      <c r="E1014" s="7" t="str">
        <f t="shared" si="48"/>
        <v>女</v>
      </c>
    </row>
    <row r="1015" spans="1:5" ht="30" customHeight="1">
      <c r="A1015" s="7">
        <v>1012</v>
      </c>
      <c r="B1015" s="7" t="str">
        <f>"38662022042310510135067"</f>
        <v>38662022042310510135067</v>
      </c>
      <c r="C1015" s="7" t="s">
        <v>13</v>
      </c>
      <c r="D1015" s="7" t="str">
        <f>"林淀"</f>
        <v>林淀</v>
      </c>
      <c r="E1015" s="7" t="str">
        <f t="shared" si="48"/>
        <v>女</v>
      </c>
    </row>
    <row r="1016" spans="1:5" ht="30" customHeight="1">
      <c r="A1016" s="7">
        <v>1013</v>
      </c>
      <c r="B1016" s="7" t="str">
        <f>"38662022042311043535079"</f>
        <v>38662022042311043535079</v>
      </c>
      <c r="C1016" s="7" t="s">
        <v>13</v>
      </c>
      <c r="D1016" s="7" t="str">
        <f>"符欣欣"</f>
        <v>符欣欣</v>
      </c>
      <c r="E1016" s="7" t="str">
        <f t="shared" si="48"/>
        <v>女</v>
      </c>
    </row>
    <row r="1017" spans="1:5" ht="30" customHeight="1">
      <c r="A1017" s="7">
        <v>1014</v>
      </c>
      <c r="B1017" s="7" t="str">
        <f>"38662022042311123435095"</f>
        <v>38662022042311123435095</v>
      </c>
      <c r="C1017" s="7" t="s">
        <v>13</v>
      </c>
      <c r="D1017" s="7" t="str">
        <f>"陈理雲"</f>
        <v>陈理雲</v>
      </c>
      <c r="E1017" s="7" t="str">
        <f t="shared" si="48"/>
        <v>女</v>
      </c>
    </row>
    <row r="1018" spans="1:5" ht="30" customHeight="1">
      <c r="A1018" s="7">
        <v>1015</v>
      </c>
      <c r="B1018" s="7" t="str">
        <f>"38662022042311144635099"</f>
        <v>38662022042311144635099</v>
      </c>
      <c r="C1018" s="7" t="s">
        <v>13</v>
      </c>
      <c r="D1018" s="7" t="str">
        <f>"黄月娥"</f>
        <v>黄月娥</v>
      </c>
      <c r="E1018" s="7" t="str">
        <f t="shared" si="48"/>
        <v>女</v>
      </c>
    </row>
    <row r="1019" spans="1:5" ht="30" customHeight="1">
      <c r="A1019" s="7">
        <v>1016</v>
      </c>
      <c r="B1019" s="7" t="str">
        <f>"38662022042311155935102"</f>
        <v>38662022042311155935102</v>
      </c>
      <c r="C1019" s="7" t="s">
        <v>13</v>
      </c>
      <c r="D1019" s="7" t="str">
        <f>"陈晓瑶"</f>
        <v>陈晓瑶</v>
      </c>
      <c r="E1019" s="7" t="str">
        <f t="shared" si="48"/>
        <v>女</v>
      </c>
    </row>
    <row r="1020" spans="1:5" ht="30" customHeight="1">
      <c r="A1020" s="7">
        <v>1017</v>
      </c>
      <c r="B1020" s="7" t="str">
        <f>"38662022042311265635116"</f>
        <v>38662022042311265635116</v>
      </c>
      <c r="C1020" s="7" t="s">
        <v>13</v>
      </c>
      <c r="D1020" s="7" t="str">
        <f>"张海英"</f>
        <v>张海英</v>
      </c>
      <c r="E1020" s="7" t="str">
        <f t="shared" si="48"/>
        <v>女</v>
      </c>
    </row>
    <row r="1021" spans="1:5" ht="30" customHeight="1">
      <c r="A1021" s="7">
        <v>1018</v>
      </c>
      <c r="B1021" s="7" t="str">
        <f>"38662022042311343135131"</f>
        <v>38662022042311343135131</v>
      </c>
      <c r="C1021" s="7" t="s">
        <v>13</v>
      </c>
      <c r="D1021" s="7" t="str">
        <f>"曾朝妹"</f>
        <v>曾朝妹</v>
      </c>
      <c r="E1021" s="7" t="str">
        <f t="shared" si="48"/>
        <v>女</v>
      </c>
    </row>
    <row r="1022" spans="1:5" ht="30" customHeight="1">
      <c r="A1022" s="7">
        <v>1019</v>
      </c>
      <c r="B1022" s="7" t="str">
        <f>"38662022042311415335148"</f>
        <v>38662022042311415335148</v>
      </c>
      <c r="C1022" s="7" t="s">
        <v>13</v>
      </c>
      <c r="D1022" s="7" t="str">
        <f>"王冉冉"</f>
        <v>王冉冉</v>
      </c>
      <c r="E1022" s="7" t="str">
        <f t="shared" si="48"/>
        <v>女</v>
      </c>
    </row>
    <row r="1023" spans="1:5" ht="30" customHeight="1">
      <c r="A1023" s="7">
        <v>1020</v>
      </c>
      <c r="B1023" s="7" t="str">
        <f>"38662022042311591135170"</f>
        <v>38662022042311591135170</v>
      </c>
      <c r="C1023" s="7" t="s">
        <v>13</v>
      </c>
      <c r="D1023" s="7" t="str">
        <f>"吴克娥"</f>
        <v>吴克娥</v>
      </c>
      <c r="E1023" s="7" t="str">
        <f t="shared" si="48"/>
        <v>女</v>
      </c>
    </row>
    <row r="1024" spans="1:5" ht="30" customHeight="1">
      <c r="A1024" s="7">
        <v>1021</v>
      </c>
      <c r="B1024" s="7" t="str">
        <f>"38662022042312061335179"</f>
        <v>38662022042312061335179</v>
      </c>
      <c r="C1024" s="7" t="s">
        <v>13</v>
      </c>
      <c r="D1024" s="7" t="str">
        <f>"莫品晶"</f>
        <v>莫品晶</v>
      </c>
      <c r="E1024" s="7" t="str">
        <f t="shared" si="48"/>
        <v>女</v>
      </c>
    </row>
    <row r="1025" spans="1:5" ht="30" customHeight="1">
      <c r="A1025" s="7">
        <v>1022</v>
      </c>
      <c r="B1025" s="7" t="str">
        <f>"38662022042312270435202"</f>
        <v>38662022042312270435202</v>
      </c>
      <c r="C1025" s="7" t="s">
        <v>13</v>
      </c>
      <c r="D1025" s="7" t="str">
        <f>"刘亚强"</f>
        <v>刘亚强</v>
      </c>
      <c r="E1025" s="7" t="str">
        <f t="shared" si="48"/>
        <v>女</v>
      </c>
    </row>
    <row r="1026" spans="1:5" ht="30" customHeight="1">
      <c r="A1026" s="7">
        <v>1023</v>
      </c>
      <c r="B1026" s="7" t="str">
        <f>"38662022042312531535226"</f>
        <v>38662022042312531535226</v>
      </c>
      <c r="C1026" s="7" t="s">
        <v>13</v>
      </c>
      <c r="D1026" s="7" t="str">
        <f>"叶丽娜"</f>
        <v>叶丽娜</v>
      </c>
      <c r="E1026" s="7" t="str">
        <f t="shared" si="48"/>
        <v>女</v>
      </c>
    </row>
    <row r="1027" spans="1:5" ht="30" customHeight="1">
      <c r="A1027" s="7">
        <v>1024</v>
      </c>
      <c r="B1027" s="7" t="str">
        <f>"38662022042312545235227"</f>
        <v>38662022042312545235227</v>
      </c>
      <c r="C1027" s="7" t="s">
        <v>13</v>
      </c>
      <c r="D1027" s="7" t="str">
        <f>"蔡蕾"</f>
        <v>蔡蕾</v>
      </c>
      <c r="E1027" s="7" t="str">
        <f t="shared" si="48"/>
        <v>女</v>
      </c>
    </row>
    <row r="1028" spans="1:5" ht="30" customHeight="1">
      <c r="A1028" s="7">
        <v>1025</v>
      </c>
      <c r="B1028" s="7" t="str">
        <f>"38662022042312551035229"</f>
        <v>38662022042312551035229</v>
      </c>
      <c r="C1028" s="7" t="s">
        <v>13</v>
      </c>
      <c r="D1028" s="7" t="str">
        <f>"蔡海丁"</f>
        <v>蔡海丁</v>
      </c>
      <c r="E1028" s="7" t="str">
        <f t="shared" si="48"/>
        <v>女</v>
      </c>
    </row>
    <row r="1029" spans="1:5" ht="30" customHeight="1">
      <c r="A1029" s="7">
        <v>1026</v>
      </c>
      <c r="B1029" s="7" t="str">
        <f>"38662022042313112035249"</f>
        <v>38662022042313112035249</v>
      </c>
      <c r="C1029" s="7" t="s">
        <v>13</v>
      </c>
      <c r="D1029" s="7" t="str">
        <f>"王安琪"</f>
        <v>王安琪</v>
      </c>
      <c r="E1029" s="7" t="str">
        <f t="shared" si="48"/>
        <v>女</v>
      </c>
    </row>
    <row r="1030" spans="1:5" ht="30" customHeight="1">
      <c r="A1030" s="7">
        <v>1027</v>
      </c>
      <c r="B1030" s="7" t="str">
        <f>"38662022042313310535268"</f>
        <v>38662022042313310535268</v>
      </c>
      <c r="C1030" s="7" t="s">
        <v>13</v>
      </c>
      <c r="D1030" s="7" t="str">
        <f>"王昀"</f>
        <v>王昀</v>
      </c>
      <c r="E1030" s="7" t="str">
        <f t="shared" si="48"/>
        <v>女</v>
      </c>
    </row>
    <row r="1031" spans="1:5" ht="30" customHeight="1">
      <c r="A1031" s="7">
        <v>1028</v>
      </c>
      <c r="B1031" s="7" t="str">
        <f>"38662022042313551035299"</f>
        <v>38662022042313551035299</v>
      </c>
      <c r="C1031" s="7" t="s">
        <v>13</v>
      </c>
      <c r="D1031" s="7" t="str">
        <f>"史杨华"</f>
        <v>史杨华</v>
      </c>
      <c r="E1031" s="7" t="str">
        <f t="shared" si="48"/>
        <v>女</v>
      </c>
    </row>
    <row r="1032" spans="1:5" ht="30" customHeight="1">
      <c r="A1032" s="7">
        <v>1029</v>
      </c>
      <c r="B1032" s="7" t="str">
        <f>"38662022042314014335308"</f>
        <v>38662022042314014335308</v>
      </c>
      <c r="C1032" s="7" t="s">
        <v>13</v>
      </c>
      <c r="D1032" s="7" t="str">
        <f>"姜金雨"</f>
        <v>姜金雨</v>
      </c>
      <c r="E1032" s="7" t="str">
        <f t="shared" si="48"/>
        <v>女</v>
      </c>
    </row>
    <row r="1033" spans="1:5" ht="30" customHeight="1">
      <c r="A1033" s="7">
        <v>1030</v>
      </c>
      <c r="B1033" s="7" t="str">
        <f>"38662022042314164335335"</f>
        <v>38662022042314164335335</v>
      </c>
      <c r="C1033" s="7" t="s">
        <v>13</v>
      </c>
      <c r="D1033" s="7" t="str">
        <f>"刘妤茜"</f>
        <v>刘妤茜</v>
      </c>
      <c r="E1033" s="7" t="str">
        <f t="shared" si="48"/>
        <v>女</v>
      </c>
    </row>
    <row r="1034" spans="1:5" ht="30" customHeight="1">
      <c r="A1034" s="7">
        <v>1031</v>
      </c>
      <c r="B1034" s="7" t="str">
        <f>"38662022042314273435345"</f>
        <v>38662022042314273435345</v>
      </c>
      <c r="C1034" s="7" t="s">
        <v>13</v>
      </c>
      <c r="D1034" s="7" t="str">
        <f>"朱娇娟"</f>
        <v>朱娇娟</v>
      </c>
      <c r="E1034" s="7" t="str">
        <f t="shared" si="48"/>
        <v>女</v>
      </c>
    </row>
    <row r="1035" spans="1:5" ht="30" customHeight="1">
      <c r="A1035" s="7">
        <v>1032</v>
      </c>
      <c r="B1035" s="7" t="str">
        <f>"38662022042315315535420"</f>
        <v>38662022042315315535420</v>
      </c>
      <c r="C1035" s="7" t="s">
        <v>13</v>
      </c>
      <c r="D1035" s="7" t="str">
        <f>"钟东夏"</f>
        <v>钟东夏</v>
      </c>
      <c r="E1035" s="7" t="str">
        <f t="shared" si="48"/>
        <v>女</v>
      </c>
    </row>
    <row r="1036" spans="1:5" ht="30" customHeight="1">
      <c r="A1036" s="7">
        <v>1033</v>
      </c>
      <c r="B1036" s="7" t="str">
        <f>"38662022042315372835432"</f>
        <v>38662022042315372835432</v>
      </c>
      <c r="C1036" s="7" t="s">
        <v>13</v>
      </c>
      <c r="D1036" s="7" t="str">
        <f>"王梦"</f>
        <v>王梦</v>
      </c>
      <c r="E1036" s="7" t="str">
        <f t="shared" si="48"/>
        <v>女</v>
      </c>
    </row>
    <row r="1037" spans="1:5" ht="30" customHeight="1">
      <c r="A1037" s="7">
        <v>1034</v>
      </c>
      <c r="B1037" s="7" t="str">
        <f>"38662022042315374235435"</f>
        <v>38662022042315374235435</v>
      </c>
      <c r="C1037" s="7" t="s">
        <v>13</v>
      </c>
      <c r="D1037" s="7" t="str">
        <f>"王嫚妮"</f>
        <v>王嫚妮</v>
      </c>
      <c r="E1037" s="7" t="str">
        <f t="shared" si="48"/>
        <v>女</v>
      </c>
    </row>
    <row r="1038" spans="1:5" ht="30" customHeight="1">
      <c r="A1038" s="7">
        <v>1035</v>
      </c>
      <c r="B1038" s="7" t="str">
        <f>"38662022042315383335437"</f>
        <v>38662022042315383335437</v>
      </c>
      <c r="C1038" s="7" t="s">
        <v>13</v>
      </c>
      <c r="D1038" s="7" t="str">
        <f>"陈敏"</f>
        <v>陈敏</v>
      </c>
      <c r="E1038" s="7" t="str">
        <f t="shared" si="48"/>
        <v>女</v>
      </c>
    </row>
    <row r="1039" spans="1:5" ht="30" customHeight="1">
      <c r="A1039" s="7">
        <v>1036</v>
      </c>
      <c r="B1039" s="7" t="str">
        <f>"38662022042315390335443"</f>
        <v>38662022042315390335443</v>
      </c>
      <c r="C1039" s="7" t="s">
        <v>13</v>
      </c>
      <c r="D1039" s="7" t="str">
        <f>"杨许诚"</f>
        <v>杨许诚</v>
      </c>
      <c r="E1039" s="7" t="str">
        <f>"男"</f>
        <v>男</v>
      </c>
    </row>
    <row r="1040" spans="1:5" ht="30" customHeight="1">
      <c r="A1040" s="7">
        <v>1037</v>
      </c>
      <c r="B1040" s="7" t="str">
        <f>"38662022042315392035444"</f>
        <v>38662022042315392035444</v>
      </c>
      <c r="C1040" s="7" t="s">
        <v>13</v>
      </c>
      <c r="D1040" s="7" t="str">
        <f>"陈春杏"</f>
        <v>陈春杏</v>
      </c>
      <c r="E1040" s="7" t="str">
        <f aca="true" t="shared" si="49" ref="E1040:E1083">"女"</f>
        <v>女</v>
      </c>
    </row>
    <row r="1041" spans="1:5" ht="30" customHeight="1">
      <c r="A1041" s="7">
        <v>1038</v>
      </c>
      <c r="B1041" s="7" t="str">
        <f>"38662022042315405435445"</f>
        <v>38662022042315405435445</v>
      </c>
      <c r="C1041" s="7" t="s">
        <v>13</v>
      </c>
      <c r="D1041" s="7" t="str">
        <f>"潘沫妃"</f>
        <v>潘沫妃</v>
      </c>
      <c r="E1041" s="7" t="str">
        <f t="shared" si="49"/>
        <v>女</v>
      </c>
    </row>
    <row r="1042" spans="1:5" ht="30" customHeight="1">
      <c r="A1042" s="7">
        <v>1039</v>
      </c>
      <c r="B1042" s="7" t="str">
        <f>"38662022042315430835450"</f>
        <v>38662022042315430835450</v>
      </c>
      <c r="C1042" s="7" t="s">
        <v>13</v>
      </c>
      <c r="D1042" s="7" t="str">
        <f>"李柏莲"</f>
        <v>李柏莲</v>
      </c>
      <c r="E1042" s="7" t="str">
        <f t="shared" si="49"/>
        <v>女</v>
      </c>
    </row>
    <row r="1043" spans="1:5" ht="30" customHeight="1">
      <c r="A1043" s="7">
        <v>1040</v>
      </c>
      <c r="B1043" s="7" t="str">
        <f>"38662022042315443035451"</f>
        <v>38662022042315443035451</v>
      </c>
      <c r="C1043" s="7" t="s">
        <v>13</v>
      </c>
      <c r="D1043" s="7" t="str">
        <f>"王雪梅"</f>
        <v>王雪梅</v>
      </c>
      <c r="E1043" s="7" t="str">
        <f t="shared" si="49"/>
        <v>女</v>
      </c>
    </row>
    <row r="1044" spans="1:5" ht="30" customHeight="1">
      <c r="A1044" s="7">
        <v>1041</v>
      </c>
      <c r="B1044" s="7" t="str">
        <f>"38662022042315460035456"</f>
        <v>38662022042315460035456</v>
      </c>
      <c r="C1044" s="7" t="s">
        <v>13</v>
      </c>
      <c r="D1044" s="7" t="str">
        <f>"许彬彬"</f>
        <v>许彬彬</v>
      </c>
      <c r="E1044" s="7" t="str">
        <f t="shared" si="49"/>
        <v>女</v>
      </c>
    </row>
    <row r="1045" spans="1:5" ht="30" customHeight="1">
      <c r="A1045" s="7">
        <v>1042</v>
      </c>
      <c r="B1045" s="7" t="str">
        <f>"38662022042315474335459"</f>
        <v>38662022042315474335459</v>
      </c>
      <c r="C1045" s="7" t="s">
        <v>13</v>
      </c>
      <c r="D1045" s="7" t="str">
        <f>"吴雪萍"</f>
        <v>吴雪萍</v>
      </c>
      <c r="E1045" s="7" t="str">
        <f t="shared" si="49"/>
        <v>女</v>
      </c>
    </row>
    <row r="1046" spans="1:5" ht="30" customHeight="1">
      <c r="A1046" s="7">
        <v>1043</v>
      </c>
      <c r="B1046" s="7" t="str">
        <f>"38662022042315555335473"</f>
        <v>38662022042315555335473</v>
      </c>
      <c r="C1046" s="7" t="s">
        <v>13</v>
      </c>
      <c r="D1046" s="7" t="str">
        <f>"何玉敏"</f>
        <v>何玉敏</v>
      </c>
      <c r="E1046" s="7" t="str">
        <f t="shared" si="49"/>
        <v>女</v>
      </c>
    </row>
    <row r="1047" spans="1:5" ht="30" customHeight="1">
      <c r="A1047" s="7">
        <v>1044</v>
      </c>
      <c r="B1047" s="7" t="str">
        <f>"38662022042316355435523"</f>
        <v>38662022042316355435523</v>
      </c>
      <c r="C1047" s="7" t="s">
        <v>13</v>
      </c>
      <c r="D1047" s="7" t="str">
        <f>"卢小婧"</f>
        <v>卢小婧</v>
      </c>
      <c r="E1047" s="7" t="str">
        <f t="shared" si="49"/>
        <v>女</v>
      </c>
    </row>
    <row r="1048" spans="1:5" ht="30" customHeight="1">
      <c r="A1048" s="7">
        <v>1045</v>
      </c>
      <c r="B1048" s="7" t="str">
        <f>"38662022042316443335534"</f>
        <v>38662022042316443335534</v>
      </c>
      <c r="C1048" s="7" t="s">
        <v>13</v>
      </c>
      <c r="D1048" s="7" t="str">
        <f>"黄梦之"</f>
        <v>黄梦之</v>
      </c>
      <c r="E1048" s="7" t="str">
        <f t="shared" si="49"/>
        <v>女</v>
      </c>
    </row>
    <row r="1049" spans="1:5" ht="30" customHeight="1">
      <c r="A1049" s="7">
        <v>1046</v>
      </c>
      <c r="B1049" s="7" t="str">
        <f>"38662022042317005235563"</f>
        <v>38662022042317005235563</v>
      </c>
      <c r="C1049" s="7" t="s">
        <v>13</v>
      </c>
      <c r="D1049" s="7" t="str">
        <f>"曾燕"</f>
        <v>曾燕</v>
      </c>
      <c r="E1049" s="7" t="str">
        <f t="shared" si="49"/>
        <v>女</v>
      </c>
    </row>
    <row r="1050" spans="1:5" ht="30" customHeight="1">
      <c r="A1050" s="7">
        <v>1047</v>
      </c>
      <c r="B1050" s="7" t="str">
        <f>"38662022042317162035583"</f>
        <v>38662022042317162035583</v>
      </c>
      <c r="C1050" s="7" t="s">
        <v>13</v>
      </c>
      <c r="D1050" s="7" t="str">
        <f>"冯维维"</f>
        <v>冯维维</v>
      </c>
      <c r="E1050" s="7" t="str">
        <f t="shared" si="49"/>
        <v>女</v>
      </c>
    </row>
    <row r="1051" spans="1:5" ht="30" customHeight="1">
      <c r="A1051" s="7">
        <v>1048</v>
      </c>
      <c r="B1051" s="7" t="str">
        <f>"38662022042317203235590"</f>
        <v>38662022042317203235590</v>
      </c>
      <c r="C1051" s="7" t="s">
        <v>13</v>
      </c>
      <c r="D1051" s="7" t="str">
        <f>"文丽苗"</f>
        <v>文丽苗</v>
      </c>
      <c r="E1051" s="7" t="str">
        <f t="shared" si="49"/>
        <v>女</v>
      </c>
    </row>
    <row r="1052" spans="1:5" ht="30" customHeight="1">
      <c r="A1052" s="7">
        <v>1049</v>
      </c>
      <c r="B1052" s="7" t="str">
        <f>"38662022042317252635595"</f>
        <v>38662022042317252635595</v>
      </c>
      <c r="C1052" s="7" t="s">
        <v>13</v>
      </c>
      <c r="D1052" s="7" t="str">
        <f>"吴慧芳"</f>
        <v>吴慧芳</v>
      </c>
      <c r="E1052" s="7" t="str">
        <f t="shared" si="49"/>
        <v>女</v>
      </c>
    </row>
    <row r="1053" spans="1:5" ht="30" customHeight="1">
      <c r="A1053" s="7">
        <v>1050</v>
      </c>
      <c r="B1053" s="7" t="str">
        <f>"38662022042317374735607"</f>
        <v>38662022042317374735607</v>
      </c>
      <c r="C1053" s="7" t="s">
        <v>13</v>
      </c>
      <c r="D1053" s="7" t="str">
        <f>"林美应"</f>
        <v>林美应</v>
      </c>
      <c r="E1053" s="7" t="str">
        <f t="shared" si="49"/>
        <v>女</v>
      </c>
    </row>
    <row r="1054" spans="1:5" ht="30" customHeight="1">
      <c r="A1054" s="7">
        <v>1051</v>
      </c>
      <c r="B1054" s="7" t="str">
        <f>"38662022042317423935612"</f>
        <v>38662022042317423935612</v>
      </c>
      <c r="C1054" s="7" t="s">
        <v>13</v>
      </c>
      <c r="D1054" s="7" t="str">
        <f>"董超瑶"</f>
        <v>董超瑶</v>
      </c>
      <c r="E1054" s="7" t="str">
        <f t="shared" si="49"/>
        <v>女</v>
      </c>
    </row>
    <row r="1055" spans="1:5" ht="30" customHeight="1">
      <c r="A1055" s="7">
        <v>1052</v>
      </c>
      <c r="B1055" s="7" t="str">
        <f>"38662022042317533435620"</f>
        <v>38662022042317533435620</v>
      </c>
      <c r="C1055" s="7" t="s">
        <v>13</v>
      </c>
      <c r="D1055" s="7" t="str">
        <f>"张冬梅"</f>
        <v>张冬梅</v>
      </c>
      <c r="E1055" s="7" t="str">
        <f t="shared" si="49"/>
        <v>女</v>
      </c>
    </row>
    <row r="1056" spans="1:5" ht="30" customHeight="1">
      <c r="A1056" s="7">
        <v>1053</v>
      </c>
      <c r="B1056" s="7" t="str">
        <f>"38662022042318020135628"</f>
        <v>38662022042318020135628</v>
      </c>
      <c r="C1056" s="7" t="s">
        <v>13</v>
      </c>
      <c r="D1056" s="7" t="str">
        <f>"陈婆传"</f>
        <v>陈婆传</v>
      </c>
      <c r="E1056" s="7" t="str">
        <f t="shared" si="49"/>
        <v>女</v>
      </c>
    </row>
    <row r="1057" spans="1:5" ht="30" customHeight="1">
      <c r="A1057" s="7">
        <v>1054</v>
      </c>
      <c r="B1057" s="7" t="str">
        <f>"38662022042318380535659"</f>
        <v>38662022042318380535659</v>
      </c>
      <c r="C1057" s="7" t="s">
        <v>13</v>
      </c>
      <c r="D1057" s="7" t="str">
        <f>"吴晓明"</f>
        <v>吴晓明</v>
      </c>
      <c r="E1057" s="7" t="str">
        <f t="shared" si="49"/>
        <v>女</v>
      </c>
    </row>
    <row r="1058" spans="1:5" ht="30" customHeight="1">
      <c r="A1058" s="7">
        <v>1055</v>
      </c>
      <c r="B1058" s="7" t="str">
        <f>"38662022042318430435665"</f>
        <v>38662022042318430435665</v>
      </c>
      <c r="C1058" s="7" t="s">
        <v>13</v>
      </c>
      <c r="D1058" s="7" t="str">
        <f>"黄慧君"</f>
        <v>黄慧君</v>
      </c>
      <c r="E1058" s="7" t="str">
        <f t="shared" si="49"/>
        <v>女</v>
      </c>
    </row>
    <row r="1059" spans="1:5" ht="30" customHeight="1">
      <c r="A1059" s="7">
        <v>1056</v>
      </c>
      <c r="B1059" s="7" t="str">
        <f>"38662022042319381535713"</f>
        <v>38662022042319381535713</v>
      </c>
      <c r="C1059" s="7" t="s">
        <v>13</v>
      </c>
      <c r="D1059" s="7" t="str">
        <f>"吴燕南"</f>
        <v>吴燕南</v>
      </c>
      <c r="E1059" s="7" t="str">
        <f t="shared" si="49"/>
        <v>女</v>
      </c>
    </row>
    <row r="1060" spans="1:5" ht="30" customHeight="1">
      <c r="A1060" s="7">
        <v>1057</v>
      </c>
      <c r="B1060" s="7" t="str">
        <f>"38662022042320245435769"</f>
        <v>38662022042320245435769</v>
      </c>
      <c r="C1060" s="7" t="s">
        <v>13</v>
      </c>
      <c r="D1060" s="7" t="str">
        <f>"陈冰"</f>
        <v>陈冰</v>
      </c>
      <c r="E1060" s="7" t="str">
        <f t="shared" si="49"/>
        <v>女</v>
      </c>
    </row>
    <row r="1061" spans="1:5" ht="30" customHeight="1">
      <c r="A1061" s="7">
        <v>1058</v>
      </c>
      <c r="B1061" s="7" t="str">
        <f>"38662022042320281835778"</f>
        <v>38662022042320281835778</v>
      </c>
      <c r="C1061" s="7" t="s">
        <v>13</v>
      </c>
      <c r="D1061" s="7" t="str">
        <f>"吴剑花"</f>
        <v>吴剑花</v>
      </c>
      <c r="E1061" s="7" t="str">
        <f t="shared" si="49"/>
        <v>女</v>
      </c>
    </row>
    <row r="1062" spans="1:5" ht="30" customHeight="1">
      <c r="A1062" s="7">
        <v>1059</v>
      </c>
      <c r="B1062" s="7" t="str">
        <f>"38662022042320353735793"</f>
        <v>38662022042320353735793</v>
      </c>
      <c r="C1062" s="7" t="s">
        <v>13</v>
      </c>
      <c r="D1062" s="7" t="str">
        <f>"陈妹莹"</f>
        <v>陈妹莹</v>
      </c>
      <c r="E1062" s="7" t="str">
        <f t="shared" si="49"/>
        <v>女</v>
      </c>
    </row>
    <row r="1063" spans="1:5" ht="30" customHeight="1">
      <c r="A1063" s="7">
        <v>1060</v>
      </c>
      <c r="B1063" s="7" t="str">
        <f>"38662022042320440335813"</f>
        <v>38662022042320440335813</v>
      </c>
      <c r="C1063" s="7" t="s">
        <v>13</v>
      </c>
      <c r="D1063" s="7" t="str">
        <f>"邢叶"</f>
        <v>邢叶</v>
      </c>
      <c r="E1063" s="7" t="str">
        <f t="shared" si="49"/>
        <v>女</v>
      </c>
    </row>
    <row r="1064" spans="1:5" ht="30" customHeight="1">
      <c r="A1064" s="7">
        <v>1061</v>
      </c>
      <c r="B1064" s="7" t="str">
        <f>"38662022042320511835824"</f>
        <v>38662022042320511835824</v>
      </c>
      <c r="C1064" s="7" t="s">
        <v>13</v>
      </c>
      <c r="D1064" s="7" t="str">
        <f>"李丽霞"</f>
        <v>李丽霞</v>
      </c>
      <c r="E1064" s="7" t="str">
        <f t="shared" si="49"/>
        <v>女</v>
      </c>
    </row>
    <row r="1065" spans="1:5" ht="30" customHeight="1">
      <c r="A1065" s="7">
        <v>1062</v>
      </c>
      <c r="B1065" s="7" t="str">
        <f>"38662022042320531535827"</f>
        <v>38662022042320531535827</v>
      </c>
      <c r="C1065" s="7" t="s">
        <v>13</v>
      </c>
      <c r="D1065" s="7" t="str">
        <f>"李秀艾"</f>
        <v>李秀艾</v>
      </c>
      <c r="E1065" s="7" t="str">
        <f t="shared" si="49"/>
        <v>女</v>
      </c>
    </row>
    <row r="1066" spans="1:5" ht="30" customHeight="1">
      <c r="A1066" s="7">
        <v>1063</v>
      </c>
      <c r="B1066" s="7" t="str">
        <f>"38662022042320573935829"</f>
        <v>38662022042320573935829</v>
      </c>
      <c r="C1066" s="7" t="s">
        <v>13</v>
      </c>
      <c r="D1066" s="7" t="str">
        <f>"罗童心"</f>
        <v>罗童心</v>
      </c>
      <c r="E1066" s="7" t="str">
        <f t="shared" si="49"/>
        <v>女</v>
      </c>
    </row>
    <row r="1067" spans="1:5" ht="30" customHeight="1">
      <c r="A1067" s="7">
        <v>1064</v>
      </c>
      <c r="B1067" s="7" t="str">
        <f>"38662022042320580335831"</f>
        <v>38662022042320580335831</v>
      </c>
      <c r="C1067" s="7" t="s">
        <v>13</v>
      </c>
      <c r="D1067" s="7" t="str">
        <f>"吴桃艳"</f>
        <v>吴桃艳</v>
      </c>
      <c r="E1067" s="7" t="str">
        <f t="shared" si="49"/>
        <v>女</v>
      </c>
    </row>
    <row r="1068" spans="1:5" ht="30" customHeight="1">
      <c r="A1068" s="7">
        <v>1065</v>
      </c>
      <c r="B1068" s="7" t="str">
        <f>"38662022042321185035865"</f>
        <v>38662022042321185035865</v>
      </c>
      <c r="C1068" s="7" t="s">
        <v>13</v>
      </c>
      <c r="D1068" s="7" t="str">
        <f>"吴春娜"</f>
        <v>吴春娜</v>
      </c>
      <c r="E1068" s="7" t="str">
        <f t="shared" si="49"/>
        <v>女</v>
      </c>
    </row>
    <row r="1069" spans="1:5" ht="30" customHeight="1">
      <c r="A1069" s="7">
        <v>1066</v>
      </c>
      <c r="B1069" s="7" t="str">
        <f>"38662022042321260835876"</f>
        <v>38662022042321260835876</v>
      </c>
      <c r="C1069" s="7" t="s">
        <v>13</v>
      </c>
      <c r="D1069" s="7" t="str">
        <f>"许文彬"</f>
        <v>许文彬</v>
      </c>
      <c r="E1069" s="7" t="str">
        <f t="shared" si="49"/>
        <v>女</v>
      </c>
    </row>
    <row r="1070" spans="1:5" ht="30" customHeight="1">
      <c r="A1070" s="7">
        <v>1067</v>
      </c>
      <c r="B1070" s="7" t="str">
        <f>"38662022042321360835890"</f>
        <v>38662022042321360835890</v>
      </c>
      <c r="C1070" s="7" t="s">
        <v>13</v>
      </c>
      <c r="D1070" s="7" t="str">
        <f>"林立湲"</f>
        <v>林立湲</v>
      </c>
      <c r="E1070" s="7" t="str">
        <f t="shared" si="49"/>
        <v>女</v>
      </c>
    </row>
    <row r="1071" spans="1:5" ht="30" customHeight="1">
      <c r="A1071" s="7">
        <v>1068</v>
      </c>
      <c r="B1071" s="7" t="str">
        <f>"38662022042321400235901"</f>
        <v>38662022042321400235901</v>
      </c>
      <c r="C1071" s="7" t="s">
        <v>13</v>
      </c>
      <c r="D1071" s="7" t="str">
        <f>"薛冬萍"</f>
        <v>薛冬萍</v>
      </c>
      <c r="E1071" s="7" t="str">
        <f t="shared" si="49"/>
        <v>女</v>
      </c>
    </row>
    <row r="1072" spans="1:5" ht="30" customHeight="1">
      <c r="A1072" s="7">
        <v>1069</v>
      </c>
      <c r="B1072" s="7" t="str">
        <f>"38662022042321414035906"</f>
        <v>38662022042321414035906</v>
      </c>
      <c r="C1072" s="7" t="s">
        <v>13</v>
      </c>
      <c r="D1072" s="7" t="str">
        <f>"王湘怡"</f>
        <v>王湘怡</v>
      </c>
      <c r="E1072" s="7" t="str">
        <f t="shared" si="49"/>
        <v>女</v>
      </c>
    </row>
    <row r="1073" spans="1:5" ht="30" customHeight="1">
      <c r="A1073" s="7">
        <v>1070</v>
      </c>
      <c r="B1073" s="7" t="str">
        <f>"38662022042321454035919"</f>
        <v>38662022042321454035919</v>
      </c>
      <c r="C1073" s="7" t="s">
        <v>13</v>
      </c>
      <c r="D1073" s="7" t="str">
        <f>"冼权芬"</f>
        <v>冼权芬</v>
      </c>
      <c r="E1073" s="7" t="str">
        <f t="shared" si="49"/>
        <v>女</v>
      </c>
    </row>
    <row r="1074" spans="1:5" ht="30" customHeight="1">
      <c r="A1074" s="7">
        <v>1071</v>
      </c>
      <c r="B1074" s="7" t="str">
        <f>"38662022042321515835926"</f>
        <v>38662022042321515835926</v>
      </c>
      <c r="C1074" s="7" t="s">
        <v>13</v>
      </c>
      <c r="D1074" s="7" t="str">
        <f>"高冰"</f>
        <v>高冰</v>
      </c>
      <c r="E1074" s="7" t="str">
        <f t="shared" si="49"/>
        <v>女</v>
      </c>
    </row>
    <row r="1075" spans="1:5" ht="30" customHeight="1">
      <c r="A1075" s="7">
        <v>1072</v>
      </c>
      <c r="B1075" s="7" t="str">
        <f>"38662022042321520335927"</f>
        <v>38662022042321520335927</v>
      </c>
      <c r="C1075" s="7" t="s">
        <v>13</v>
      </c>
      <c r="D1075" s="7" t="str">
        <f>"郑瑶"</f>
        <v>郑瑶</v>
      </c>
      <c r="E1075" s="7" t="str">
        <f t="shared" si="49"/>
        <v>女</v>
      </c>
    </row>
    <row r="1076" spans="1:5" ht="30" customHeight="1">
      <c r="A1076" s="7">
        <v>1073</v>
      </c>
      <c r="B1076" s="7" t="str">
        <f>"38662022042322054935944"</f>
        <v>38662022042322054935944</v>
      </c>
      <c r="C1076" s="7" t="s">
        <v>13</v>
      </c>
      <c r="D1076" s="7" t="str">
        <f>"洪晓娜"</f>
        <v>洪晓娜</v>
      </c>
      <c r="E1076" s="7" t="str">
        <f t="shared" si="49"/>
        <v>女</v>
      </c>
    </row>
    <row r="1077" spans="1:5" ht="30" customHeight="1">
      <c r="A1077" s="7">
        <v>1074</v>
      </c>
      <c r="B1077" s="7" t="str">
        <f>"38662022042322084935948"</f>
        <v>38662022042322084935948</v>
      </c>
      <c r="C1077" s="7" t="s">
        <v>13</v>
      </c>
      <c r="D1077" s="7" t="str">
        <f>"钟秀珍"</f>
        <v>钟秀珍</v>
      </c>
      <c r="E1077" s="7" t="str">
        <f t="shared" si="49"/>
        <v>女</v>
      </c>
    </row>
    <row r="1078" spans="1:5" ht="30" customHeight="1">
      <c r="A1078" s="7">
        <v>1075</v>
      </c>
      <c r="B1078" s="7" t="str">
        <f>"38662022042322335935993"</f>
        <v>38662022042322335935993</v>
      </c>
      <c r="C1078" s="7" t="s">
        <v>13</v>
      </c>
      <c r="D1078" s="7" t="str">
        <f>"陈海霞"</f>
        <v>陈海霞</v>
      </c>
      <c r="E1078" s="7" t="str">
        <f t="shared" si="49"/>
        <v>女</v>
      </c>
    </row>
    <row r="1079" spans="1:5" ht="30" customHeight="1">
      <c r="A1079" s="7">
        <v>1076</v>
      </c>
      <c r="B1079" s="7" t="str">
        <f>"38662022042322460936020"</f>
        <v>38662022042322460936020</v>
      </c>
      <c r="C1079" s="7" t="s">
        <v>13</v>
      </c>
      <c r="D1079" s="7" t="str">
        <f>"陈小宇"</f>
        <v>陈小宇</v>
      </c>
      <c r="E1079" s="7" t="str">
        <f t="shared" si="49"/>
        <v>女</v>
      </c>
    </row>
    <row r="1080" spans="1:5" ht="30" customHeight="1">
      <c r="A1080" s="7">
        <v>1077</v>
      </c>
      <c r="B1080" s="7" t="str">
        <f>"38662022042322564236040"</f>
        <v>38662022042322564236040</v>
      </c>
      <c r="C1080" s="7" t="s">
        <v>13</v>
      </c>
      <c r="D1080" s="7" t="str">
        <f>"李梅"</f>
        <v>李梅</v>
      </c>
      <c r="E1080" s="7" t="str">
        <f t="shared" si="49"/>
        <v>女</v>
      </c>
    </row>
    <row r="1081" spans="1:5" ht="30" customHeight="1">
      <c r="A1081" s="7">
        <v>1078</v>
      </c>
      <c r="B1081" s="7" t="str">
        <f>"38662022042323055236057"</f>
        <v>38662022042323055236057</v>
      </c>
      <c r="C1081" s="7" t="s">
        <v>13</v>
      </c>
      <c r="D1081" s="7" t="str">
        <f>"周金莉"</f>
        <v>周金莉</v>
      </c>
      <c r="E1081" s="7" t="str">
        <f t="shared" si="49"/>
        <v>女</v>
      </c>
    </row>
    <row r="1082" spans="1:5" ht="30" customHeight="1">
      <c r="A1082" s="7">
        <v>1079</v>
      </c>
      <c r="B1082" s="7" t="str">
        <f>"38662022042323305336079"</f>
        <v>38662022042323305336079</v>
      </c>
      <c r="C1082" s="7" t="s">
        <v>13</v>
      </c>
      <c r="D1082" s="7" t="str">
        <f>"李喜姣"</f>
        <v>李喜姣</v>
      </c>
      <c r="E1082" s="7" t="str">
        <f t="shared" si="49"/>
        <v>女</v>
      </c>
    </row>
    <row r="1083" spans="1:5" ht="30" customHeight="1">
      <c r="A1083" s="7">
        <v>1080</v>
      </c>
      <c r="B1083" s="7" t="str">
        <f>"38662022042323403636090"</f>
        <v>38662022042323403636090</v>
      </c>
      <c r="C1083" s="7" t="s">
        <v>13</v>
      </c>
      <c r="D1083" s="7" t="str">
        <f>"郭玲珠"</f>
        <v>郭玲珠</v>
      </c>
      <c r="E1083" s="7" t="str">
        <f t="shared" si="49"/>
        <v>女</v>
      </c>
    </row>
    <row r="1084" spans="1:5" ht="30" customHeight="1">
      <c r="A1084" s="7">
        <v>1081</v>
      </c>
      <c r="B1084" s="7" t="str">
        <f>"38662022042408001636157"</f>
        <v>38662022042408001636157</v>
      </c>
      <c r="C1084" s="7" t="s">
        <v>13</v>
      </c>
      <c r="D1084" s="7" t="str">
        <f>"蔡云飞"</f>
        <v>蔡云飞</v>
      </c>
      <c r="E1084" s="7" t="str">
        <f>"男"</f>
        <v>男</v>
      </c>
    </row>
    <row r="1085" spans="1:5" ht="30" customHeight="1">
      <c r="A1085" s="7">
        <v>1082</v>
      </c>
      <c r="B1085" s="7" t="str">
        <f>"38662022042408142436165"</f>
        <v>38662022042408142436165</v>
      </c>
      <c r="C1085" s="7" t="s">
        <v>13</v>
      </c>
      <c r="D1085" s="7" t="str">
        <f>"曾蔚玲"</f>
        <v>曾蔚玲</v>
      </c>
      <c r="E1085" s="7" t="str">
        <f aca="true" t="shared" si="50" ref="E1085:E1107">"女"</f>
        <v>女</v>
      </c>
    </row>
    <row r="1086" spans="1:5" ht="30" customHeight="1">
      <c r="A1086" s="7">
        <v>1083</v>
      </c>
      <c r="B1086" s="7" t="str">
        <f>"38662022042408352636191"</f>
        <v>38662022042408352636191</v>
      </c>
      <c r="C1086" s="7" t="s">
        <v>13</v>
      </c>
      <c r="D1086" s="7" t="str">
        <f>"吕伟"</f>
        <v>吕伟</v>
      </c>
      <c r="E1086" s="7" t="str">
        <f t="shared" si="50"/>
        <v>女</v>
      </c>
    </row>
    <row r="1087" spans="1:5" ht="30" customHeight="1">
      <c r="A1087" s="7">
        <v>1084</v>
      </c>
      <c r="B1087" s="7" t="str">
        <f>"38662022042408390436196"</f>
        <v>38662022042408390436196</v>
      </c>
      <c r="C1087" s="7" t="s">
        <v>13</v>
      </c>
      <c r="D1087" s="7" t="str">
        <f>"张文伊"</f>
        <v>张文伊</v>
      </c>
      <c r="E1087" s="7" t="str">
        <f t="shared" si="50"/>
        <v>女</v>
      </c>
    </row>
    <row r="1088" spans="1:5" ht="30" customHeight="1">
      <c r="A1088" s="7">
        <v>1085</v>
      </c>
      <c r="B1088" s="7" t="str">
        <f>"38662022042408413736202"</f>
        <v>38662022042408413736202</v>
      </c>
      <c r="C1088" s="7" t="s">
        <v>13</v>
      </c>
      <c r="D1088" s="7" t="str">
        <f>"王惠琳"</f>
        <v>王惠琳</v>
      </c>
      <c r="E1088" s="7" t="str">
        <f t="shared" si="50"/>
        <v>女</v>
      </c>
    </row>
    <row r="1089" spans="1:5" ht="30" customHeight="1">
      <c r="A1089" s="7">
        <v>1086</v>
      </c>
      <c r="B1089" s="7" t="str">
        <f>"38662022042408493536219"</f>
        <v>38662022042408493536219</v>
      </c>
      <c r="C1089" s="7" t="s">
        <v>13</v>
      </c>
      <c r="D1089" s="7" t="str">
        <f>"符秀凤"</f>
        <v>符秀凤</v>
      </c>
      <c r="E1089" s="7" t="str">
        <f t="shared" si="50"/>
        <v>女</v>
      </c>
    </row>
    <row r="1090" spans="1:5" ht="30" customHeight="1">
      <c r="A1090" s="7">
        <v>1087</v>
      </c>
      <c r="B1090" s="7" t="str">
        <f>"38662022042409074536251"</f>
        <v>38662022042409074536251</v>
      </c>
      <c r="C1090" s="7" t="s">
        <v>13</v>
      </c>
      <c r="D1090" s="7" t="str">
        <f>"冯冠良"</f>
        <v>冯冠良</v>
      </c>
      <c r="E1090" s="7" t="str">
        <f t="shared" si="50"/>
        <v>女</v>
      </c>
    </row>
    <row r="1091" spans="1:5" ht="30" customHeight="1">
      <c r="A1091" s="7">
        <v>1088</v>
      </c>
      <c r="B1091" s="7" t="str">
        <f>"38662022042409162636276"</f>
        <v>38662022042409162636276</v>
      </c>
      <c r="C1091" s="7" t="s">
        <v>13</v>
      </c>
      <c r="D1091" s="7" t="str">
        <f>"黄海梅"</f>
        <v>黄海梅</v>
      </c>
      <c r="E1091" s="7" t="str">
        <f t="shared" si="50"/>
        <v>女</v>
      </c>
    </row>
    <row r="1092" spans="1:5" ht="30" customHeight="1">
      <c r="A1092" s="7">
        <v>1089</v>
      </c>
      <c r="B1092" s="7" t="str">
        <f>"38662022042409233236292"</f>
        <v>38662022042409233236292</v>
      </c>
      <c r="C1092" s="7" t="s">
        <v>13</v>
      </c>
      <c r="D1092" s="7" t="str">
        <f>"吕乾艳"</f>
        <v>吕乾艳</v>
      </c>
      <c r="E1092" s="7" t="str">
        <f t="shared" si="50"/>
        <v>女</v>
      </c>
    </row>
    <row r="1093" spans="1:5" ht="30" customHeight="1">
      <c r="A1093" s="7">
        <v>1090</v>
      </c>
      <c r="B1093" s="7" t="str">
        <f>"38662022042409240036293"</f>
        <v>38662022042409240036293</v>
      </c>
      <c r="C1093" s="7" t="s">
        <v>13</v>
      </c>
      <c r="D1093" s="7" t="str">
        <f>"李晓雪"</f>
        <v>李晓雪</v>
      </c>
      <c r="E1093" s="7" t="str">
        <f t="shared" si="50"/>
        <v>女</v>
      </c>
    </row>
    <row r="1094" spans="1:5" ht="30" customHeight="1">
      <c r="A1094" s="7">
        <v>1091</v>
      </c>
      <c r="B1094" s="7" t="str">
        <f>"38662022042409304836306"</f>
        <v>38662022042409304836306</v>
      </c>
      <c r="C1094" s="7" t="s">
        <v>13</v>
      </c>
      <c r="D1094" s="7" t="str">
        <f>"麦曼娟"</f>
        <v>麦曼娟</v>
      </c>
      <c r="E1094" s="7" t="str">
        <f t="shared" si="50"/>
        <v>女</v>
      </c>
    </row>
    <row r="1095" spans="1:5" ht="30" customHeight="1">
      <c r="A1095" s="7">
        <v>1092</v>
      </c>
      <c r="B1095" s="7" t="str">
        <f>"38662022042409345636321"</f>
        <v>38662022042409345636321</v>
      </c>
      <c r="C1095" s="7" t="s">
        <v>13</v>
      </c>
      <c r="D1095" s="7" t="str">
        <f>"符舒华"</f>
        <v>符舒华</v>
      </c>
      <c r="E1095" s="7" t="str">
        <f t="shared" si="50"/>
        <v>女</v>
      </c>
    </row>
    <row r="1096" spans="1:5" ht="30" customHeight="1">
      <c r="A1096" s="7">
        <v>1093</v>
      </c>
      <c r="B1096" s="7" t="str">
        <f>"38662022042409433736335"</f>
        <v>38662022042409433736335</v>
      </c>
      <c r="C1096" s="7" t="s">
        <v>13</v>
      </c>
      <c r="D1096" s="7" t="str">
        <f>"黄陈梅"</f>
        <v>黄陈梅</v>
      </c>
      <c r="E1096" s="7" t="str">
        <f t="shared" si="50"/>
        <v>女</v>
      </c>
    </row>
    <row r="1097" spans="1:5" ht="30" customHeight="1">
      <c r="A1097" s="7">
        <v>1094</v>
      </c>
      <c r="B1097" s="7" t="str">
        <f>"38662022042409464736340"</f>
        <v>38662022042409464736340</v>
      </c>
      <c r="C1097" s="7" t="s">
        <v>13</v>
      </c>
      <c r="D1097" s="7" t="str">
        <f>"何一秋"</f>
        <v>何一秋</v>
      </c>
      <c r="E1097" s="7" t="str">
        <f t="shared" si="50"/>
        <v>女</v>
      </c>
    </row>
    <row r="1098" spans="1:5" ht="30" customHeight="1">
      <c r="A1098" s="7">
        <v>1095</v>
      </c>
      <c r="B1098" s="7" t="str">
        <f>"38662022042409572636361"</f>
        <v>38662022042409572636361</v>
      </c>
      <c r="C1098" s="7" t="s">
        <v>13</v>
      </c>
      <c r="D1098" s="7" t="str">
        <f>"彭悦秋"</f>
        <v>彭悦秋</v>
      </c>
      <c r="E1098" s="7" t="str">
        <f t="shared" si="50"/>
        <v>女</v>
      </c>
    </row>
    <row r="1099" spans="1:5" ht="30" customHeight="1">
      <c r="A1099" s="7">
        <v>1096</v>
      </c>
      <c r="B1099" s="7" t="str">
        <f>"38662022042410083436384"</f>
        <v>38662022042410083436384</v>
      </c>
      <c r="C1099" s="7" t="s">
        <v>13</v>
      </c>
      <c r="D1099" s="7" t="str">
        <f>"刘晓欢"</f>
        <v>刘晓欢</v>
      </c>
      <c r="E1099" s="7" t="str">
        <f t="shared" si="50"/>
        <v>女</v>
      </c>
    </row>
    <row r="1100" spans="1:5" ht="30" customHeight="1">
      <c r="A1100" s="7">
        <v>1097</v>
      </c>
      <c r="B1100" s="7" t="str">
        <f>"38662022042410253836418"</f>
        <v>38662022042410253836418</v>
      </c>
      <c r="C1100" s="7" t="s">
        <v>13</v>
      </c>
      <c r="D1100" s="7" t="str">
        <f>"钟国虹"</f>
        <v>钟国虹</v>
      </c>
      <c r="E1100" s="7" t="str">
        <f t="shared" si="50"/>
        <v>女</v>
      </c>
    </row>
    <row r="1101" spans="1:5" ht="30" customHeight="1">
      <c r="A1101" s="7">
        <v>1098</v>
      </c>
      <c r="B1101" s="7" t="str">
        <f>"38662022042410372836440"</f>
        <v>38662022042410372836440</v>
      </c>
      <c r="C1101" s="7" t="s">
        <v>13</v>
      </c>
      <c r="D1101" s="7" t="str">
        <f>"沈秀银"</f>
        <v>沈秀银</v>
      </c>
      <c r="E1101" s="7" t="str">
        <f t="shared" si="50"/>
        <v>女</v>
      </c>
    </row>
    <row r="1102" spans="1:5" ht="30" customHeight="1">
      <c r="A1102" s="7">
        <v>1099</v>
      </c>
      <c r="B1102" s="7" t="str">
        <f>"38662022042410434136453"</f>
        <v>38662022042410434136453</v>
      </c>
      <c r="C1102" s="7" t="s">
        <v>13</v>
      </c>
      <c r="D1102" s="7" t="str">
        <f>"何影"</f>
        <v>何影</v>
      </c>
      <c r="E1102" s="7" t="str">
        <f t="shared" si="50"/>
        <v>女</v>
      </c>
    </row>
    <row r="1103" spans="1:5" ht="30" customHeight="1">
      <c r="A1103" s="7">
        <v>1100</v>
      </c>
      <c r="B1103" s="7" t="str">
        <f>"38662022042410531136471"</f>
        <v>38662022042410531136471</v>
      </c>
      <c r="C1103" s="7" t="s">
        <v>13</v>
      </c>
      <c r="D1103" s="7" t="str">
        <f>"宋佳美"</f>
        <v>宋佳美</v>
      </c>
      <c r="E1103" s="7" t="str">
        <f t="shared" si="50"/>
        <v>女</v>
      </c>
    </row>
    <row r="1104" spans="1:5" ht="30" customHeight="1">
      <c r="A1104" s="7">
        <v>1101</v>
      </c>
      <c r="B1104" s="7" t="str">
        <f>"38662022042411015436489"</f>
        <v>38662022042411015436489</v>
      </c>
      <c r="C1104" s="7" t="s">
        <v>13</v>
      </c>
      <c r="D1104" s="7" t="str">
        <f>"钟琼君"</f>
        <v>钟琼君</v>
      </c>
      <c r="E1104" s="7" t="str">
        <f t="shared" si="50"/>
        <v>女</v>
      </c>
    </row>
    <row r="1105" spans="1:5" ht="30" customHeight="1">
      <c r="A1105" s="7">
        <v>1102</v>
      </c>
      <c r="B1105" s="7" t="str">
        <f>"38662022042411040936494"</f>
        <v>38662022042411040936494</v>
      </c>
      <c r="C1105" s="7" t="s">
        <v>13</v>
      </c>
      <c r="D1105" s="7" t="str">
        <f>"李秀花"</f>
        <v>李秀花</v>
      </c>
      <c r="E1105" s="7" t="str">
        <f t="shared" si="50"/>
        <v>女</v>
      </c>
    </row>
    <row r="1106" spans="1:5" ht="30" customHeight="1">
      <c r="A1106" s="7">
        <v>1103</v>
      </c>
      <c r="B1106" s="7" t="str">
        <f>"38662022042411082336502"</f>
        <v>38662022042411082336502</v>
      </c>
      <c r="C1106" s="7" t="s">
        <v>13</v>
      </c>
      <c r="D1106" s="7" t="str">
        <f>"姜楠"</f>
        <v>姜楠</v>
      </c>
      <c r="E1106" s="7" t="str">
        <f t="shared" si="50"/>
        <v>女</v>
      </c>
    </row>
    <row r="1107" spans="1:5" ht="30" customHeight="1">
      <c r="A1107" s="7">
        <v>1104</v>
      </c>
      <c r="B1107" s="7" t="str">
        <f>"38662022042411092036505"</f>
        <v>38662022042411092036505</v>
      </c>
      <c r="C1107" s="7" t="s">
        <v>13</v>
      </c>
      <c r="D1107" s="7" t="str">
        <f>"符新颖"</f>
        <v>符新颖</v>
      </c>
      <c r="E1107" s="7" t="str">
        <f t="shared" si="50"/>
        <v>女</v>
      </c>
    </row>
    <row r="1108" spans="1:5" ht="30" customHeight="1">
      <c r="A1108" s="7">
        <v>1105</v>
      </c>
      <c r="B1108" s="7" t="str">
        <f>"38662022042411133936512"</f>
        <v>38662022042411133936512</v>
      </c>
      <c r="C1108" s="7" t="s">
        <v>13</v>
      </c>
      <c r="D1108" s="7" t="str">
        <f>"叶卓辉"</f>
        <v>叶卓辉</v>
      </c>
      <c r="E1108" s="7" t="str">
        <f>"男"</f>
        <v>男</v>
      </c>
    </row>
    <row r="1109" spans="1:5" ht="30" customHeight="1">
      <c r="A1109" s="7">
        <v>1106</v>
      </c>
      <c r="B1109" s="7" t="str">
        <f>"38662022042411311636544"</f>
        <v>38662022042411311636544</v>
      </c>
      <c r="C1109" s="7" t="s">
        <v>13</v>
      </c>
      <c r="D1109" s="7" t="str">
        <f>"王佳俐"</f>
        <v>王佳俐</v>
      </c>
      <c r="E1109" s="7" t="str">
        <f aca="true" t="shared" si="51" ref="E1109:E1123">"女"</f>
        <v>女</v>
      </c>
    </row>
    <row r="1110" spans="1:5" ht="30" customHeight="1">
      <c r="A1110" s="7">
        <v>1107</v>
      </c>
      <c r="B1110" s="7" t="str">
        <f>"38662022042411350836548"</f>
        <v>38662022042411350836548</v>
      </c>
      <c r="C1110" s="7" t="s">
        <v>13</v>
      </c>
      <c r="D1110" s="7" t="str">
        <f>"王红棉"</f>
        <v>王红棉</v>
      </c>
      <c r="E1110" s="7" t="str">
        <f t="shared" si="51"/>
        <v>女</v>
      </c>
    </row>
    <row r="1111" spans="1:5" ht="30" customHeight="1">
      <c r="A1111" s="7">
        <v>1108</v>
      </c>
      <c r="B1111" s="7" t="str">
        <f>"38662022042411413936570"</f>
        <v>38662022042411413936570</v>
      </c>
      <c r="C1111" s="7" t="s">
        <v>13</v>
      </c>
      <c r="D1111" s="7" t="str">
        <f>"吴菊妍"</f>
        <v>吴菊妍</v>
      </c>
      <c r="E1111" s="7" t="str">
        <f t="shared" si="51"/>
        <v>女</v>
      </c>
    </row>
    <row r="1112" spans="1:5" ht="30" customHeight="1">
      <c r="A1112" s="7">
        <v>1109</v>
      </c>
      <c r="B1112" s="7" t="str">
        <f>"38662022042411545636591"</f>
        <v>38662022042411545636591</v>
      </c>
      <c r="C1112" s="7" t="s">
        <v>13</v>
      </c>
      <c r="D1112" s="7" t="str">
        <f>"杜晓莹"</f>
        <v>杜晓莹</v>
      </c>
      <c r="E1112" s="7" t="str">
        <f t="shared" si="51"/>
        <v>女</v>
      </c>
    </row>
    <row r="1113" spans="1:5" ht="30" customHeight="1">
      <c r="A1113" s="7">
        <v>1110</v>
      </c>
      <c r="B1113" s="7" t="str">
        <f>"38662022042411564436594"</f>
        <v>38662022042411564436594</v>
      </c>
      <c r="C1113" s="7" t="s">
        <v>13</v>
      </c>
      <c r="D1113" s="7" t="str">
        <f>"符岚紫"</f>
        <v>符岚紫</v>
      </c>
      <c r="E1113" s="7" t="str">
        <f t="shared" si="51"/>
        <v>女</v>
      </c>
    </row>
    <row r="1114" spans="1:5" ht="30" customHeight="1">
      <c r="A1114" s="7">
        <v>1111</v>
      </c>
      <c r="B1114" s="7" t="str">
        <f>"38662022042412014136599"</f>
        <v>38662022042412014136599</v>
      </c>
      <c r="C1114" s="7" t="s">
        <v>13</v>
      </c>
      <c r="D1114" s="7" t="str">
        <f>"王晓佳"</f>
        <v>王晓佳</v>
      </c>
      <c r="E1114" s="7" t="str">
        <f t="shared" si="51"/>
        <v>女</v>
      </c>
    </row>
    <row r="1115" spans="1:5" ht="30" customHeight="1">
      <c r="A1115" s="7">
        <v>1112</v>
      </c>
      <c r="B1115" s="7" t="str">
        <f>"38662022042412162736618"</f>
        <v>38662022042412162736618</v>
      </c>
      <c r="C1115" s="7" t="s">
        <v>13</v>
      </c>
      <c r="D1115" s="7" t="str">
        <f>"何萃婷"</f>
        <v>何萃婷</v>
      </c>
      <c r="E1115" s="7" t="str">
        <f t="shared" si="51"/>
        <v>女</v>
      </c>
    </row>
    <row r="1116" spans="1:5" ht="30" customHeight="1">
      <c r="A1116" s="7">
        <v>1113</v>
      </c>
      <c r="B1116" s="7" t="str">
        <f>"38662022042412305236637"</f>
        <v>38662022042412305236637</v>
      </c>
      <c r="C1116" s="7" t="s">
        <v>13</v>
      </c>
      <c r="D1116" s="7" t="str">
        <f>"杨芬"</f>
        <v>杨芬</v>
      </c>
      <c r="E1116" s="7" t="str">
        <f t="shared" si="51"/>
        <v>女</v>
      </c>
    </row>
    <row r="1117" spans="1:5" ht="30" customHeight="1">
      <c r="A1117" s="7">
        <v>1114</v>
      </c>
      <c r="B1117" s="7" t="str">
        <f>"38662022042412321536640"</f>
        <v>38662022042412321536640</v>
      </c>
      <c r="C1117" s="7" t="s">
        <v>13</v>
      </c>
      <c r="D1117" s="7" t="str">
        <f>"符慧敏"</f>
        <v>符慧敏</v>
      </c>
      <c r="E1117" s="7" t="str">
        <f t="shared" si="51"/>
        <v>女</v>
      </c>
    </row>
    <row r="1118" spans="1:5" ht="30" customHeight="1">
      <c r="A1118" s="7">
        <v>1115</v>
      </c>
      <c r="B1118" s="7" t="str">
        <f>"38662022042412330836645"</f>
        <v>38662022042412330836645</v>
      </c>
      <c r="C1118" s="7" t="s">
        <v>13</v>
      </c>
      <c r="D1118" s="7" t="str">
        <f>"余荣琴"</f>
        <v>余荣琴</v>
      </c>
      <c r="E1118" s="7" t="str">
        <f t="shared" si="51"/>
        <v>女</v>
      </c>
    </row>
    <row r="1119" spans="1:5" ht="30" customHeight="1">
      <c r="A1119" s="7">
        <v>1116</v>
      </c>
      <c r="B1119" s="7" t="str">
        <f>"38662022042412400636656"</f>
        <v>38662022042412400636656</v>
      </c>
      <c r="C1119" s="7" t="s">
        <v>13</v>
      </c>
      <c r="D1119" s="7" t="str">
        <f>"杨梦欣"</f>
        <v>杨梦欣</v>
      </c>
      <c r="E1119" s="7" t="str">
        <f t="shared" si="51"/>
        <v>女</v>
      </c>
    </row>
    <row r="1120" spans="1:5" ht="30" customHeight="1">
      <c r="A1120" s="7">
        <v>1117</v>
      </c>
      <c r="B1120" s="7" t="str">
        <f>"38662022042412501036679"</f>
        <v>38662022042412501036679</v>
      </c>
      <c r="C1120" s="7" t="s">
        <v>13</v>
      </c>
      <c r="D1120" s="7" t="str">
        <f>"邢妮挪"</f>
        <v>邢妮挪</v>
      </c>
      <c r="E1120" s="7" t="str">
        <f t="shared" si="51"/>
        <v>女</v>
      </c>
    </row>
    <row r="1121" spans="1:5" ht="30" customHeight="1">
      <c r="A1121" s="7">
        <v>1118</v>
      </c>
      <c r="B1121" s="7" t="str">
        <f>"38662022042412570836699"</f>
        <v>38662022042412570836699</v>
      </c>
      <c r="C1121" s="7" t="s">
        <v>13</v>
      </c>
      <c r="D1121" s="7" t="str">
        <f>"吴可姣"</f>
        <v>吴可姣</v>
      </c>
      <c r="E1121" s="7" t="str">
        <f t="shared" si="51"/>
        <v>女</v>
      </c>
    </row>
    <row r="1122" spans="1:5" ht="30" customHeight="1">
      <c r="A1122" s="7">
        <v>1119</v>
      </c>
      <c r="B1122" s="7" t="str">
        <f>"38662022042413005136705"</f>
        <v>38662022042413005136705</v>
      </c>
      <c r="C1122" s="7" t="s">
        <v>13</v>
      </c>
      <c r="D1122" s="7" t="str">
        <f>"许玉婷"</f>
        <v>许玉婷</v>
      </c>
      <c r="E1122" s="7" t="str">
        <f t="shared" si="51"/>
        <v>女</v>
      </c>
    </row>
    <row r="1123" spans="1:5" ht="30" customHeight="1">
      <c r="A1123" s="7">
        <v>1120</v>
      </c>
      <c r="B1123" s="7" t="str">
        <f>"38662022042413302736747"</f>
        <v>38662022042413302736747</v>
      </c>
      <c r="C1123" s="7" t="s">
        <v>13</v>
      </c>
      <c r="D1123" s="7" t="str">
        <f>"林欣"</f>
        <v>林欣</v>
      </c>
      <c r="E1123" s="7" t="str">
        <f t="shared" si="51"/>
        <v>女</v>
      </c>
    </row>
    <row r="1124" spans="1:5" ht="30" customHeight="1">
      <c r="A1124" s="7">
        <v>1121</v>
      </c>
      <c r="B1124" s="7" t="str">
        <f>"38662022042413330636749"</f>
        <v>38662022042413330636749</v>
      </c>
      <c r="C1124" s="7" t="s">
        <v>13</v>
      </c>
      <c r="D1124" s="7" t="str">
        <f>"张鑫"</f>
        <v>张鑫</v>
      </c>
      <c r="E1124" s="7" t="str">
        <f>"男"</f>
        <v>男</v>
      </c>
    </row>
    <row r="1125" spans="1:5" ht="30" customHeight="1">
      <c r="A1125" s="7">
        <v>1122</v>
      </c>
      <c r="B1125" s="7" t="str">
        <f>"38662022042413394336756"</f>
        <v>38662022042413394336756</v>
      </c>
      <c r="C1125" s="7" t="s">
        <v>13</v>
      </c>
      <c r="D1125" s="7" t="str">
        <f>"黄丽芳"</f>
        <v>黄丽芳</v>
      </c>
      <c r="E1125" s="7" t="str">
        <f aca="true" t="shared" si="52" ref="E1125:E1143">"女"</f>
        <v>女</v>
      </c>
    </row>
    <row r="1126" spans="1:5" ht="30" customHeight="1">
      <c r="A1126" s="7">
        <v>1123</v>
      </c>
      <c r="B1126" s="7" t="str">
        <f>"38662022042414295336801"</f>
        <v>38662022042414295336801</v>
      </c>
      <c r="C1126" s="7" t="s">
        <v>13</v>
      </c>
      <c r="D1126" s="7" t="str">
        <f>"文婷"</f>
        <v>文婷</v>
      </c>
      <c r="E1126" s="7" t="str">
        <f t="shared" si="52"/>
        <v>女</v>
      </c>
    </row>
    <row r="1127" spans="1:5" ht="30" customHeight="1">
      <c r="A1127" s="7">
        <v>1124</v>
      </c>
      <c r="B1127" s="7" t="str">
        <f>"38662022042414312036802"</f>
        <v>38662022042414312036802</v>
      </c>
      <c r="C1127" s="7" t="s">
        <v>13</v>
      </c>
      <c r="D1127" s="7" t="str">
        <f>"麦可茹"</f>
        <v>麦可茹</v>
      </c>
      <c r="E1127" s="7" t="str">
        <f t="shared" si="52"/>
        <v>女</v>
      </c>
    </row>
    <row r="1128" spans="1:5" ht="30" customHeight="1">
      <c r="A1128" s="7">
        <v>1125</v>
      </c>
      <c r="B1128" s="7" t="str">
        <f>"38662022042414371836812"</f>
        <v>38662022042414371836812</v>
      </c>
      <c r="C1128" s="7" t="s">
        <v>13</v>
      </c>
      <c r="D1128" s="7" t="str">
        <f>"王翠炳"</f>
        <v>王翠炳</v>
      </c>
      <c r="E1128" s="7" t="str">
        <f t="shared" si="52"/>
        <v>女</v>
      </c>
    </row>
    <row r="1129" spans="1:5" ht="30" customHeight="1">
      <c r="A1129" s="7">
        <v>1126</v>
      </c>
      <c r="B1129" s="7" t="str">
        <f>"38662022042414523136840"</f>
        <v>38662022042414523136840</v>
      </c>
      <c r="C1129" s="7" t="s">
        <v>13</v>
      </c>
      <c r="D1129" s="7" t="str">
        <f>"洪桂婷"</f>
        <v>洪桂婷</v>
      </c>
      <c r="E1129" s="7" t="str">
        <f t="shared" si="52"/>
        <v>女</v>
      </c>
    </row>
    <row r="1130" spans="1:5" ht="30" customHeight="1">
      <c r="A1130" s="7">
        <v>1127</v>
      </c>
      <c r="B1130" s="7" t="str">
        <f>"38662022042415062836866"</f>
        <v>38662022042415062836866</v>
      </c>
      <c r="C1130" s="7" t="s">
        <v>13</v>
      </c>
      <c r="D1130" s="7" t="str">
        <f>"王敏"</f>
        <v>王敏</v>
      </c>
      <c r="E1130" s="7" t="str">
        <f t="shared" si="52"/>
        <v>女</v>
      </c>
    </row>
    <row r="1131" spans="1:5" ht="30" customHeight="1">
      <c r="A1131" s="7">
        <v>1128</v>
      </c>
      <c r="B1131" s="7" t="str">
        <f>"38662022042415101236874"</f>
        <v>38662022042415101236874</v>
      </c>
      <c r="C1131" s="7" t="s">
        <v>13</v>
      </c>
      <c r="D1131" s="7" t="str">
        <f>"陈芳慧"</f>
        <v>陈芳慧</v>
      </c>
      <c r="E1131" s="7" t="str">
        <f t="shared" si="52"/>
        <v>女</v>
      </c>
    </row>
    <row r="1132" spans="1:5" ht="30" customHeight="1">
      <c r="A1132" s="7">
        <v>1129</v>
      </c>
      <c r="B1132" s="7" t="str">
        <f>"38662022042415102936875"</f>
        <v>38662022042415102936875</v>
      </c>
      <c r="C1132" s="7" t="s">
        <v>13</v>
      </c>
      <c r="D1132" s="7" t="str">
        <f>"刘慧婧"</f>
        <v>刘慧婧</v>
      </c>
      <c r="E1132" s="7" t="str">
        <f t="shared" si="52"/>
        <v>女</v>
      </c>
    </row>
    <row r="1133" spans="1:5" ht="30" customHeight="1">
      <c r="A1133" s="7">
        <v>1130</v>
      </c>
      <c r="B1133" s="7" t="str">
        <f>"38662022042415211636898"</f>
        <v>38662022042415211636898</v>
      </c>
      <c r="C1133" s="7" t="s">
        <v>13</v>
      </c>
      <c r="D1133" s="7" t="str">
        <f>"范雅惠"</f>
        <v>范雅惠</v>
      </c>
      <c r="E1133" s="7" t="str">
        <f t="shared" si="52"/>
        <v>女</v>
      </c>
    </row>
    <row r="1134" spans="1:5" ht="30" customHeight="1">
      <c r="A1134" s="7">
        <v>1131</v>
      </c>
      <c r="B1134" s="7" t="str">
        <f>"38662022042415242436903"</f>
        <v>38662022042415242436903</v>
      </c>
      <c r="C1134" s="7" t="s">
        <v>13</v>
      </c>
      <c r="D1134" s="7" t="str">
        <f>"刘发因"</f>
        <v>刘发因</v>
      </c>
      <c r="E1134" s="7" t="str">
        <f t="shared" si="52"/>
        <v>女</v>
      </c>
    </row>
    <row r="1135" spans="1:5" ht="30" customHeight="1">
      <c r="A1135" s="7">
        <v>1132</v>
      </c>
      <c r="B1135" s="7" t="str">
        <f>"38662022042415322336922"</f>
        <v>38662022042415322336922</v>
      </c>
      <c r="C1135" s="7" t="s">
        <v>13</v>
      </c>
      <c r="D1135" s="7" t="str">
        <f>"肖佳佳"</f>
        <v>肖佳佳</v>
      </c>
      <c r="E1135" s="7" t="str">
        <f t="shared" si="52"/>
        <v>女</v>
      </c>
    </row>
    <row r="1136" spans="1:5" ht="30" customHeight="1">
      <c r="A1136" s="7">
        <v>1133</v>
      </c>
      <c r="B1136" s="7" t="str">
        <f>"38662022042415523136980"</f>
        <v>38662022042415523136980</v>
      </c>
      <c r="C1136" s="7" t="s">
        <v>13</v>
      </c>
      <c r="D1136" s="7" t="str">
        <f>"符荣荣"</f>
        <v>符荣荣</v>
      </c>
      <c r="E1136" s="7" t="str">
        <f t="shared" si="52"/>
        <v>女</v>
      </c>
    </row>
    <row r="1137" spans="1:5" ht="30" customHeight="1">
      <c r="A1137" s="7">
        <v>1134</v>
      </c>
      <c r="B1137" s="7" t="str">
        <f>"38662022042415593536998"</f>
        <v>38662022042415593536998</v>
      </c>
      <c r="C1137" s="7" t="s">
        <v>13</v>
      </c>
      <c r="D1137" s="7" t="str">
        <f>"殷芳"</f>
        <v>殷芳</v>
      </c>
      <c r="E1137" s="7" t="str">
        <f t="shared" si="52"/>
        <v>女</v>
      </c>
    </row>
    <row r="1138" spans="1:5" ht="30" customHeight="1">
      <c r="A1138" s="7">
        <v>1135</v>
      </c>
      <c r="B1138" s="7" t="str">
        <f>"38662022042416093637014"</f>
        <v>38662022042416093637014</v>
      </c>
      <c r="C1138" s="7" t="s">
        <v>13</v>
      </c>
      <c r="D1138" s="7" t="str">
        <f>"陈雅"</f>
        <v>陈雅</v>
      </c>
      <c r="E1138" s="7" t="str">
        <f t="shared" si="52"/>
        <v>女</v>
      </c>
    </row>
    <row r="1139" spans="1:5" ht="30" customHeight="1">
      <c r="A1139" s="7">
        <v>1136</v>
      </c>
      <c r="B1139" s="7" t="str">
        <f>"38662022042416261937047"</f>
        <v>38662022042416261937047</v>
      </c>
      <c r="C1139" s="7" t="s">
        <v>13</v>
      </c>
      <c r="D1139" s="7" t="str">
        <f>"陈辉苗"</f>
        <v>陈辉苗</v>
      </c>
      <c r="E1139" s="7" t="str">
        <f t="shared" si="52"/>
        <v>女</v>
      </c>
    </row>
    <row r="1140" spans="1:5" ht="30" customHeight="1">
      <c r="A1140" s="7">
        <v>1137</v>
      </c>
      <c r="B1140" s="7" t="str">
        <f>"38662022042416302937061"</f>
        <v>38662022042416302937061</v>
      </c>
      <c r="C1140" s="7" t="s">
        <v>13</v>
      </c>
      <c r="D1140" s="7" t="str">
        <f>"魏琪"</f>
        <v>魏琪</v>
      </c>
      <c r="E1140" s="7" t="str">
        <f t="shared" si="52"/>
        <v>女</v>
      </c>
    </row>
    <row r="1141" spans="1:5" ht="30" customHeight="1">
      <c r="A1141" s="7">
        <v>1138</v>
      </c>
      <c r="B1141" s="7" t="str">
        <f>"38662022042416393637085"</f>
        <v>38662022042416393637085</v>
      </c>
      <c r="C1141" s="7" t="s">
        <v>13</v>
      </c>
      <c r="D1141" s="7" t="str">
        <f>"林珍"</f>
        <v>林珍</v>
      </c>
      <c r="E1141" s="7" t="str">
        <f t="shared" si="52"/>
        <v>女</v>
      </c>
    </row>
    <row r="1142" spans="1:5" ht="30" customHeight="1">
      <c r="A1142" s="7">
        <v>1139</v>
      </c>
      <c r="B1142" s="7" t="str">
        <f>"38662022042416480737109"</f>
        <v>38662022042416480737109</v>
      </c>
      <c r="C1142" s="7" t="s">
        <v>13</v>
      </c>
      <c r="D1142" s="7" t="str">
        <f>"王芳婷"</f>
        <v>王芳婷</v>
      </c>
      <c r="E1142" s="7" t="str">
        <f t="shared" si="52"/>
        <v>女</v>
      </c>
    </row>
    <row r="1143" spans="1:5" ht="30" customHeight="1">
      <c r="A1143" s="7">
        <v>1140</v>
      </c>
      <c r="B1143" s="7" t="str">
        <f>"38662022042416495437112"</f>
        <v>38662022042416495437112</v>
      </c>
      <c r="C1143" s="7" t="s">
        <v>13</v>
      </c>
      <c r="D1143" s="7" t="str">
        <f>"王文娜"</f>
        <v>王文娜</v>
      </c>
      <c r="E1143" s="7" t="str">
        <f t="shared" si="52"/>
        <v>女</v>
      </c>
    </row>
    <row r="1144" spans="1:5" ht="30" customHeight="1">
      <c r="A1144" s="7">
        <v>1141</v>
      </c>
      <c r="B1144" s="7" t="str">
        <f>"38662022042416524137118"</f>
        <v>38662022042416524137118</v>
      </c>
      <c r="C1144" s="7" t="s">
        <v>13</v>
      </c>
      <c r="D1144" s="7" t="str">
        <f>"陈彦先"</f>
        <v>陈彦先</v>
      </c>
      <c r="E1144" s="7" t="str">
        <f>"男"</f>
        <v>男</v>
      </c>
    </row>
    <row r="1145" spans="1:5" ht="30" customHeight="1">
      <c r="A1145" s="7">
        <v>1142</v>
      </c>
      <c r="B1145" s="7" t="str">
        <f>"38662022042416550637122"</f>
        <v>38662022042416550637122</v>
      </c>
      <c r="C1145" s="7" t="s">
        <v>13</v>
      </c>
      <c r="D1145" s="7" t="str">
        <f>"文莉"</f>
        <v>文莉</v>
      </c>
      <c r="E1145" s="7" t="str">
        <f aca="true" t="shared" si="53" ref="E1145:E1183">"女"</f>
        <v>女</v>
      </c>
    </row>
    <row r="1146" spans="1:5" ht="30" customHeight="1">
      <c r="A1146" s="7">
        <v>1143</v>
      </c>
      <c r="B1146" s="7" t="str">
        <f>"38662022042417190837167"</f>
        <v>38662022042417190837167</v>
      </c>
      <c r="C1146" s="7" t="s">
        <v>13</v>
      </c>
      <c r="D1146" s="7" t="str">
        <f>"郑一梅"</f>
        <v>郑一梅</v>
      </c>
      <c r="E1146" s="7" t="str">
        <f t="shared" si="53"/>
        <v>女</v>
      </c>
    </row>
    <row r="1147" spans="1:5" ht="30" customHeight="1">
      <c r="A1147" s="7">
        <v>1144</v>
      </c>
      <c r="B1147" s="7" t="str">
        <f>"38662022042417232337176"</f>
        <v>38662022042417232337176</v>
      </c>
      <c r="C1147" s="7" t="s">
        <v>13</v>
      </c>
      <c r="D1147" s="7" t="str">
        <f>"李优玉"</f>
        <v>李优玉</v>
      </c>
      <c r="E1147" s="7" t="str">
        <f t="shared" si="53"/>
        <v>女</v>
      </c>
    </row>
    <row r="1148" spans="1:5" ht="30" customHeight="1">
      <c r="A1148" s="7">
        <v>1145</v>
      </c>
      <c r="B1148" s="7" t="str">
        <f>"38662022042417454037201"</f>
        <v>38662022042417454037201</v>
      </c>
      <c r="C1148" s="7" t="s">
        <v>13</v>
      </c>
      <c r="D1148" s="7" t="str">
        <f>"钟冰"</f>
        <v>钟冰</v>
      </c>
      <c r="E1148" s="7" t="str">
        <f t="shared" si="53"/>
        <v>女</v>
      </c>
    </row>
    <row r="1149" spans="1:5" ht="30" customHeight="1">
      <c r="A1149" s="7">
        <v>1146</v>
      </c>
      <c r="B1149" s="7" t="str">
        <f>"38662022042418291637273"</f>
        <v>38662022042418291637273</v>
      </c>
      <c r="C1149" s="7" t="s">
        <v>13</v>
      </c>
      <c r="D1149" s="7" t="str">
        <f>"曹巧佩"</f>
        <v>曹巧佩</v>
      </c>
      <c r="E1149" s="7" t="str">
        <f t="shared" si="53"/>
        <v>女</v>
      </c>
    </row>
    <row r="1150" spans="1:5" ht="30" customHeight="1">
      <c r="A1150" s="7">
        <v>1147</v>
      </c>
      <c r="B1150" s="7" t="str">
        <f>"38662022042418380137287"</f>
        <v>38662022042418380137287</v>
      </c>
      <c r="C1150" s="7" t="s">
        <v>13</v>
      </c>
      <c r="D1150" s="7" t="str">
        <f>"梁春汝"</f>
        <v>梁春汝</v>
      </c>
      <c r="E1150" s="7" t="str">
        <f t="shared" si="53"/>
        <v>女</v>
      </c>
    </row>
    <row r="1151" spans="1:5" ht="30" customHeight="1">
      <c r="A1151" s="7">
        <v>1148</v>
      </c>
      <c r="B1151" s="7" t="str">
        <f>"38662022042418521437311"</f>
        <v>38662022042418521437311</v>
      </c>
      <c r="C1151" s="7" t="s">
        <v>13</v>
      </c>
      <c r="D1151" s="7" t="str">
        <f>"林丽霞"</f>
        <v>林丽霞</v>
      </c>
      <c r="E1151" s="7" t="str">
        <f t="shared" si="53"/>
        <v>女</v>
      </c>
    </row>
    <row r="1152" spans="1:5" ht="30" customHeight="1">
      <c r="A1152" s="7">
        <v>1149</v>
      </c>
      <c r="B1152" s="7" t="str">
        <f>"38662022042419024237323"</f>
        <v>38662022042419024237323</v>
      </c>
      <c r="C1152" s="7" t="s">
        <v>13</v>
      </c>
      <c r="D1152" s="7" t="str">
        <f>"罗思婷"</f>
        <v>罗思婷</v>
      </c>
      <c r="E1152" s="7" t="str">
        <f t="shared" si="53"/>
        <v>女</v>
      </c>
    </row>
    <row r="1153" spans="1:5" ht="30" customHeight="1">
      <c r="A1153" s="7">
        <v>1150</v>
      </c>
      <c r="B1153" s="7" t="str">
        <f>"38662022042419134937339"</f>
        <v>38662022042419134937339</v>
      </c>
      <c r="C1153" s="7" t="s">
        <v>13</v>
      </c>
      <c r="D1153" s="7" t="str">
        <f>"霍安妮"</f>
        <v>霍安妮</v>
      </c>
      <c r="E1153" s="7" t="str">
        <f t="shared" si="53"/>
        <v>女</v>
      </c>
    </row>
    <row r="1154" spans="1:5" ht="30" customHeight="1">
      <c r="A1154" s="7">
        <v>1151</v>
      </c>
      <c r="B1154" s="7" t="str">
        <f>"38662022042419270037352"</f>
        <v>38662022042419270037352</v>
      </c>
      <c r="C1154" s="7" t="s">
        <v>13</v>
      </c>
      <c r="D1154" s="7" t="str">
        <f>"林慧芳"</f>
        <v>林慧芳</v>
      </c>
      <c r="E1154" s="7" t="str">
        <f t="shared" si="53"/>
        <v>女</v>
      </c>
    </row>
    <row r="1155" spans="1:5" ht="30" customHeight="1">
      <c r="A1155" s="7">
        <v>1152</v>
      </c>
      <c r="B1155" s="7" t="str">
        <f>"38662022042419293737357"</f>
        <v>38662022042419293737357</v>
      </c>
      <c r="C1155" s="7" t="s">
        <v>13</v>
      </c>
      <c r="D1155" s="7" t="str">
        <f>"王焕月"</f>
        <v>王焕月</v>
      </c>
      <c r="E1155" s="7" t="str">
        <f t="shared" si="53"/>
        <v>女</v>
      </c>
    </row>
    <row r="1156" spans="1:5" ht="30" customHeight="1">
      <c r="A1156" s="7">
        <v>1153</v>
      </c>
      <c r="B1156" s="7" t="str">
        <f>"38662022042419434737371"</f>
        <v>38662022042419434737371</v>
      </c>
      <c r="C1156" s="7" t="s">
        <v>13</v>
      </c>
      <c r="D1156" s="7" t="str">
        <f>"符婧"</f>
        <v>符婧</v>
      </c>
      <c r="E1156" s="7" t="str">
        <f t="shared" si="53"/>
        <v>女</v>
      </c>
    </row>
    <row r="1157" spans="1:5" ht="30" customHeight="1">
      <c r="A1157" s="7">
        <v>1154</v>
      </c>
      <c r="B1157" s="7" t="str">
        <f>"38662022042419481937379"</f>
        <v>38662022042419481937379</v>
      </c>
      <c r="C1157" s="7" t="s">
        <v>13</v>
      </c>
      <c r="D1157" s="7" t="str">
        <f>"马倩雯"</f>
        <v>马倩雯</v>
      </c>
      <c r="E1157" s="7" t="str">
        <f t="shared" si="53"/>
        <v>女</v>
      </c>
    </row>
    <row r="1158" spans="1:5" ht="30" customHeight="1">
      <c r="A1158" s="7">
        <v>1155</v>
      </c>
      <c r="B1158" s="7" t="str">
        <f>"38662022042419532837384"</f>
        <v>38662022042419532837384</v>
      </c>
      <c r="C1158" s="7" t="s">
        <v>13</v>
      </c>
      <c r="D1158" s="7" t="str">
        <f>"叶木青"</f>
        <v>叶木青</v>
      </c>
      <c r="E1158" s="7" t="str">
        <f t="shared" si="53"/>
        <v>女</v>
      </c>
    </row>
    <row r="1159" spans="1:5" ht="30" customHeight="1">
      <c r="A1159" s="7">
        <v>1156</v>
      </c>
      <c r="B1159" s="7" t="str">
        <f>"38662022042419563337391"</f>
        <v>38662022042419563337391</v>
      </c>
      <c r="C1159" s="7" t="s">
        <v>13</v>
      </c>
      <c r="D1159" s="7" t="str">
        <f>"林启艳"</f>
        <v>林启艳</v>
      </c>
      <c r="E1159" s="7" t="str">
        <f t="shared" si="53"/>
        <v>女</v>
      </c>
    </row>
    <row r="1160" spans="1:5" ht="30" customHeight="1">
      <c r="A1160" s="7">
        <v>1157</v>
      </c>
      <c r="B1160" s="7" t="str">
        <f>"38662022042420211337433"</f>
        <v>38662022042420211337433</v>
      </c>
      <c r="C1160" s="7" t="s">
        <v>13</v>
      </c>
      <c r="D1160" s="7" t="str">
        <f>"李丽霞"</f>
        <v>李丽霞</v>
      </c>
      <c r="E1160" s="7" t="str">
        <f t="shared" si="53"/>
        <v>女</v>
      </c>
    </row>
    <row r="1161" spans="1:5" ht="30" customHeight="1">
      <c r="A1161" s="7">
        <v>1158</v>
      </c>
      <c r="B1161" s="7" t="str">
        <f>"38662022042420290937444"</f>
        <v>38662022042420290937444</v>
      </c>
      <c r="C1161" s="7" t="s">
        <v>13</v>
      </c>
      <c r="D1161" s="7" t="str">
        <f>"文新芬"</f>
        <v>文新芬</v>
      </c>
      <c r="E1161" s="7" t="str">
        <f t="shared" si="53"/>
        <v>女</v>
      </c>
    </row>
    <row r="1162" spans="1:5" ht="30" customHeight="1">
      <c r="A1162" s="7">
        <v>1159</v>
      </c>
      <c r="B1162" s="7" t="str">
        <f>"38662022042420302437446"</f>
        <v>38662022042420302437446</v>
      </c>
      <c r="C1162" s="7" t="s">
        <v>13</v>
      </c>
      <c r="D1162" s="7" t="str">
        <f>"袁娜"</f>
        <v>袁娜</v>
      </c>
      <c r="E1162" s="7" t="str">
        <f t="shared" si="53"/>
        <v>女</v>
      </c>
    </row>
    <row r="1163" spans="1:5" ht="30" customHeight="1">
      <c r="A1163" s="7">
        <v>1160</v>
      </c>
      <c r="B1163" s="7" t="str">
        <f>"38662022042420472637479"</f>
        <v>38662022042420472637479</v>
      </c>
      <c r="C1163" s="7" t="s">
        <v>13</v>
      </c>
      <c r="D1163" s="7" t="str">
        <f>"江夏茹"</f>
        <v>江夏茹</v>
      </c>
      <c r="E1163" s="7" t="str">
        <f t="shared" si="53"/>
        <v>女</v>
      </c>
    </row>
    <row r="1164" spans="1:5" ht="30" customHeight="1">
      <c r="A1164" s="7">
        <v>1161</v>
      </c>
      <c r="B1164" s="7" t="str">
        <f>"38662022042420530337487"</f>
        <v>38662022042420530337487</v>
      </c>
      <c r="C1164" s="7" t="s">
        <v>13</v>
      </c>
      <c r="D1164" s="7" t="str">
        <f>"杜春慢"</f>
        <v>杜春慢</v>
      </c>
      <c r="E1164" s="7" t="str">
        <f t="shared" si="53"/>
        <v>女</v>
      </c>
    </row>
    <row r="1165" spans="1:5" ht="30" customHeight="1">
      <c r="A1165" s="7">
        <v>1162</v>
      </c>
      <c r="B1165" s="7" t="str">
        <f>"38662022042420565637497"</f>
        <v>38662022042420565637497</v>
      </c>
      <c r="C1165" s="7" t="s">
        <v>13</v>
      </c>
      <c r="D1165" s="7" t="str">
        <f>"陈重元"</f>
        <v>陈重元</v>
      </c>
      <c r="E1165" s="7" t="str">
        <f t="shared" si="53"/>
        <v>女</v>
      </c>
    </row>
    <row r="1166" spans="1:5" ht="30" customHeight="1">
      <c r="A1166" s="7">
        <v>1163</v>
      </c>
      <c r="B1166" s="7" t="str">
        <f>"38662022042421095737521"</f>
        <v>38662022042421095737521</v>
      </c>
      <c r="C1166" s="7" t="s">
        <v>13</v>
      </c>
      <c r="D1166" s="7" t="str">
        <f>"唐雨"</f>
        <v>唐雨</v>
      </c>
      <c r="E1166" s="7" t="str">
        <f t="shared" si="53"/>
        <v>女</v>
      </c>
    </row>
    <row r="1167" spans="1:5" ht="30" customHeight="1">
      <c r="A1167" s="7">
        <v>1164</v>
      </c>
      <c r="B1167" s="7" t="str">
        <f>"38662022042421142737532"</f>
        <v>38662022042421142737532</v>
      </c>
      <c r="C1167" s="7" t="s">
        <v>13</v>
      </c>
      <c r="D1167" s="7" t="str">
        <f>"邢雅乔"</f>
        <v>邢雅乔</v>
      </c>
      <c r="E1167" s="7" t="str">
        <f t="shared" si="53"/>
        <v>女</v>
      </c>
    </row>
    <row r="1168" spans="1:5" ht="30" customHeight="1">
      <c r="A1168" s="7">
        <v>1165</v>
      </c>
      <c r="B1168" s="7" t="str">
        <f>"38662022042421203337540"</f>
        <v>38662022042421203337540</v>
      </c>
      <c r="C1168" s="7" t="s">
        <v>13</v>
      </c>
      <c r="D1168" s="7" t="str">
        <f>"韩艳虹"</f>
        <v>韩艳虹</v>
      </c>
      <c r="E1168" s="7" t="str">
        <f t="shared" si="53"/>
        <v>女</v>
      </c>
    </row>
    <row r="1169" spans="1:5" ht="30" customHeight="1">
      <c r="A1169" s="7">
        <v>1166</v>
      </c>
      <c r="B1169" s="7" t="str">
        <f>"38662022042421332037559"</f>
        <v>38662022042421332037559</v>
      </c>
      <c r="C1169" s="7" t="s">
        <v>13</v>
      </c>
      <c r="D1169" s="7" t="str">
        <f>"吴碧丹"</f>
        <v>吴碧丹</v>
      </c>
      <c r="E1169" s="7" t="str">
        <f t="shared" si="53"/>
        <v>女</v>
      </c>
    </row>
    <row r="1170" spans="1:5" ht="30" customHeight="1">
      <c r="A1170" s="7">
        <v>1167</v>
      </c>
      <c r="B1170" s="7" t="str">
        <f>"38662022042422044237602"</f>
        <v>38662022042422044237602</v>
      </c>
      <c r="C1170" s="7" t="s">
        <v>13</v>
      </c>
      <c r="D1170" s="7" t="str">
        <f>"陈婷婷"</f>
        <v>陈婷婷</v>
      </c>
      <c r="E1170" s="7" t="str">
        <f t="shared" si="53"/>
        <v>女</v>
      </c>
    </row>
    <row r="1171" spans="1:5" ht="30" customHeight="1">
      <c r="A1171" s="7">
        <v>1168</v>
      </c>
      <c r="B1171" s="7" t="str">
        <f>"38662022042422215937627"</f>
        <v>38662022042422215937627</v>
      </c>
      <c r="C1171" s="7" t="s">
        <v>13</v>
      </c>
      <c r="D1171" s="7" t="str">
        <f>"郑雪君"</f>
        <v>郑雪君</v>
      </c>
      <c r="E1171" s="7" t="str">
        <f t="shared" si="53"/>
        <v>女</v>
      </c>
    </row>
    <row r="1172" spans="1:5" ht="30" customHeight="1">
      <c r="A1172" s="7">
        <v>1169</v>
      </c>
      <c r="B1172" s="7" t="str">
        <f>"38662022042422330237645"</f>
        <v>38662022042422330237645</v>
      </c>
      <c r="C1172" s="7" t="s">
        <v>13</v>
      </c>
      <c r="D1172" s="7" t="str">
        <f>"蔡佩芬"</f>
        <v>蔡佩芬</v>
      </c>
      <c r="E1172" s="7" t="str">
        <f t="shared" si="53"/>
        <v>女</v>
      </c>
    </row>
    <row r="1173" spans="1:5" ht="30" customHeight="1">
      <c r="A1173" s="7">
        <v>1170</v>
      </c>
      <c r="B1173" s="7" t="str">
        <f>"38662022042422374037655"</f>
        <v>38662022042422374037655</v>
      </c>
      <c r="C1173" s="7" t="s">
        <v>13</v>
      </c>
      <c r="D1173" s="7" t="str">
        <f>"卓小倩"</f>
        <v>卓小倩</v>
      </c>
      <c r="E1173" s="7" t="str">
        <f t="shared" si="53"/>
        <v>女</v>
      </c>
    </row>
    <row r="1174" spans="1:5" ht="30" customHeight="1">
      <c r="A1174" s="7">
        <v>1171</v>
      </c>
      <c r="B1174" s="7" t="str">
        <f>"38662022042422442937668"</f>
        <v>38662022042422442937668</v>
      </c>
      <c r="C1174" s="7" t="s">
        <v>13</v>
      </c>
      <c r="D1174" s="7" t="str">
        <f>"林丽媛"</f>
        <v>林丽媛</v>
      </c>
      <c r="E1174" s="7" t="str">
        <f t="shared" si="53"/>
        <v>女</v>
      </c>
    </row>
    <row r="1175" spans="1:5" ht="30" customHeight="1">
      <c r="A1175" s="7">
        <v>1172</v>
      </c>
      <c r="B1175" s="7" t="str">
        <f>"38662022042422511337675"</f>
        <v>38662022042422511337675</v>
      </c>
      <c r="C1175" s="7" t="s">
        <v>13</v>
      </c>
      <c r="D1175" s="7" t="str">
        <f>"杨依妮"</f>
        <v>杨依妮</v>
      </c>
      <c r="E1175" s="7" t="str">
        <f t="shared" si="53"/>
        <v>女</v>
      </c>
    </row>
    <row r="1176" spans="1:5" ht="30" customHeight="1">
      <c r="A1176" s="7">
        <v>1173</v>
      </c>
      <c r="B1176" s="7" t="str">
        <f>"38662022042422520437681"</f>
        <v>38662022042422520437681</v>
      </c>
      <c r="C1176" s="7" t="s">
        <v>13</v>
      </c>
      <c r="D1176" s="7" t="str">
        <f>"张曼"</f>
        <v>张曼</v>
      </c>
      <c r="E1176" s="7" t="str">
        <f t="shared" si="53"/>
        <v>女</v>
      </c>
    </row>
    <row r="1177" spans="1:5" ht="30" customHeight="1">
      <c r="A1177" s="7">
        <v>1174</v>
      </c>
      <c r="B1177" s="7" t="str">
        <f>"38662022042422581737690"</f>
        <v>38662022042422581737690</v>
      </c>
      <c r="C1177" s="7" t="s">
        <v>13</v>
      </c>
      <c r="D1177" s="7" t="str">
        <f>"吴漫婷"</f>
        <v>吴漫婷</v>
      </c>
      <c r="E1177" s="7" t="str">
        <f t="shared" si="53"/>
        <v>女</v>
      </c>
    </row>
    <row r="1178" spans="1:5" ht="30" customHeight="1">
      <c r="A1178" s="7">
        <v>1175</v>
      </c>
      <c r="B1178" s="7" t="str">
        <f>"38662022042422594637695"</f>
        <v>38662022042422594637695</v>
      </c>
      <c r="C1178" s="7" t="s">
        <v>13</v>
      </c>
      <c r="D1178" s="7" t="str">
        <f>"陈明媚"</f>
        <v>陈明媚</v>
      </c>
      <c r="E1178" s="7" t="str">
        <f t="shared" si="53"/>
        <v>女</v>
      </c>
    </row>
    <row r="1179" spans="1:5" ht="30" customHeight="1">
      <c r="A1179" s="7">
        <v>1176</v>
      </c>
      <c r="B1179" s="7" t="str">
        <f>"38662022042423060437702"</f>
        <v>38662022042423060437702</v>
      </c>
      <c r="C1179" s="7" t="s">
        <v>13</v>
      </c>
      <c r="D1179" s="7" t="str">
        <f>"左蓉"</f>
        <v>左蓉</v>
      </c>
      <c r="E1179" s="7" t="str">
        <f t="shared" si="53"/>
        <v>女</v>
      </c>
    </row>
    <row r="1180" spans="1:5" ht="30" customHeight="1">
      <c r="A1180" s="7">
        <v>1177</v>
      </c>
      <c r="B1180" s="7" t="str">
        <f>"38662022042423114037709"</f>
        <v>38662022042423114037709</v>
      </c>
      <c r="C1180" s="7" t="s">
        <v>13</v>
      </c>
      <c r="D1180" s="7" t="str">
        <f>"郭珍珍"</f>
        <v>郭珍珍</v>
      </c>
      <c r="E1180" s="7" t="str">
        <f t="shared" si="53"/>
        <v>女</v>
      </c>
    </row>
    <row r="1181" spans="1:5" ht="30" customHeight="1">
      <c r="A1181" s="7">
        <v>1178</v>
      </c>
      <c r="B1181" s="7" t="str">
        <f>"38662022042423255237729"</f>
        <v>38662022042423255237729</v>
      </c>
      <c r="C1181" s="7" t="s">
        <v>13</v>
      </c>
      <c r="D1181" s="7" t="str">
        <f>"王丽梅"</f>
        <v>王丽梅</v>
      </c>
      <c r="E1181" s="7" t="str">
        <f t="shared" si="53"/>
        <v>女</v>
      </c>
    </row>
    <row r="1182" spans="1:5" ht="30" customHeight="1">
      <c r="A1182" s="7">
        <v>1179</v>
      </c>
      <c r="B1182" s="7" t="str">
        <f>"38662022042423291537733"</f>
        <v>38662022042423291537733</v>
      </c>
      <c r="C1182" s="7" t="s">
        <v>13</v>
      </c>
      <c r="D1182" s="7" t="str">
        <f>"吴彦翠"</f>
        <v>吴彦翠</v>
      </c>
      <c r="E1182" s="7" t="str">
        <f t="shared" si="53"/>
        <v>女</v>
      </c>
    </row>
    <row r="1183" spans="1:5" ht="30" customHeight="1">
      <c r="A1183" s="7">
        <v>1180</v>
      </c>
      <c r="B1183" s="7" t="str">
        <f>"38662022042423584737752"</f>
        <v>38662022042423584737752</v>
      </c>
      <c r="C1183" s="7" t="s">
        <v>13</v>
      </c>
      <c r="D1183" s="7" t="str">
        <f>"吴欣穗"</f>
        <v>吴欣穗</v>
      </c>
      <c r="E1183" s="7" t="str">
        <f t="shared" si="53"/>
        <v>女</v>
      </c>
    </row>
    <row r="1184" spans="1:5" ht="30" customHeight="1">
      <c r="A1184" s="7">
        <v>1181</v>
      </c>
      <c r="B1184" s="7" t="str">
        <f>"38662022042500163437764"</f>
        <v>38662022042500163437764</v>
      </c>
      <c r="C1184" s="7" t="s">
        <v>13</v>
      </c>
      <c r="D1184" s="7" t="str">
        <f>"王锦洋"</f>
        <v>王锦洋</v>
      </c>
      <c r="E1184" s="7" t="str">
        <f>"男"</f>
        <v>男</v>
      </c>
    </row>
    <row r="1185" spans="1:5" ht="30" customHeight="1">
      <c r="A1185" s="7">
        <v>1182</v>
      </c>
      <c r="B1185" s="7" t="str">
        <f>"38662022042501075337775"</f>
        <v>38662022042501075337775</v>
      </c>
      <c r="C1185" s="7" t="s">
        <v>13</v>
      </c>
      <c r="D1185" s="7" t="str">
        <f>"王亚蕊"</f>
        <v>王亚蕊</v>
      </c>
      <c r="E1185" s="7" t="str">
        <f aca="true" t="shared" si="54" ref="E1185:E1190">"女"</f>
        <v>女</v>
      </c>
    </row>
    <row r="1186" spans="1:5" ht="30" customHeight="1">
      <c r="A1186" s="7">
        <v>1183</v>
      </c>
      <c r="B1186" s="7" t="str">
        <f>"38662022042508263737820"</f>
        <v>38662022042508263737820</v>
      </c>
      <c r="C1186" s="7" t="s">
        <v>13</v>
      </c>
      <c r="D1186" s="7" t="str">
        <f>"陈德嫒"</f>
        <v>陈德嫒</v>
      </c>
      <c r="E1186" s="7" t="str">
        <f t="shared" si="54"/>
        <v>女</v>
      </c>
    </row>
    <row r="1187" spans="1:5" ht="30" customHeight="1">
      <c r="A1187" s="7">
        <v>1184</v>
      </c>
      <c r="B1187" s="7" t="str">
        <f>"38662022042508450537834"</f>
        <v>38662022042508450537834</v>
      </c>
      <c r="C1187" s="7" t="s">
        <v>13</v>
      </c>
      <c r="D1187" s="7" t="str">
        <f>"林蝶"</f>
        <v>林蝶</v>
      </c>
      <c r="E1187" s="7" t="str">
        <f t="shared" si="54"/>
        <v>女</v>
      </c>
    </row>
    <row r="1188" spans="1:5" ht="30" customHeight="1">
      <c r="A1188" s="7">
        <v>1185</v>
      </c>
      <c r="B1188" s="7" t="str">
        <f>"38662022042508570537841"</f>
        <v>38662022042508570537841</v>
      </c>
      <c r="C1188" s="7" t="s">
        <v>13</v>
      </c>
      <c r="D1188" s="7" t="str">
        <f>"林惠欣"</f>
        <v>林惠欣</v>
      </c>
      <c r="E1188" s="7" t="str">
        <f t="shared" si="54"/>
        <v>女</v>
      </c>
    </row>
    <row r="1189" spans="1:5" ht="30" customHeight="1">
      <c r="A1189" s="7">
        <v>1186</v>
      </c>
      <c r="B1189" s="7" t="str">
        <f>"38662022042509135237862"</f>
        <v>38662022042509135237862</v>
      </c>
      <c r="C1189" s="7" t="s">
        <v>13</v>
      </c>
      <c r="D1189" s="7" t="str">
        <f>"孙蕾"</f>
        <v>孙蕾</v>
      </c>
      <c r="E1189" s="7" t="str">
        <f t="shared" si="54"/>
        <v>女</v>
      </c>
    </row>
    <row r="1190" spans="1:5" ht="30" customHeight="1">
      <c r="A1190" s="7">
        <v>1187</v>
      </c>
      <c r="B1190" s="7" t="str">
        <f>"38662022042509164537868"</f>
        <v>38662022042509164537868</v>
      </c>
      <c r="C1190" s="7" t="s">
        <v>13</v>
      </c>
      <c r="D1190" s="7" t="str">
        <f>"骆秀妹"</f>
        <v>骆秀妹</v>
      </c>
      <c r="E1190" s="7" t="str">
        <f t="shared" si="54"/>
        <v>女</v>
      </c>
    </row>
    <row r="1191" spans="1:5" ht="30" customHeight="1">
      <c r="A1191" s="7">
        <v>1188</v>
      </c>
      <c r="B1191" s="7" t="str">
        <f>"38662022042509365637899"</f>
        <v>38662022042509365637899</v>
      </c>
      <c r="C1191" s="7" t="s">
        <v>13</v>
      </c>
      <c r="D1191" s="7" t="str">
        <f>"张鑫"</f>
        <v>张鑫</v>
      </c>
      <c r="E1191" s="7" t="str">
        <f>"男"</f>
        <v>男</v>
      </c>
    </row>
    <row r="1192" spans="1:5" ht="30" customHeight="1">
      <c r="A1192" s="7">
        <v>1189</v>
      </c>
      <c r="B1192" s="7" t="str">
        <f>"38662022042509370837900"</f>
        <v>38662022042509370837900</v>
      </c>
      <c r="C1192" s="7" t="s">
        <v>13</v>
      </c>
      <c r="D1192" s="7" t="str">
        <f>"刘诗雅"</f>
        <v>刘诗雅</v>
      </c>
      <c r="E1192" s="7" t="str">
        <f aca="true" t="shared" si="55" ref="E1192:E1235">"女"</f>
        <v>女</v>
      </c>
    </row>
    <row r="1193" spans="1:5" ht="30" customHeight="1">
      <c r="A1193" s="7">
        <v>1190</v>
      </c>
      <c r="B1193" s="7" t="str">
        <f>"38662022042509453137918"</f>
        <v>38662022042509453137918</v>
      </c>
      <c r="C1193" s="7" t="s">
        <v>13</v>
      </c>
      <c r="D1193" s="7" t="str">
        <f>"赵梦霞"</f>
        <v>赵梦霞</v>
      </c>
      <c r="E1193" s="7" t="str">
        <f t="shared" si="55"/>
        <v>女</v>
      </c>
    </row>
    <row r="1194" spans="1:5" ht="30" customHeight="1">
      <c r="A1194" s="7">
        <v>1191</v>
      </c>
      <c r="B1194" s="7" t="str">
        <f>"38662022042509524737926"</f>
        <v>38662022042509524737926</v>
      </c>
      <c r="C1194" s="7" t="s">
        <v>13</v>
      </c>
      <c r="D1194" s="7" t="str">
        <f>"黄祖雯"</f>
        <v>黄祖雯</v>
      </c>
      <c r="E1194" s="7" t="str">
        <f t="shared" si="55"/>
        <v>女</v>
      </c>
    </row>
    <row r="1195" spans="1:5" ht="30" customHeight="1">
      <c r="A1195" s="7">
        <v>1192</v>
      </c>
      <c r="B1195" s="7" t="str">
        <f>"38662022042509535037928"</f>
        <v>38662022042509535037928</v>
      </c>
      <c r="C1195" s="7" t="s">
        <v>13</v>
      </c>
      <c r="D1195" s="7" t="str">
        <f>"黎春苗"</f>
        <v>黎春苗</v>
      </c>
      <c r="E1195" s="7" t="str">
        <f t="shared" si="55"/>
        <v>女</v>
      </c>
    </row>
    <row r="1196" spans="1:5" ht="30" customHeight="1">
      <c r="A1196" s="7">
        <v>1193</v>
      </c>
      <c r="B1196" s="7" t="str">
        <f>"38662022042510145637969"</f>
        <v>38662022042510145637969</v>
      </c>
      <c r="C1196" s="7" t="s">
        <v>13</v>
      </c>
      <c r="D1196" s="7" t="str">
        <f>"李小念"</f>
        <v>李小念</v>
      </c>
      <c r="E1196" s="7" t="str">
        <f t="shared" si="55"/>
        <v>女</v>
      </c>
    </row>
    <row r="1197" spans="1:5" ht="30" customHeight="1">
      <c r="A1197" s="7">
        <v>1194</v>
      </c>
      <c r="B1197" s="7" t="str">
        <f>"38662022042510360938011"</f>
        <v>38662022042510360938011</v>
      </c>
      <c r="C1197" s="7" t="s">
        <v>13</v>
      </c>
      <c r="D1197" s="7" t="str">
        <f>"张怡君"</f>
        <v>张怡君</v>
      </c>
      <c r="E1197" s="7" t="str">
        <f t="shared" si="55"/>
        <v>女</v>
      </c>
    </row>
    <row r="1198" spans="1:5" ht="30" customHeight="1">
      <c r="A1198" s="7">
        <v>1195</v>
      </c>
      <c r="B1198" s="7" t="str">
        <f>"38662022042510370638014"</f>
        <v>38662022042510370638014</v>
      </c>
      <c r="C1198" s="7" t="s">
        <v>13</v>
      </c>
      <c r="D1198" s="7" t="str">
        <f>"张秀萍"</f>
        <v>张秀萍</v>
      </c>
      <c r="E1198" s="7" t="str">
        <f t="shared" si="55"/>
        <v>女</v>
      </c>
    </row>
    <row r="1199" spans="1:5" ht="30" customHeight="1">
      <c r="A1199" s="7">
        <v>1196</v>
      </c>
      <c r="B1199" s="7" t="str">
        <f>"38662022042510371238015"</f>
        <v>38662022042510371238015</v>
      </c>
      <c r="C1199" s="7" t="s">
        <v>13</v>
      </c>
      <c r="D1199" s="7" t="str">
        <f>"蔡丽菁"</f>
        <v>蔡丽菁</v>
      </c>
      <c r="E1199" s="7" t="str">
        <f t="shared" si="55"/>
        <v>女</v>
      </c>
    </row>
    <row r="1200" spans="1:5" ht="30" customHeight="1">
      <c r="A1200" s="7">
        <v>1197</v>
      </c>
      <c r="B1200" s="7" t="str">
        <f>"38662022042510392238021"</f>
        <v>38662022042510392238021</v>
      </c>
      <c r="C1200" s="7" t="s">
        <v>13</v>
      </c>
      <c r="D1200" s="7" t="str">
        <f>"邓晓婕"</f>
        <v>邓晓婕</v>
      </c>
      <c r="E1200" s="7" t="str">
        <f t="shared" si="55"/>
        <v>女</v>
      </c>
    </row>
    <row r="1201" spans="1:5" ht="30" customHeight="1">
      <c r="A1201" s="7">
        <v>1198</v>
      </c>
      <c r="B1201" s="7" t="str">
        <f>"38662022042511025038075"</f>
        <v>38662022042511025038075</v>
      </c>
      <c r="C1201" s="7" t="s">
        <v>13</v>
      </c>
      <c r="D1201" s="7" t="str">
        <f>"莫海元"</f>
        <v>莫海元</v>
      </c>
      <c r="E1201" s="7" t="str">
        <f t="shared" si="55"/>
        <v>女</v>
      </c>
    </row>
    <row r="1202" spans="1:5" ht="30" customHeight="1">
      <c r="A1202" s="7">
        <v>1199</v>
      </c>
      <c r="B1202" s="7" t="str">
        <f>"38662022042511053138077"</f>
        <v>38662022042511053138077</v>
      </c>
      <c r="C1202" s="7" t="s">
        <v>13</v>
      </c>
      <c r="D1202" s="7" t="str">
        <f>"陈小青"</f>
        <v>陈小青</v>
      </c>
      <c r="E1202" s="7" t="str">
        <f t="shared" si="55"/>
        <v>女</v>
      </c>
    </row>
    <row r="1203" spans="1:5" ht="30" customHeight="1">
      <c r="A1203" s="7">
        <v>1200</v>
      </c>
      <c r="B1203" s="7" t="str">
        <f>"38662022042511223238109"</f>
        <v>38662022042511223238109</v>
      </c>
      <c r="C1203" s="7" t="s">
        <v>13</v>
      </c>
      <c r="D1203" s="7" t="str">
        <f>"唐娥飞"</f>
        <v>唐娥飞</v>
      </c>
      <c r="E1203" s="7" t="str">
        <f t="shared" si="55"/>
        <v>女</v>
      </c>
    </row>
    <row r="1204" spans="1:5" ht="30" customHeight="1">
      <c r="A1204" s="7">
        <v>1201</v>
      </c>
      <c r="B1204" s="7" t="str">
        <f>"38662022042511431338131"</f>
        <v>38662022042511431338131</v>
      </c>
      <c r="C1204" s="7" t="s">
        <v>13</v>
      </c>
      <c r="D1204" s="7" t="str">
        <f>"禤达云"</f>
        <v>禤达云</v>
      </c>
      <c r="E1204" s="7" t="str">
        <f t="shared" si="55"/>
        <v>女</v>
      </c>
    </row>
    <row r="1205" spans="1:5" ht="30" customHeight="1">
      <c r="A1205" s="7">
        <v>1202</v>
      </c>
      <c r="B1205" s="7" t="str">
        <f>"38662022042512060838151"</f>
        <v>38662022042512060838151</v>
      </c>
      <c r="C1205" s="7" t="s">
        <v>13</v>
      </c>
      <c r="D1205" s="7" t="str">
        <f>"张华丽"</f>
        <v>张华丽</v>
      </c>
      <c r="E1205" s="7" t="str">
        <f t="shared" si="55"/>
        <v>女</v>
      </c>
    </row>
    <row r="1206" spans="1:5" ht="30" customHeight="1">
      <c r="A1206" s="7">
        <v>1203</v>
      </c>
      <c r="B1206" s="7" t="str">
        <f>"38662022042513030638207"</f>
        <v>38662022042513030638207</v>
      </c>
      <c r="C1206" s="7" t="s">
        <v>13</v>
      </c>
      <c r="D1206" s="7" t="str">
        <f>"蔡雪莹"</f>
        <v>蔡雪莹</v>
      </c>
      <c r="E1206" s="7" t="str">
        <f t="shared" si="55"/>
        <v>女</v>
      </c>
    </row>
    <row r="1207" spans="1:5" ht="30" customHeight="1">
      <c r="A1207" s="7">
        <v>1204</v>
      </c>
      <c r="B1207" s="7" t="str">
        <f>"38662022042513200538218"</f>
        <v>38662022042513200538218</v>
      </c>
      <c r="C1207" s="7" t="s">
        <v>13</v>
      </c>
      <c r="D1207" s="7" t="str">
        <f>"戴惠娇"</f>
        <v>戴惠娇</v>
      </c>
      <c r="E1207" s="7" t="str">
        <f t="shared" si="55"/>
        <v>女</v>
      </c>
    </row>
    <row r="1208" spans="1:5" ht="30" customHeight="1">
      <c r="A1208" s="7">
        <v>1205</v>
      </c>
      <c r="B1208" s="7" t="str">
        <f>"38662022042513202438219"</f>
        <v>38662022042513202438219</v>
      </c>
      <c r="C1208" s="7" t="s">
        <v>13</v>
      </c>
      <c r="D1208" s="7" t="str">
        <f>"陈全庆"</f>
        <v>陈全庆</v>
      </c>
      <c r="E1208" s="7" t="str">
        <f t="shared" si="55"/>
        <v>女</v>
      </c>
    </row>
    <row r="1209" spans="1:5" ht="30" customHeight="1">
      <c r="A1209" s="7">
        <v>1206</v>
      </c>
      <c r="B1209" s="7" t="str">
        <f>"38662022042513212838221"</f>
        <v>38662022042513212838221</v>
      </c>
      <c r="C1209" s="7" t="s">
        <v>13</v>
      </c>
      <c r="D1209" s="7" t="str">
        <f>"陈春惠"</f>
        <v>陈春惠</v>
      </c>
      <c r="E1209" s="7" t="str">
        <f t="shared" si="55"/>
        <v>女</v>
      </c>
    </row>
    <row r="1210" spans="1:5" ht="30" customHeight="1">
      <c r="A1210" s="7">
        <v>1207</v>
      </c>
      <c r="B1210" s="7" t="str">
        <f>"38662022042513323038232"</f>
        <v>38662022042513323038232</v>
      </c>
      <c r="C1210" s="7" t="s">
        <v>13</v>
      </c>
      <c r="D1210" s="7" t="str">
        <f>"文惠"</f>
        <v>文惠</v>
      </c>
      <c r="E1210" s="7" t="str">
        <f t="shared" si="55"/>
        <v>女</v>
      </c>
    </row>
    <row r="1211" spans="1:5" ht="30" customHeight="1">
      <c r="A1211" s="7">
        <v>1208</v>
      </c>
      <c r="B1211" s="7" t="str">
        <f>"38662022042513370338235"</f>
        <v>38662022042513370338235</v>
      </c>
      <c r="C1211" s="7" t="s">
        <v>13</v>
      </c>
      <c r="D1211" s="7" t="str">
        <f>"万兴柳"</f>
        <v>万兴柳</v>
      </c>
      <c r="E1211" s="7" t="str">
        <f t="shared" si="55"/>
        <v>女</v>
      </c>
    </row>
    <row r="1212" spans="1:5" ht="30" customHeight="1">
      <c r="A1212" s="7">
        <v>1209</v>
      </c>
      <c r="B1212" s="7" t="str">
        <f>"38662022042514211138271"</f>
        <v>38662022042514211138271</v>
      </c>
      <c r="C1212" s="7" t="s">
        <v>13</v>
      </c>
      <c r="D1212" s="7" t="str">
        <f>"羊芷依"</f>
        <v>羊芷依</v>
      </c>
      <c r="E1212" s="7" t="str">
        <f t="shared" si="55"/>
        <v>女</v>
      </c>
    </row>
    <row r="1213" spans="1:5" ht="30" customHeight="1">
      <c r="A1213" s="7">
        <v>1210</v>
      </c>
      <c r="B1213" s="7" t="str">
        <f>"38662022042515072838339"</f>
        <v>38662022042515072838339</v>
      </c>
      <c r="C1213" s="7" t="s">
        <v>13</v>
      </c>
      <c r="D1213" s="7" t="str">
        <f>"张君"</f>
        <v>张君</v>
      </c>
      <c r="E1213" s="7" t="str">
        <f t="shared" si="55"/>
        <v>女</v>
      </c>
    </row>
    <row r="1214" spans="1:5" ht="30" customHeight="1">
      <c r="A1214" s="7">
        <v>1211</v>
      </c>
      <c r="B1214" s="7" t="str">
        <f>"38662022042515171238353"</f>
        <v>38662022042515171238353</v>
      </c>
      <c r="C1214" s="7" t="s">
        <v>13</v>
      </c>
      <c r="D1214" s="7" t="str">
        <f>"何美雯"</f>
        <v>何美雯</v>
      </c>
      <c r="E1214" s="7" t="str">
        <f t="shared" si="55"/>
        <v>女</v>
      </c>
    </row>
    <row r="1215" spans="1:5" ht="30" customHeight="1">
      <c r="A1215" s="7">
        <v>1212</v>
      </c>
      <c r="B1215" s="7" t="str">
        <f>"38662022042515200338363"</f>
        <v>38662022042515200338363</v>
      </c>
      <c r="C1215" s="7" t="s">
        <v>13</v>
      </c>
      <c r="D1215" s="7" t="str">
        <f>"覃春来"</f>
        <v>覃春来</v>
      </c>
      <c r="E1215" s="7" t="str">
        <f t="shared" si="55"/>
        <v>女</v>
      </c>
    </row>
    <row r="1216" spans="1:5" ht="30" customHeight="1">
      <c r="A1216" s="7">
        <v>1213</v>
      </c>
      <c r="B1216" s="7" t="str">
        <f>"38662022042515255838376"</f>
        <v>38662022042515255838376</v>
      </c>
      <c r="C1216" s="7" t="s">
        <v>13</v>
      </c>
      <c r="D1216" s="7" t="str">
        <f>"陈文慧"</f>
        <v>陈文慧</v>
      </c>
      <c r="E1216" s="7" t="str">
        <f t="shared" si="55"/>
        <v>女</v>
      </c>
    </row>
    <row r="1217" spans="1:5" ht="30" customHeight="1">
      <c r="A1217" s="7">
        <v>1214</v>
      </c>
      <c r="B1217" s="7" t="str">
        <f>"38662022042515333938393"</f>
        <v>38662022042515333938393</v>
      </c>
      <c r="C1217" s="7" t="s">
        <v>13</v>
      </c>
      <c r="D1217" s="7" t="str">
        <f>"李雨芊"</f>
        <v>李雨芊</v>
      </c>
      <c r="E1217" s="7" t="str">
        <f t="shared" si="55"/>
        <v>女</v>
      </c>
    </row>
    <row r="1218" spans="1:5" ht="30" customHeight="1">
      <c r="A1218" s="7">
        <v>1215</v>
      </c>
      <c r="B1218" s="7" t="str">
        <f>"38662022042515501538435"</f>
        <v>38662022042515501538435</v>
      </c>
      <c r="C1218" s="7" t="s">
        <v>13</v>
      </c>
      <c r="D1218" s="7" t="str">
        <f>"林珏谷"</f>
        <v>林珏谷</v>
      </c>
      <c r="E1218" s="7" t="str">
        <f t="shared" si="55"/>
        <v>女</v>
      </c>
    </row>
    <row r="1219" spans="1:5" ht="30" customHeight="1">
      <c r="A1219" s="7">
        <v>1216</v>
      </c>
      <c r="B1219" s="7" t="str">
        <f>"38662022042516065738460"</f>
        <v>38662022042516065738460</v>
      </c>
      <c r="C1219" s="7" t="s">
        <v>13</v>
      </c>
      <c r="D1219" s="7" t="str">
        <f>"邢梦琪"</f>
        <v>邢梦琪</v>
      </c>
      <c r="E1219" s="7" t="str">
        <f t="shared" si="55"/>
        <v>女</v>
      </c>
    </row>
    <row r="1220" spans="1:5" ht="30" customHeight="1">
      <c r="A1220" s="7">
        <v>1217</v>
      </c>
      <c r="B1220" s="7" t="str">
        <f>"38662022042516154238466"</f>
        <v>38662022042516154238466</v>
      </c>
      <c r="C1220" s="7" t="s">
        <v>13</v>
      </c>
      <c r="D1220" s="7" t="str">
        <f>"王娜"</f>
        <v>王娜</v>
      </c>
      <c r="E1220" s="7" t="str">
        <f t="shared" si="55"/>
        <v>女</v>
      </c>
    </row>
    <row r="1221" spans="1:5" ht="30" customHeight="1">
      <c r="A1221" s="7">
        <v>1218</v>
      </c>
      <c r="B1221" s="7" t="str">
        <f>"38662022042516172838471"</f>
        <v>38662022042516172838471</v>
      </c>
      <c r="C1221" s="7" t="s">
        <v>13</v>
      </c>
      <c r="D1221" s="7" t="str">
        <f>"李正妃"</f>
        <v>李正妃</v>
      </c>
      <c r="E1221" s="7" t="str">
        <f t="shared" si="55"/>
        <v>女</v>
      </c>
    </row>
    <row r="1222" spans="1:5" ht="30" customHeight="1">
      <c r="A1222" s="7">
        <v>1219</v>
      </c>
      <c r="B1222" s="7" t="str">
        <f>"38662022042516173638472"</f>
        <v>38662022042516173638472</v>
      </c>
      <c r="C1222" s="7" t="s">
        <v>13</v>
      </c>
      <c r="D1222" s="7" t="str">
        <f>"吉才伦"</f>
        <v>吉才伦</v>
      </c>
      <c r="E1222" s="7" t="str">
        <f t="shared" si="55"/>
        <v>女</v>
      </c>
    </row>
    <row r="1223" spans="1:5" ht="30" customHeight="1">
      <c r="A1223" s="7">
        <v>1220</v>
      </c>
      <c r="B1223" s="7" t="str">
        <f>"38662022042516385338495"</f>
        <v>38662022042516385338495</v>
      </c>
      <c r="C1223" s="7" t="s">
        <v>13</v>
      </c>
      <c r="D1223" s="7" t="str">
        <f>"许玲"</f>
        <v>许玲</v>
      </c>
      <c r="E1223" s="7" t="str">
        <f t="shared" si="55"/>
        <v>女</v>
      </c>
    </row>
    <row r="1224" spans="1:5" ht="30" customHeight="1">
      <c r="A1224" s="7">
        <v>1221</v>
      </c>
      <c r="B1224" s="7" t="str">
        <f>"38662022042516435538501"</f>
        <v>38662022042516435538501</v>
      </c>
      <c r="C1224" s="7" t="s">
        <v>13</v>
      </c>
      <c r="D1224" s="7" t="str">
        <f>"林娇慧"</f>
        <v>林娇慧</v>
      </c>
      <c r="E1224" s="7" t="str">
        <f t="shared" si="55"/>
        <v>女</v>
      </c>
    </row>
    <row r="1225" spans="1:5" ht="30" customHeight="1">
      <c r="A1225" s="7">
        <v>1222</v>
      </c>
      <c r="B1225" s="7" t="str">
        <f>"38662022042516510038516"</f>
        <v>38662022042516510038516</v>
      </c>
      <c r="C1225" s="7" t="s">
        <v>13</v>
      </c>
      <c r="D1225" s="7" t="str">
        <f>"林方媚"</f>
        <v>林方媚</v>
      </c>
      <c r="E1225" s="7" t="str">
        <f t="shared" si="55"/>
        <v>女</v>
      </c>
    </row>
    <row r="1226" spans="1:5" ht="30" customHeight="1">
      <c r="A1226" s="7">
        <v>1223</v>
      </c>
      <c r="B1226" s="7" t="str">
        <f>"38662022042516513338520"</f>
        <v>38662022042516513338520</v>
      </c>
      <c r="C1226" s="7" t="s">
        <v>13</v>
      </c>
      <c r="D1226" s="7" t="str">
        <f>"黎燕"</f>
        <v>黎燕</v>
      </c>
      <c r="E1226" s="7" t="str">
        <f t="shared" si="55"/>
        <v>女</v>
      </c>
    </row>
    <row r="1227" spans="1:5" ht="30" customHeight="1">
      <c r="A1227" s="7">
        <v>1224</v>
      </c>
      <c r="B1227" s="7" t="str">
        <f>"38662022042516532038523"</f>
        <v>38662022042516532038523</v>
      </c>
      <c r="C1227" s="7" t="s">
        <v>13</v>
      </c>
      <c r="D1227" s="7" t="str">
        <f>"刘梦婷"</f>
        <v>刘梦婷</v>
      </c>
      <c r="E1227" s="7" t="str">
        <f t="shared" si="55"/>
        <v>女</v>
      </c>
    </row>
    <row r="1228" spans="1:5" ht="30" customHeight="1">
      <c r="A1228" s="7">
        <v>1225</v>
      </c>
      <c r="B1228" s="7" t="str">
        <f>"38662022042517032738541"</f>
        <v>38662022042517032738541</v>
      </c>
      <c r="C1228" s="7" t="s">
        <v>13</v>
      </c>
      <c r="D1228" s="7" t="str">
        <f>"文丽春"</f>
        <v>文丽春</v>
      </c>
      <c r="E1228" s="7" t="str">
        <f t="shared" si="55"/>
        <v>女</v>
      </c>
    </row>
    <row r="1229" spans="1:5" ht="30" customHeight="1">
      <c r="A1229" s="7">
        <v>1226</v>
      </c>
      <c r="B1229" s="7" t="str">
        <f>"38662022042517153938562"</f>
        <v>38662022042517153938562</v>
      </c>
      <c r="C1229" s="7" t="s">
        <v>13</v>
      </c>
      <c r="D1229" s="7" t="str">
        <f>"曾恋鸿"</f>
        <v>曾恋鸿</v>
      </c>
      <c r="E1229" s="7" t="str">
        <f t="shared" si="55"/>
        <v>女</v>
      </c>
    </row>
    <row r="1230" spans="1:5" ht="30" customHeight="1">
      <c r="A1230" s="7">
        <v>1227</v>
      </c>
      <c r="B1230" s="7" t="str">
        <f>"38662022042517171238564"</f>
        <v>38662022042517171238564</v>
      </c>
      <c r="C1230" s="7" t="s">
        <v>13</v>
      </c>
      <c r="D1230" s="7" t="str">
        <f>"冯丽娟"</f>
        <v>冯丽娟</v>
      </c>
      <c r="E1230" s="7" t="str">
        <f t="shared" si="55"/>
        <v>女</v>
      </c>
    </row>
    <row r="1231" spans="1:5" ht="30" customHeight="1">
      <c r="A1231" s="7">
        <v>1228</v>
      </c>
      <c r="B1231" s="7" t="str">
        <f>"38662022042517172138565"</f>
        <v>38662022042517172138565</v>
      </c>
      <c r="C1231" s="7" t="s">
        <v>13</v>
      </c>
      <c r="D1231" s="7" t="str">
        <f>"陈蕾伊"</f>
        <v>陈蕾伊</v>
      </c>
      <c r="E1231" s="7" t="str">
        <f t="shared" si="55"/>
        <v>女</v>
      </c>
    </row>
    <row r="1232" spans="1:5" ht="30" customHeight="1">
      <c r="A1232" s="7">
        <v>1229</v>
      </c>
      <c r="B1232" s="7" t="str">
        <f>"38662022042518584738680"</f>
        <v>38662022042518584738680</v>
      </c>
      <c r="C1232" s="7" t="s">
        <v>13</v>
      </c>
      <c r="D1232" s="7" t="str">
        <f>"王小露"</f>
        <v>王小露</v>
      </c>
      <c r="E1232" s="7" t="str">
        <f t="shared" si="55"/>
        <v>女</v>
      </c>
    </row>
    <row r="1233" spans="1:5" ht="30" customHeight="1">
      <c r="A1233" s="7">
        <v>1230</v>
      </c>
      <c r="B1233" s="7" t="str">
        <f>"38662022042519094638698"</f>
        <v>38662022042519094638698</v>
      </c>
      <c r="C1233" s="7" t="s">
        <v>13</v>
      </c>
      <c r="D1233" s="7" t="str">
        <f>"李倩"</f>
        <v>李倩</v>
      </c>
      <c r="E1233" s="7" t="str">
        <f t="shared" si="55"/>
        <v>女</v>
      </c>
    </row>
    <row r="1234" spans="1:5" ht="30" customHeight="1">
      <c r="A1234" s="7">
        <v>1231</v>
      </c>
      <c r="B1234" s="7" t="str">
        <f>"38662022042519412838721"</f>
        <v>38662022042519412838721</v>
      </c>
      <c r="C1234" s="7" t="s">
        <v>13</v>
      </c>
      <c r="D1234" s="7" t="str">
        <f>"王梦影"</f>
        <v>王梦影</v>
      </c>
      <c r="E1234" s="7" t="str">
        <f t="shared" si="55"/>
        <v>女</v>
      </c>
    </row>
    <row r="1235" spans="1:5" ht="30" customHeight="1">
      <c r="A1235" s="7">
        <v>1232</v>
      </c>
      <c r="B1235" s="7" t="str">
        <f>"38662022042520290238775"</f>
        <v>38662022042520290238775</v>
      </c>
      <c r="C1235" s="7" t="s">
        <v>13</v>
      </c>
      <c r="D1235" s="7" t="str">
        <f>"邢璐璐"</f>
        <v>邢璐璐</v>
      </c>
      <c r="E1235" s="7" t="str">
        <f t="shared" si="55"/>
        <v>女</v>
      </c>
    </row>
    <row r="1236" spans="1:5" ht="30" customHeight="1">
      <c r="A1236" s="7">
        <v>1233</v>
      </c>
      <c r="B1236" s="7" t="str">
        <f>"38662022042520414638796"</f>
        <v>38662022042520414638796</v>
      </c>
      <c r="C1236" s="7" t="s">
        <v>13</v>
      </c>
      <c r="D1236" s="7" t="str">
        <f>"林建勇"</f>
        <v>林建勇</v>
      </c>
      <c r="E1236" s="7" t="str">
        <f>"男"</f>
        <v>男</v>
      </c>
    </row>
    <row r="1237" spans="1:5" ht="30" customHeight="1">
      <c r="A1237" s="7">
        <v>1234</v>
      </c>
      <c r="B1237" s="7" t="str">
        <f>"38662022042520492038806"</f>
        <v>38662022042520492038806</v>
      </c>
      <c r="C1237" s="7" t="s">
        <v>13</v>
      </c>
      <c r="D1237" s="7" t="str">
        <f>"麦晓星"</f>
        <v>麦晓星</v>
      </c>
      <c r="E1237" s="7" t="str">
        <f aca="true" t="shared" si="56" ref="E1237:E1248">"女"</f>
        <v>女</v>
      </c>
    </row>
    <row r="1238" spans="1:5" ht="30" customHeight="1">
      <c r="A1238" s="7">
        <v>1235</v>
      </c>
      <c r="B1238" s="7" t="str">
        <f>"38662022042520493938808"</f>
        <v>38662022042520493938808</v>
      </c>
      <c r="C1238" s="7" t="s">
        <v>13</v>
      </c>
      <c r="D1238" s="7" t="str">
        <f>"陈海灵"</f>
        <v>陈海灵</v>
      </c>
      <c r="E1238" s="7" t="str">
        <f t="shared" si="56"/>
        <v>女</v>
      </c>
    </row>
    <row r="1239" spans="1:5" ht="30" customHeight="1">
      <c r="A1239" s="7">
        <v>1236</v>
      </c>
      <c r="B1239" s="7" t="str">
        <f>"38662022042521112338837"</f>
        <v>38662022042521112338837</v>
      </c>
      <c r="C1239" s="7" t="s">
        <v>13</v>
      </c>
      <c r="D1239" s="7" t="str">
        <f>"欧阳琳"</f>
        <v>欧阳琳</v>
      </c>
      <c r="E1239" s="7" t="str">
        <f t="shared" si="56"/>
        <v>女</v>
      </c>
    </row>
    <row r="1240" spans="1:5" ht="30" customHeight="1">
      <c r="A1240" s="7">
        <v>1237</v>
      </c>
      <c r="B1240" s="7" t="str">
        <f>"38662022042521314138857"</f>
        <v>38662022042521314138857</v>
      </c>
      <c r="C1240" s="7" t="s">
        <v>13</v>
      </c>
      <c r="D1240" s="7" t="str">
        <f>"陈月伽"</f>
        <v>陈月伽</v>
      </c>
      <c r="E1240" s="7" t="str">
        <f t="shared" si="56"/>
        <v>女</v>
      </c>
    </row>
    <row r="1241" spans="1:5" ht="30" customHeight="1">
      <c r="A1241" s="7">
        <v>1238</v>
      </c>
      <c r="B1241" s="7" t="str">
        <f>"38662022042521315138858"</f>
        <v>38662022042521315138858</v>
      </c>
      <c r="C1241" s="7" t="s">
        <v>13</v>
      </c>
      <c r="D1241" s="7" t="str">
        <f>"凌小虹"</f>
        <v>凌小虹</v>
      </c>
      <c r="E1241" s="7" t="str">
        <f t="shared" si="56"/>
        <v>女</v>
      </c>
    </row>
    <row r="1242" spans="1:5" ht="30" customHeight="1">
      <c r="A1242" s="7">
        <v>1239</v>
      </c>
      <c r="B1242" s="7" t="str">
        <f>"38662022042521331638862"</f>
        <v>38662022042521331638862</v>
      </c>
      <c r="C1242" s="7" t="s">
        <v>13</v>
      </c>
      <c r="D1242" s="7" t="str">
        <f>"苏小菊"</f>
        <v>苏小菊</v>
      </c>
      <c r="E1242" s="7" t="str">
        <f t="shared" si="56"/>
        <v>女</v>
      </c>
    </row>
    <row r="1243" spans="1:5" ht="30" customHeight="1">
      <c r="A1243" s="7">
        <v>1240</v>
      </c>
      <c r="B1243" s="7" t="str">
        <f>"38662022042521334738865"</f>
        <v>38662022042521334738865</v>
      </c>
      <c r="C1243" s="7" t="s">
        <v>13</v>
      </c>
      <c r="D1243" s="7" t="str">
        <f>"陈星晶"</f>
        <v>陈星晶</v>
      </c>
      <c r="E1243" s="7" t="str">
        <f t="shared" si="56"/>
        <v>女</v>
      </c>
    </row>
    <row r="1244" spans="1:5" ht="30" customHeight="1">
      <c r="A1244" s="7">
        <v>1241</v>
      </c>
      <c r="B1244" s="7" t="str">
        <f>"38662022042521340238866"</f>
        <v>38662022042521340238866</v>
      </c>
      <c r="C1244" s="7" t="s">
        <v>13</v>
      </c>
      <c r="D1244" s="7" t="str">
        <f>"钟慧"</f>
        <v>钟慧</v>
      </c>
      <c r="E1244" s="7" t="str">
        <f t="shared" si="56"/>
        <v>女</v>
      </c>
    </row>
    <row r="1245" spans="1:5" ht="30" customHeight="1">
      <c r="A1245" s="7">
        <v>1242</v>
      </c>
      <c r="B1245" s="7" t="str">
        <f>"38662022042521354238872"</f>
        <v>38662022042521354238872</v>
      </c>
      <c r="C1245" s="7" t="s">
        <v>13</v>
      </c>
      <c r="D1245" s="7" t="str">
        <f>"陈姝妍"</f>
        <v>陈姝妍</v>
      </c>
      <c r="E1245" s="7" t="str">
        <f t="shared" si="56"/>
        <v>女</v>
      </c>
    </row>
    <row r="1246" spans="1:5" ht="30" customHeight="1">
      <c r="A1246" s="7">
        <v>1243</v>
      </c>
      <c r="B1246" s="7" t="str">
        <f>"38662022042521455338889"</f>
        <v>38662022042521455338889</v>
      </c>
      <c r="C1246" s="7" t="s">
        <v>13</v>
      </c>
      <c r="D1246" s="7" t="str">
        <f>"林丽洁"</f>
        <v>林丽洁</v>
      </c>
      <c r="E1246" s="7" t="str">
        <f t="shared" si="56"/>
        <v>女</v>
      </c>
    </row>
    <row r="1247" spans="1:5" ht="30" customHeight="1">
      <c r="A1247" s="7">
        <v>1244</v>
      </c>
      <c r="B1247" s="7" t="str">
        <f>"38662022042522010138910"</f>
        <v>38662022042522010138910</v>
      </c>
      <c r="C1247" s="7" t="s">
        <v>13</v>
      </c>
      <c r="D1247" s="7" t="str">
        <f>"黎倩妮"</f>
        <v>黎倩妮</v>
      </c>
      <c r="E1247" s="7" t="str">
        <f t="shared" si="56"/>
        <v>女</v>
      </c>
    </row>
    <row r="1248" spans="1:5" ht="30" customHeight="1">
      <c r="A1248" s="7">
        <v>1245</v>
      </c>
      <c r="B1248" s="7" t="str">
        <f>"38662022042522025838912"</f>
        <v>38662022042522025838912</v>
      </c>
      <c r="C1248" s="7" t="s">
        <v>13</v>
      </c>
      <c r="D1248" s="7" t="str">
        <f>"邱丽"</f>
        <v>邱丽</v>
      </c>
      <c r="E1248" s="7" t="str">
        <f t="shared" si="56"/>
        <v>女</v>
      </c>
    </row>
    <row r="1249" spans="1:5" ht="30" customHeight="1">
      <c r="A1249" s="7">
        <v>1246</v>
      </c>
      <c r="B1249" s="7" t="str">
        <f>"38662022042522202838938"</f>
        <v>38662022042522202838938</v>
      </c>
      <c r="C1249" s="7" t="s">
        <v>13</v>
      </c>
      <c r="D1249" s="7" t="str">
        <f>"吴淑强"</f>
        <v>吴淑强</v>
      </c>
      <c r="E1249" s="7" t="str">
        <f>"男"</f>
        <v>男</v>
      </c>
    </row>
    <row r="1250" spans="1:5" ht="30" customHeight="1">
      <c r="A1250" s="7">
        <v>1247</v>
      </c>
      <c r="B1250" s="7" t="str">
        <f>"38662022042522203638939"</f>
        <v>38662022042522203638939</v>
      </c>
      <c r="C1250" s="7" t="s">
        <v>13</v>
      </c>
      <c r="D1250" s="7" t="str">
        <f>"郑忠艳"</f>
        <v>郑忠艳</v>
      </c>
      <c r="E1250" s="7" t="str">
        <f aca="true" t="shared" si="57" ref="E1250:E1268">"女"</f>
        <v>女</v>
      </c>
    </row>
    <row r="1251" spans="1:5" ht="30" customHeight="1">
      <c r="A1251" s="7">
        <v>1248</v>
      </c>
      <c r="B1251" s="7" t="str">
        <f>"38662022042522205938941"</f>
        <v>38662022042522205938941</v>
      </c>
      <c r="C1251" s="7" t="s">
        <v>13</v>
      </c>
      <c r="D1251" s="7" t="str">
        <f>"王琬"</f>
        <v>王琬</v>
      </c>
      <c r="E1251" s="7" t="str">
        <f t="shared" si="57"/>
        <v>女</v>
      </c>
    </row>
    <row r="1252" spans="1:5" ht="30" customHeight="1">
      <c r="A1252" s="7">
        <v>1249</v>
      </c>
      <c r="B1252" s="7" t="str">
        <f>"38662022042522305638953"</f>
        <v>38662022042522305638953</v>
      </c>
      <c r="C1252" s="7" t="s">
        <v>13</v>
      </c>
      <c r="D1252" s="7" t="str">
        <f>"曾雪芳"</f>
        <v>曾雪芳</v>
      </c>
      <c r="E1252" s="7" t="str">
        <f t="shared" si="57"/>
        <v>女</v>
      </c>
    </row>
    <row r="1253" spans="1:5" ht="30" customHeight="1">
      <c r="A1253" s="7">
        <v>1250</v>
      </c>
      <c r="B1253" s="7" t="str">
        <f>"38662022042522484138977"</f>
        <v>38662022042522484138977</v>
      </c>
      <c r="C1253" s="7" t="s">
        <v>13</v>
      </c>
      <c r="D1253" s="7" t="str">
        <f>"杨冬雪"</f>
        <v>杨冬雪</v>
      </c>
      <c r="E1253" s="7" t="str">
        <f t="shared" si="57"/>
        <v>女</v>
      </c>
    </row>
    <row r="1254" spans="1:5" ht="30" customHeight="1">
      <c r="A1254" s="7">
        <v>1251</v>
      </c>
      <c r="B1254" s="7" t="str">
        <f>"38662022042523160639012"</f>
        <v>38662022042523160639012</v>
      </c>
      <c r="C1254" s="7" t="s">
        <v>13</v>
      </c>
      <c r="D1254" s="7" t="str">
        <f>"陈英"</f>
        <v>陈英</v>
      </c>
      <c r="E1254" s="7" t="str">
        <f t="shared" si="57"/>
        <v>女</v>
      </c>
    </row>
    <row r="1255" spans="1:5" ht="30" customHeight="1">
      <c r="A1255" s="7">
        <v>1252</v>
      </c>
      <c r="B1255" s="7" t="str">
        <f>"38662022042523384439032"</f>
        <v>38662022042523384439032</v>
      </c>
      <c r="C1255" s="7" t="s">
        <v>13</v>
      </c>
      <c r="D1255" s="7" t="str">
        <f>"罗琼华"</f>
        <v>罗琼华</v>
      </c>
      <c r="E1255" s="7" t="str">
        <f t="shared" si="57"/>
        <v>女</v>
      </c>
    </row>
    <row r="1256" spans="1:5" ht="30" customHeight="1">
      <c r="A1256" s="7">
        <v>1253</v>
      </c>
      <c r="B1256" s="7" t="str">
        <f>"38662022042600170839071"</f>
        <v>38662022042600170839071</v>
      </c>
      <c r="C1256" s="7" t="s">
        <v>13</v>
      </c>
      <c r="D1256" s="7" t="str">
        <f>"黄钰斐"</f>
        <v>黄钰斐</v>
      </c>
      <c r="E1256" s="7" t="str">
        <f t="shared" si="57"/>
        <v>女</v>
      </c>
    </row>
    <row r="1257" spans="1:5" ht="30" customHeight="1">
      <c r="A1257" s="7">
        <v>1254</v>
      </c>
      <c r="B1257" s="7" t="str">
        <f>"38662022042607502239111"</f>
        <v>38662022042607502239111</v>
      </c>
      <c r="C1257" s="7" t="s">
        <v>13</v>
      </c>
      <c r="D1257" s="7" t="str">
        <f>"王晓雯"</f>
        <v>王晓雯</v>
      </c>
      <c r="E1257" s="7" t="str">
        <f t="shared" si="57"/>
        <v>女</v>
      </c>
    </row>
    <row r="1258" spans="1:5" ht="30" customHeight="1">
      <c r="A1258" s="7">
        <v>1255</v>
      </c>
      <c r="B1258" s="7" t="str">
        <f>"38662022042608030439116"</f>
        <v>38662022042608030439116</v>
      </c>
      <c r="C1258" s="7" t="s">
        <v>13</v>
      </c>
      <c r="D1258" s="7" t="str">
        <f>"黄晓丹"</f>
        <v>黄晓丹</v>
      </c>
      <c r="E1258" s="7" t="str">
        <f t="shared" si="57"/>
        <v>女</v>
      </c>
    </row>
    <row r="1259" spans="1:5" ht="30" customHeight="1">
      <c r="A1259" s="7">
        <v>1256</v>
      </c>
      <c r="B1259" s="7" t="str">
        <f>"38662022042608451439151"</f>
        <v>38662022042608451439151</v>
      </c>
      <c r="C1259" s="7" t="s">
        <v>13</v>
      </c>
      <c r="D1259" s="7" t="str">
        <f>"王光静"</f>
        <v>王光静</v>
      </c>
      <c r="E1259" s="7" t="str">
        <f t="shared" si="57"/>
        <v>女</v>
      </c>
    </row>
    <row r="1260" spans="1:5" ht="30" customHeight="1">
      <c r="A1260" s="7">
        <v>1257</v>
      </c>
      <c r="B1260" s="7" t="str">
        <f>"38662022042608583739166"</f>
        <v>38662022042608583739166</v>
      </c>
      <c r="C1260" s="7" t="s">
        <v>13</v>
      </c>
      <c r="D1260" s="7" t="str">
        <f>"陈春金"</f>
        <v>陈春金</v>
      </c>
      <c r="E1260" s="7" t="str">
        <f t="shared" si="57"/>
        <v>女</v>
      </c>
    </row>
    <row r="1261" spans="1:5" ht="30" customHeight="1">
      <c r="A1261" s="7">
        <v>1258</v>
      </c>
      <c r="B1261" s="7" t="str">
        <f>"38662022042609184239196"</f>
        <v>38662022042609184239196</v>
      </c>
      <c r="C1261" s="7" t="s">
        <v>13</v>
      </c>
      <c r="D1261" s="7" t="str">
        <f>"黄紫薇"</f>
        <v>黄紫薇</v>
      </c>
      <c r="E1261" s="7" t="str">
        <f t="shared" si="57"/>
        <v>女</v>
      </c>
    </row>
    <row r="1262" spans="1:5" ht="30" customHeight="1">
      <c r="A1262" s="7">
        <v>1259</v>
      </c>
      <c r="B1262" s="7" t="str">
        <f>"38662022042609502739242"</f>
        <v>38662022042609502739242</v>
      </c>
      <c r="C1262" s="7" t="s">
        <v>13</v>
      </c>
      <c r="D1262" s="7" t="str">
        <f>"沈桓妃"</f>
        <v>沈桓妃</v>
      </c>
      <c r="E1262" s="7" t="str">
        <f t="shared" si="57"/>
        <v>女</v>
      </c>
    </row>
    <row r="1263" spans="1:5" ht="30" customHeight="1">
      <c r="A1263" s="7">
        <v>1260</v>
      </c>
      <c r="B1263" s="7" t="str">
        <f>"38662022042610392539318"</f>
        <v>38662022042610392539318</v>
      </c>
      <c r="C1263" s="7" t="s">
        <v>13</v>
      </c>
      <c r="D1263" s="7" t="str">
        <f>"李小菲"</f>
        <v>李小菲</v>
      </c>
      <c r="E1263" s="7" t="str">
        <f t="shared" si="57"/>
        <v>女</v>
      </c>
    </row>
    <row r="1264" spans="1:5" ht="30" customHeight="1">
      <c r="A1264" s="7">
        <v>1261</v>
      </c>
      <c r="B1264" s="7" t="str">
        <f>"38662022042610594039351"</f>
        <v>38662022042610594039351</v>
      </c>
      <c r="C1264" s="7" t="s">
        <v>13</v>
      </c>
      <c r="D1264" s="7" t="str">
        <f>"符丽悦"</f>
        <v>符丽悦</v>
      </c>
      <c r="E1264" s="7" t="str">
        <f t="shared" si="57"/>
        <v>女</v>
      </c>
    </row>
    <row r="1265" spans="1:5" ht="30" customHeight="1">
      <c r="A1265" s="7">
        <v>1262</v>
      </c>
      <c r="B1265" s="7" t="str">
        <f>"38662022042611043039356"</f>
        <v>38662022042611043039356</v>
      </c>
      <c r="C1265" s="7" t="s">
        <v>13</v>
      </c>
      <c r="D1265" s="7" t="str">
        <f>"黄燕蕊"</f>
        <v>黄燕蕊</v>
      </c>
      <c r="E1265" s="7" t="str">
        <f t="shared" si="57"/>
        <v>女</v>
      </c>
    </row>
    <row r="1266" spans="1:5" ht="30" customHeight="1">
      <c r="A1266" s="7">
        <v>1263</v>
      </c>
      <c r="B1266" s="7" t="str">
        <f>"38662022042611064839359"</f>
        <v>38662022042611064839359</v>
      </c>
      <c r="C1266" s="7" t="s">
        <v>13</v>
      </c>
      <c r="D1266" s="7" t="str">
        <f>"杨丽芳"</f>
        <v>杨丽芳</v>
      </c>
      <c r="E1266" s="7" t="str">
        <f t="shared" si="57"/>
        <v>女</v>
      </c>
    </row>
    <row r="1267" spans="1:5" ht="30" customHeight="1">
      <c r="A1267" s="7">
        <v>1264</v>
      </c>
      <c r="B1267" s="7" t="str">
        <f>"38662022042611071939361"</f>
        <v>38662022042611071939361</v>
      </c>
      <c r="C1267" s="7" t="s">
        <v>13</v>
      </c>
      <c r="D1267" s="7" t="str">
        <f>"周静"</f>
        <v>周静</v>
      </c>
      <c r="E1267" s="7" t="str">
        <f t="shared" si="57"/>
        <v>女</v>
      </c>
    </row>
    <row r="1268" spans="1:5" ht="30" customHeight="1">
      <c r="A1268" s="7">
        <v>1265</v>
      </c>
      <c r="B1268" s="7" t="str">
        <f>"38662022042611084539364"</f>
        <v>38662022042611084539364</v>
      </c>
      <c r="C1268" s="7" t="s">
        <v>13</v>
      </c>
      <c r="D1268" s="7" t="str">
        <f>"李敏"</f>
        <v>李敏</v>
      </c>
      <c r="E1268" s="7" t="str">
        <f t="shared" si="57"/>
        <v>女</v>
      </c>
    </row>
    <row r="1269" spans="1:5" ht="30" customHeight="1">
      <c r="A1269" s="7">
        <v>1266</v>
      </c>
      <c r="B1269" s="7" t="str">
        <f>"38662022042611091639365"</f>
        <v>38662022042611091639365</v>
      </c>
      <c r="C1269" s="7" t="s">
        <v>13</v>
      </c>
      <c r="D1269" s="7" t="str">
        <f>"吴多祥"</f>
        <v>吴多祥</v>
      </c>
      <c r="E1269" s="7" t="str">
        <f>"男"</f>
        <v>男</v>
      </c>
    </row>
    <row r="1270" spans="1:5" ht="30" customHeight="1">
      <c r="A1270" s="7">
        <v>1267</v>
      </c>
      <c r="B1270" s="7" t="str">
        <f>"38662022042611332839395"</f>
        <v>38662022042611332839395</v>
      </c>
      <c r="C1270" s="7" t="s">
        <v>13</v>
      </c>
      <c r="D1270" s="7" t="str">
        <f>"李佳佳"</f>
        <v>李佳佳</v>
      </c>
      <c r="E1270" s="7" t="str">
        <f aca="true" t="shared" si="58" ref="E1270:E1300">"女"</f>
        <v>女</v>
      </c>
    </row>
    <row r="1271" spans="1:5" ht="30" customHeight="1">
      <c r="A1271" s="7">
        <v>1268</v>
      </c>
      <c r="B1271" s="7" t="str">
        <f>"38662022042611350939400"</f>
        <v>38662022042611350939400</v>
      </c>
      <c r="C1271" s="7" t="s">
        <v>13</v>
      </c>
      <c r="D1271" s="7" t="str">
        <f>"廖廷秋"</f>
        <v>廖廷秋</v>
      </c>
      <c r="E1271" s="7" t="str">
        <f t="shared" si="58"/>
        <v>女</v>
      </c>
    </row>
    <row r="1272" spans="1:5" ht="30" customHeight="1">
      <c r="A1272" s="7">
        <v>1269</v>
      </c>
      <c r="B1272" s="7" t="str">
        <f>"38662022042611373839405"</f>
        <v>38662022042611373839405</v>
      </c>
      <c r="C1272" s="7" t="s">
        <v>13</v>
      </c>
      <c r="D1272" s="7" t="str">
        <f>"叶丽雨"</f>
        <v>叶丽雨</v>
      </c>
      <c r="E1272" s="7" t="str">
        <f t="shared" si="58"/>
        <v>女</v>
      </c>
    </row>
    <row r="1273" spans="1:5" ht="30" customHeight="1">
      <c r="A1273" s="7">
        <v>1270</v>
      </c>
      <c r="B1273" s="7" t="str">
        <f>"38662022042611405039408"</f>
        <v>38662022042611405039408</v>
      </c>
      <c r="C1273" s="7" t="s">
        <v>13</v>
      </c>
      <c r="D1273" s="7" t="str">
        <f>"王丹"</f>
        <v>王丹</v>
      </c>
      <c r="E1273" s="7" t="str">
        <f t="shared" si="58"/>
        <v>女</v>
      </c>
    </row>
    <row r="1274" spans="1:5" ht="30" customHeight="1">
      <c r="A1274" s="7">
        <v>1271</v>
      </c>
      <c r="B1274" s="7" t="str">
        <f>"38662022042612141039457"</f>
        <v>38662022042612141039457</v>
      </c>
      <c r="C1274" s="7" t="s">
        <v>13</v>
      </c>
      <c r="D1274" s="7" t="str">
        <f>"魏妍怡"</f>
        <v>魏妍怡</v>
      </c>
      <c r="E1274" s="7" t="str">
        <f t="shared" si="58"/>
        <v>女</v>
      </c>
    </row>
    <row r="1275" spans="1:5" ht="30" customHeight="1">
      <c r="A1275" s="7">
        <v>1272</v>
      </c>
      <c r="B1275" s="7" t="str">
        <f>"38662022042612241439466"</f>
        <v>38662022042612241439466</v>
      </c>
      <c r="C1275" s="7" t="s">
        <v>13</v>
      </c>
      <c r="D1275" s="7" t="str">
        <f>"黄小芳"</f>
        <v>黄小芳</v>
      </c>
      <c r="E1275" s="7" t="str">
        <f t="shared" si="58"/>
        <v>女</v>
      </c>
    </row>
    <row r="1276" spans="1:5" ht="30" customHeight="1">
      <c r="A1276" s="7">
        <v>1273</v>
      </c>
      <c r="B1276" s="7" t="str">
        <f>"38662022042612254739468"</f>
        <v>38662022042612254739468</v>
      </c>
      <c r="C1276" s="7" t="s">
        <v>13</v>
      </c>
      <c r="D1276" s="7" t="str">
        <f>"严滢"</f>
        <v>严滢</v>
      </c>
      <c r="E1276" s="7" t="str">
        <f t="shared" si="58"/>
        <v>女</v>
      </c>
    </row>
    <row r="1277" spans="1:5" ht="30" customHeight="1">
      <c r="A1277" s="7">
        <v>1274</v>
      </c>
      <c r="B1277" s="7" t="str">
        <f>"38662022042612442339492"</f>
        <v>38662022042612442339492</v>
      </c>
      <c r="C1277" s="7" t="s">
        <v>13</v>
      </c>
      <c r="D1277" s="7" t="str">
        <f>"范舒宁"</f>
        <v>范舒宁</v>
      </c>
      <c r="E1277" s="7" t="str">
        <f t="shared" si="58"/>
        <v>女</v>
      </c>
    </row>
    <row r="1278" spans="1:5" ht="30" customHeight="1">
      <c r="A1278" s="7">
        <v>1275</v>
      </c>
      <c r="B1278" s="7" t="str">
        <f>"38662022042613021639518"</f>
        <v>38662022042613021639518</v>
      </c>
      <c r="C1278" s="7" t="s">
        <v>13</v>
      </c>
      <c r="D1278" s="7" t="str">
        <f>"吴绮萱"</f>
        <v>吴绮萱</v>
      </c>
      <c r="E1278" s="7" t="str">
        <f t="shared" si="58"/>
        <v>女</v>
      </c>
    </row>
    <row r="1279" spans="1:5" ht="30" customHeight="1">
      <c r="A1279" s="7">
        <v>1276</v>
      </c>
      <c r="B1279" s="7" t="str">
        <f>"38662022042614221239587"</f>
        <v>38662022042614221239587</v>
      </c>
      <c r="C1279" s="7" t="s">
        <v>13</v>
      </c>
      <c r="D1279" s="7" t="str">
        <f>"陈丽达"</f>
        <v>陈丽达</v>
      </c>
      <c r="E1279" s="7" t="str">
        <f t="shared" si="58"/>
        <v>女</v>
      </c>
    </row>
    <row r="1280" spans="1:5" ht="30" customHeight="1">
      <c r="A1280" s="7">
        <v>1277</v>
      </c>
      <c r="B1280" s="7" t="str">
        <f>"38662022042614583739627"</f>
        <v>38662022042614583739627</v>
      </c>
      <c r="C1280" s="7" t="s">
        <v>13</v>
      </c>
      <c r="D1280" s="7" t="str">
        <f>"陈雪"</f>
        <v>陈雪</v>
      </c>
      <c r="E1280" s="7" t="str">
        <f t="shared" si="58"/>
        <v>女</v>
      </c>
    </row>
    <row r="1281" spans="1:5" ht="30" customHeight="1">
      <c r="A1281" s="7">
        <v>1278</v>
      </c>
      <c r="B1281" s="7" t="str">
        <f>"38662022042615075639648"</f>
        <v>38662022042615075639648</v>
      </c>
      <c r="C1281" s="7" t="s">
        <v>13</v>
      </c>
      <c r="D1281" s="7" t="str">
        <f>"王婉媛"</f>
        <v>王婉媛</v>
      </c>
      <c r="E1281" s="7" t="str">
        <f t="shared" si="58"/>
        <v>女</v>
      </c>
    </row>
    <row r="1282" spans="1:5" ht="30" customHeight="1">
      <c r="A1282" s="7">
        <v>1279</v>
      </c>
      <c r="B1282" s="7" t="str">
        <f>"38662022042615122339657"</f>
        <v>38662022042615122339657</v>
      </c>
      <c r="C1282" s="7" t="s">
        <v>13</v>
      </c>
      <c r="D1282" s="7" t="str">
        <f>"何井美"</f>
        <v>何井美</v>
      </c>
      <c r="E1282" s="7" t="str">
        <f t="shared" si="58"/>
        <v>女</v>
      </c>
    </row>
    <row r="1283" spans="1:5" ht="30" customHeight="1">
      <c r="A1283" s="7">
        <v>1280</v>
      </c>
      <c r="B1283" s="7" t="str">
        <f>"38662022042615124539658"</f>
        <v>38662022042615124539658</v>
      </c>
      <c r="C1283" s="7" t="s">
        <v>13</v>
      </c>
      <c r="D1283" s="7" t="str">
        <f>"吴天桂"</f>
        <v>吴天桂</v>
      </c>
      <c r="E1283" s="7" t="str">
        <f t="shared" si="58"/>
        <v>女</v>
      </c>
    </row>
    <row r="1284" spans="1:5" ht="30" customHeight="1">
      <c r="A1284" s="7">
        <v>1281</v>
      </c>
      <c r="B1284" s="7" t="str">
        <f>"38662022042615252039689"</f>
        <v>38662022042615252039689</v>
      </c>
      <c r="C1284" s="7" t="s">
        <v>13</v>
      </c>
      <c r="D1284" s="7" t="str">
        <f>"文常慧"</f>
        <v>文常慧</v>
      </c>
      <c r="E1284" s="7" t="str">
        <f t="shared" si="58"/>
        <v>女</v>
      </c>
    </row>
    <row r="1285" spans="1:5" ht="30" customHeight="1">
      <c r="A1285" s="7">
        <v>1282</v>
      </c>
      <c r="B1285" s="7" t="str">
        <f>"38662022042615315239698"</f>
        <v>38662022042615315239698</v>
      </c>
      <c r="C1285" s="7" t="s">
        <v>13</v>
      </c>
      <c r="D1285" s="7" t="str">
        <f>"周让强"</f>
        <v>周让强</v>
      </c>
      <c r="E1285" s="7" t="str">
        <f t="shared" si="58"/>
        <v>女</v>
      </c>
    </row>
    <row r="1286" spans="1:5" ht="30" customHeight="1">
      <c r="A1286" s="7">
        <v>1283</v>
      </c>
      <c r="B1286" s="7" t="str">
        <f>"38662022042615331939703"</f>
        <v>38662022042615331939703</v>
      </c>
      <c r="C1286" s="7" t="s">
        <v>13</v>
      </c>
      <c r="D1286" s="7" t="str">
        <f>"羊彩虹"</f>
        <v>羊彩虹</v>
      </c>
      <c r="E1286" s="7" t="str">
        <f t="shared" si="58"/>
        <v>女</v>
      </c>
    </row>
    <row r="1287" spans="1:5" ht="30" customHeight="1">
      <c r="A1287" s="7">
        <v>1284</v>
      </c>
      <c r="B1287" s="7" t="str">
        <f>"38662022042615375639712"</f>
        <v>38662022042615375639712</v>
      </c>
      <c r="C1287" s="7" t="s">
        <v>13</v>
      </c>
      <c r="D1287" s="7" t="str">
        <f>"陈颖"</f>
        <v>陈颖</v>
      </c>
      <c r="E1287" s="7" t="str">
        <f t="shared" si="58"/>
        <v>女</v>
      </c>
    </row>
    <row r="1288" spans="1:5" ht="30" customHeight="1">
      <c r="A1288" s="7">
        <v>1285</v>
      </c>
      <c r="B1288" s="7" t="str">
        <f>"38662022042615491239727"</f>
        <v>38662022042615491239727</v>
      </c>
      <c r="C1288" s="7" t="s">
        <v>13</v>
      </c>
      <c r="D1288" s="7" t="str">
        <f>"郑惠丹"</f>
        <v>郑惠丹</v>
      </c>
      <c r="E1288" s="7" t="str">
        <f t="shared" si="58"/>
        <v>女</v>
      </c>
    </row>
    <row r="1289" spans="1:5" ht="30" customHeight="1">
      <c r="A1289" s="7">
        <v>1286</v>
      </c>
      <c r="B1289" s="7" t="str">
        <f>"38662022042615501139730"</f>
        <v>38662022042615501139730</v>
      </c>
      <c r="C1289" s="7" t="s">
        <v>13</v>
      </c>
      <c r="D1289" s="7" t="str">
        <f>"邓婉靖"</f>
        <v>邓婉靖</v>
      </c>
      <c r="E1289" s="7" t="str">
        <f t="shared" si="58"/>
        <v>女</v>
      </c>
    </row>
    <row r="1290" spans="1:5" ht="30" customHeight="1">
      <c r="A1290" s="7">
        <v>1287</v>
      </c>
      <c r="B1290" s="7" t="str">
        <f>"38662022042615560139746"</f>
        <v>38662022042615560139746</v>
      </c>
      <c r="C1290" s="7" t="s">
        <v>13</v>
      </c>
      <c r="D1290" s="7" t="str">
        <f>"周聪颖"</f>
        <v>周聪颖</v>
      </c>
      <c r="E1290" s="7" t="str">
        <f t="shared" si="58"/>
        <v>女</v>
      </c>
    </row>
    <row r="1291" spans="1:5" ht="30" customHeight="1">
      <c r="A1291" s="7">
        <v>1288</v>
      </c>
      <c r="B1291" s="7" t="str">
        <f>"38662022042615570739750"</f>
        <v>38662022042615570739750</v>
      </c>
      <c r="C1291" s="7" t="s">
        <v>13</v>
      </c>
      <c r="D1291" s="7" t="str">
        <f>"邢敏"</f>
        <v>邢敏</v>
      </c>
      <c r="E1291" s="7" t="str">
        <f t="shared" si="58"/>
        <v>女</v>
      </c>
    </row>
    <row r="1292" spans="1:5" ht="30" customHeight="1">
      <c r="A1292" s="7">
        <v>1289</v>
      </c>
      <c r="B1292" s="7" t="str">
        <f>"38662022042616022039758"</f>
        <v>38662022042616022039758</v>
      </c>
      <c r="C1292" s="7" t="s">
        <v>13</v>
      </c>
      <c r="D1292" s="7" t="str">
        <f>"符陈静"</f>
        <v>符陈静</v>
      </c>
      <c r="E1292" s="7" t="str">
        <f t="shared" si="58"/>
        <v>女</v>
      </c>
    </row>
    <row r="1293" spans="1:5" ht="30" customHeight="1">
      <c r="A1293" s="7">
        <v>1290</v>
      </c>
      <c r="B1293" s="7" t="str">
        <f>"38662022042616254739800"</f>
        <v>38662022042616254739800</v>
      </c>
      <c r="C1293" s="7" t="s">
        <v>13</v>
      </c>
      <c r="D1293" s="7" t="str">
        <f>"王小美"</f>
        <v>王小美</v>
      </c>
      <c r="E1293" s="7" t="str">
        <f t="shared" si="58"/>
        <v>女</v>
      </c>
    </row>
    <row r="1294" spans="1:5" ht="30" customHeight="1">
      <c r="A1294" s="7">
        <v>1291</v>
      </c>
      <c r="B1294" s="7" t="str">
        <f>"38662022042616264939804"</f>
        <v>38662022042616264939804</v>
      </c>
      <c r="C1294" s="7" t="s">
        <v>13</v>
      </c>
      <c r="D1294" s="7" t="str">
        <f>"蔡颖"</f>
        <v>蔡颖</v>
      </c>
      <c r="E1294" s="7" t="str">
        <f t="shared" si="58"/>
        <v>女</v>
      </c>
    </row>
    <row r="1295" spans="1:5" ht="30" customHeight="1">
      <c r="A1295" s="7">
        <v>1292</v>
      </c>
      <c r="B1295" s="7" t="str">
        <f>"38662022042618004039954"</f>
        <v>38662022042618004039954</v>
      </c>
      <c r="C1295" s="7" t="s">
        <v>13</v>
      </c>
      <c r="D1295" s="7" t="str">
        <f>"唐传婷"</f>
        <v>唐传婷</v>
      </c>
      <c r="E1295" s="7" t="str">
        <f t="shared" si="58"/>
        <v>女</v>
      </c>
    </row>
    <row r="1296" spans="1:5" ht="30" customHeight="1">
      <c r="A1296" s="7">
        <v>1293</v>
      </c>
      <c r="B1296" s="7" t="str">
        <f>"38662022042618174139970"</f>
        <v>38662022042618174139970</v>
      </c>
      <c r="C1296" s="7" t="s">
        <v>13</v>
      </c>
      <c r="D1296" s="7" t="str">
        <f>"黄江南"</f>
        <v>黄江南</v>
      </c>
      <c r="E1296" s="7" t="str">
        <f t="shared" si="58"/>
        <v>女</v>
      </c>
    </row>
    <row r="1297" spans="1:5" ht="30" customHeight="1">
      <c r="A1297" s="7">
        <v>1294</v>
      </c>
      <c r="B1297" s="7" t="str">
        <f>"38662022042618444440006"</f>
        <v>38662022042618444440006</v>
      </c>
      <c r="C1297" s="7" t="s">
        <v>13</v>
      </c>
      <c r="D1297" s="7" t="str">
        <f>"吴灵"</f>
        <v>吴灵</v>
      </c>
      <c r="E1297" s="7" t="str">
        <f t="shared" si="58"/>
        <v>女</v>
      </c>
    </row>
    <row r="1298" spans="1:5" ht="30" customHeight="1">
      <c r="A1298" s="7">
        <v>1295</v>
      </c>
      <c r="B1298" s="7" t="str">
        <f>"38662022042619093740026"</f>
        <v>38662022042619093740026</v>
      </c>
      <c r="C1298" s="7" t="s">
        <v>13</v>
      </c>
      <c r="D1298" s="7" t="str">
        <f>"冯海颜"</f>
        <v>冯海颜</v>
      </c>
      <c r="E1298" s="7" t="str">
        <f t="shared" si="58"/>
        <v>女</v>
      </c>
    </row>
    <row r="1299" spans="1:5" ht="30" customHeight="1">
      <c r="A1299" s="7">
        <v>1296</v>
      </c>
      <c r="B1299" s="7" t="str">
        <f>"38662022042619254340051"</f>
        <v>38662022042619254340051</v>
      </c>
      <c r="C1299" s="7" t="s">
        <v>13</v>
      </c>
      <c r="D1299" s="7" t="str">
        <f>"王来凤"</f>
        <v>王来凤</v>
      </c>
      <c r="E1299" s="7" t="str">
        <f t="shared" si="58"/>
        <v>女</v>
      </c>
    </row>
    <row r="1300" spans="1:5" ht="30" customHeight="1">
      <c r="A1300" s="7">
        <v>1297</v>
      </c>
      <c r="B1300" s="7" t="str">
        <f>"38662022042619263240053"</f>
        <v>38662022042619263240053</v>
      </c>
      <c r="C1300" s="7" t="s">
        <v>13</v>
      </c>
      <c r="D1300" s="7" t="str">
        <f>"徐传力"</f>
        <v>徐传力</v>
      </c>
      <c r="E1300" s="7" t="str">
        <f t="shared" si="58"/>
        <v>女</v>
      </c>
    </row>
    <row r="1301" spans="1:5" ht="30" customHeight="1">
      <c r="A1301" s="7">
        <v>1298</v>
      </c>
      <c r="B1301" s="7" t="str">
        <f>"38662022042619592040086"</f>
        <v>38662022042619592040086</v>
      </c>
      <c r="C1301" s="7" t="s">
        <v>13</v>
      </c>
      <c r="D1301" s="7" t="str">
        <f>"盘腾斌"</f>
        <v>盘腾斌</v>
      </c>
      <c r="E1301" s="7" t="str">
        <f>"男"</f>
        <v>男</v>
      </c>
    </row>
    <row r="1302" spans="1:5" ht="30" customHeight="1">
      <c r="A1302" s="7">
        <v>1299</v>
      </c>
      <c r="B1302" s="7" t="str">
        <f>"38662022042620085540104"</f>
        <v>38662022042620085540104</v>
      </c>
      <c r="C1302" s="7" t="s">
        <v>13</v>
      </c>
      <c r="D1302" s="7" t="str">
        <f>"杨怀"</f>
        <v>杨怀</v>
      </c>
      <c r="E1302" s="7" t="str">
        <f>"女"</f>
        <v>女</v>
      </c>
    </row>
    <row r="1303" spans="1:5" ht="30" customHeight="1">
      <c r="A1303" s="7">
        <v>1300</v>
      </c>
      <c r="B1303" s="7" t="str">
        <f>"38662022042620151540115"</f>
        <v>38662022042620151540115</v>
      </c>
      <c r="C1303" s="7" t="s">
        <v>13</v>
      </c>
      <c r="D1303" s="7" t="str">
        <f>"潘科言"</f>
        <v>潘科言</v>
      </c>
      <c r="E1303" s="7" t="str">
        <f>"女"</f>
        <v>女</v>
      </c>
    </row>
    <row r="1304" spans="1:5" ht="30" customHeight="1">
      <c r="A1304" s="7">
        <v>1301</v>
      </c>
      <c r="B1304" s="7" t="str">
        <f>"38662022042620173140118"</f>
        <v>38662022042620173140118</v>
      </c>
      <c r="C1304" s="7" t="s">
        <v>13</v>
      </c>
      <c r="D1304" s="7" t="str">
        <f>"李兴健"</f>
        <v>李兴健</v>
      </c>
      <c r="E1304" s="7" t="str">
        <f>"男"</f>
        <v>男</v>
      </c>
    </row>
    <row r="1305" spans="1:5" ht="30" customHeight="1">
      <c r="A1305" s="7">
        <v>1302</v>
      </c>
      <c r="B1305" s="7" t="str">
        <f>"38662022042620382240155"</f>
        <v>38662022042620382240155</v>
      </c>
      <c r="C1305" s="7" t="s">
        <v>13</v>
      </c>
      <c r="D1305" s="7" t="str">
        <f>"冯琦"</f>
        <v>冯琦</v>
      </c>
      <c r="E1305" s="7" t="str">
        <f aca="true" t="shared" si="59" ref="E1305:E1322">"女"</f>
        <v>女</v>
      </c>
    </row>
    <row r="1306" spans="1:5" ht="30" customHeight="1">
      <c r="A1306" s="7">
        <v>1303</v>
      </c>
      <c r="B1306" s="7" t="str">
        <f>"38662022042620472540167"</f>
        <v>38662022042620472540167</v>
      </c>
      <c r="C1306" s="7" t="s">
        <v>13</v>
      </c>
      <c r="D1306" s="7" t="str">
        <f>"颜光漫"</f>
        <v>颜光漫</v>
      </c>
      <c r="E1306" s="7" t="str">
        <f t="shared" si="59"/>
        <v>女</v>
      </c>
    </row>
    <row r="1307" spans="1:5" ht="30" customHeight="1">
      <c r="A1307" s="7">
        <v>1304</v>
      </c>
      <c r="B1307" s="7" t="str">
        <f>"38662022042620574140185"</f>
        <v>38662022042620574140185</v>
      </c>
      <c r="C1307" s="7" t="s">
        <v>13</v>
      </c>
      <c r="D1307" s="7" t="str">
        <f>"林小丽"</f>
        <v>林小丽</v>
      </c>
      <c r="E1307" s="7" t="str">
        <f t="shared" si="59"/>
        <v>女</v>
      </c>
    </row>
    <row r="1308" spans="1:5" ht="30" customHeight="1">
      <c r="A1308" s="7">
        <v>1305</v>
      </c>
      <c r="B1308" s="7" t="str">
        <f>"38662022042620585940187"</f>
        <v>38662022042620585940187</v>
      </c>
      <c r="C1308" s="7" t="s">
        <v>13</v>
      </c>
      <c r="D1308" s="7" t="str">
        <f>"王川淇"</f>
        <v>王川淇</v>
      </c>
      <c r="E1308" s="7" t="str">
        <f t="shared" si="59"/>
        <v>女</v>
      </c>
    </row>
    <row r="1309" spans="1:5" ht="30" customHeight="1">
      <c r="A1309" s="7">
        <v>1306</v>
      </c>
      <c r="B1309" s="7" t="str">
        <f>"38662022042621055540201"</f>
        <v>38662022042621055540201</v>
      </c>
      <c r="C1309" s="7" t="s">
        <v>13</v>
      </c>
      <c r="D1309" s="7" t="str">
        <f>"林妍妙"</f>
        <v>林妍妙</v>
      </c>
      <c r="E1309" s="7" t="str">
        <f t="shared" si="59"/>
        <v>女</v>
      </c>
    </row>
    <row r="1310" spans="1:5" ht="30" customHeight="1">
      <c r="A1310" s="7">
        <v>1307</v>
      </c>
      <c r="B1310" s="7" t="str">
        <f>"38662022042621055540202"</f>
        <v>38662022042621055540202</v>
      </c>
      <c r="C1310" s="7" t="s">
        <v>13</v>
      </c>
      <c r="D1310" s="7" t="str">
        <f>"何有娣"</f>
        <v>何有娣</v>
      </c>
      <c r="E1310" s="7" t="str">
        <f t="shared" si="59"/>
        <v>女</v>
      </c>
    </row>
    <row r="1311" spans="1:5" ht="30" customHeight="1">
      <c r="A1311" s="7">
        <v>1308</v>
      </c>
      <c r="B1311" s="7" t="str">
        <f>"38662022042621171340223"</f>
        <v>38662022042621171340223</v>
      </c>
      <c r="C1311" s="7" t="s">
        <v>13</v>
      </c>
      <c r="D1311" s="7" t="str">
        <f>"林思婷"</f>
        <v>林思婷</v>
      </c>
      <c r="E1311" s="7" t="str">
        <f t="shared" si="59"/>
        <v>女</v>
      </c>
    </row>
    <row r="1312" spans="1:5" ht="30" customHeight="1">
      <c r="A1312" s="7">
        <v>1309</v>
      </c>
      <c r="B1312" s="7" t="str">
        <f>"38662022042621253940240"</f>
        <v>38662022042621253940240</v>
      </c>
      <c r="C1312" s="7" t="s">
        <v>13</v>
      </c>
      <c r="D1312" s="7" t="str">
        <f>"吴元碧"</f>
        <v>吴元碧</v>
      </c>
      <c r="E1312" s="7" t="str">
        <f t="shared" si="59"/>
        <v>女</v>
      </c>
    </row>
    <row r="1313" spans="1:5" ht="30" customHeight="1">
      <c r="A1313" s="7">
        <v>1310</v>
      </c>
      <c r="B1313" s="7" t="str">
        <f>"38662022042621351840257"</f>
        <v>38662022042621351840257</v>
      </c>
      <c r="C1313" s="7" t="s">
        <v>13</v>
      </c>
      <c r="D1313" s="7" t="str">
        <f>"李杏"</f>
        <v>李杏</v>
      </c>
      <c r="E1313" s="7" t="str">
        <f t="shared" si="59"/>
        <v>女</v>
      </c>
    </row>
    <row r="1314" spans="1:5" ht="30" customHeight="1">
      <c r="A1314" s="7">
        <v>1311</v>
      </c>
      <c r="B1314" s="7" t="str">
        <f>"38662022042622053940303"</f>
        <v>38662022042622053940303</v>
      </c>
      <c r="C1314" s="7" t="s">
        <v>13</v>
      </c>
      <c r="D1314" s="7" t="str">
        <f>"何荣芬"</f>
        <v>何荣芬</v>
      </c>
      <c r="E1314" s="7" t="str">
        <f t="shared" si="59"/>
        <v>女</v>
      </c>
    </row>
    <row r="1315" spans="1:5" ht="30" customHeight="1">
      <c r="A1315" s="7">
        <v>1312</v>
      </c>
      <c r="B1315" s="7" t="str">
        <f>"38662022042622175140319"</f>
        <v>38662022042622175140319</v>
      </c>
      <c r="C1315" s="7" t="s">
        <v>13</v>
      </c>
      <c r="D1315" s="7" t="str">
        <f>"陈艳冰"</f>
        <v>陈艳冰</v>
      </c>
      <c r="E1315" s="7" t="str">
        <f t="shared" si="59"/>
        <v>女</v>
      </c>
    </row>
    <row r="1316" spans="1:5" ht="30" customHeight="1">
      <c r="A1316" s="7">
        <v>1313</v>
      </c>
      <c r="B1316" s="7" t="str">
        <f>"38662022042622211240323"</f>
        <v>38662022042622211240323</v>
      </c>
      <c r="C1316" s="7" t="s">
        <v>13</v>
      </c>
      <c r="D1316" s="7" t="str">
        <f>"李永佳"</f>
        <v>李永佳</v>
      </c>
      <c r="E1316" s="7" t="str">
        <f t="shared" si="59"/>
        <v>女</v>
      </c>
    </row>
    <row r="1317" spans="1:5" ht="30" customHeight="1">
      <c r="A1317" s="7">
        <v>1314</v>
      </c>
      <c r="B1317" s="7" t="str">
        <f>"38662022042622212740325"</f>
        <v>38662022042622212740325</v>
      </c>
      <c r="C1317" s="7" t="s">
        <v>13</v>
      </c>
      <c r="D1317" s="7" t="str">
        <f>"梁珊萍"</f>
        <v>梁珊萍</v>
      </c>
      <c r="E1317" s="7" t="str">
        <f t="shared" si="59"/>
        <v>女</v>
      </c>
    </row>
    <row r="1318" spans="1:5" ht="30" customHeight="1">
      <c r="A1318" s="7">
        <v>1315</v>
      </c>
      <c r="B1318" s="7" t="str">
        <f>"38662022042622273840337"</f>
        <v>38662022042622273840337</v>
      </c>
      <c r="C1318" s="7" t="s">
        <v>13</v>
      </c>
      <c r="D1318" s="7" t="str">
        <f>"陈妍婷"</f>
        <v>陈妍婷</v>
      </c>
      <c r="E1318" s="7" t="str">
        <f t="shared" si="59"/>
        <v>女</v>
      </c>
    </row>
    <row r="1319" spans="1:5" ht="30" customHeight="1">
      <c r="A1319" s="7">
        <v>1316</v>
      </c>
      <c r="B1319" s="7" t="str">
        <f>"38662022042622414840364"</f>
        <v>38662022042622414840364</v>
      </c>
      <c r="C1319" s="7" t="s">
        <v>13</v>
      </c>
      <c r="D1319" s="7" t="str">
        <f>"陈裕娴"</f>
        <v>陈裕娴</v>
      </c>
      <c r="E1319" s="7" t="str">
        <f t="shared" si="59"/>
        <v>女</v>
      </c>
    </row>
    <row r="1320" spans="1:5" ht="30" customHeight="1">
      <c r="A1320" s="7">
        <v>1317</v>
      </c>
      <c r="B1320" s="7" t="str">
        <f>"38662022042622505640377"</f>
        <v>38662022042622505640377</v>
      </c>
      <c r="C1320" s="7" t="s">
        <v>13</v>
      </c>
      <c r="D1320" s="7" t="str">
        <f>"吴露婷"</f>
        <v>吴露婷</v>
      </c>
      <c r="E1320" s="7" t="str">
        <f t="shared" si="59"/>
        <v>女</v>
      </c>
    </row>
    <row r="1321" spans="1:5" ht="30" customHeight="1">
      <c r="A1321" s="7">
        <v>1318</v>
      </c>
      <c r="B1321" s="7" t="str">
        <f>"38662022042622555240385"</f>
        <v>38662022042622555240385</v>
      </c>
      <c r="C1321" s="7" t="s">
        <v>13</v>
      </c>
      <c r="D1321" s="7" t="str">
        <f>"刘梅金"</f>
        <v>刘梅金</v>
      </c>
      <c r="E1321" s="7" t="str">
        <f t="shared" si="59"/>
        <v>女</v>
      </c>
    </row>
    <row r="1322" spans="1:5" ht="30" customHeight="1">
      <c r="A1322" s="7">
        <v>1319</v>
      </c>
      <c r="B1322" s="7" t="str">
        <f>"38662022042622592540395"</f>
        <v>38662022042622592540395</v>
      </c>
      <c r="C1322" s="7" t="s">
        <v>13</v>
      </c>
      <c r="D1322" s="7" t="str">
        <f>"吴翠英"</f>
        <v>吴翠英</v>
      </c>
      <c r="E1322" s="7" t="str">
        <f t="shared" si="59"/>
        <v>女</v>
      </c>
    </row>
    <row r="1323" spans="1:5" ht="30" customHeight="1">
      <c r="A1323" s="7">
        <v>1320</v>
      </c>
      <c r="B1323" s="7" t="str">
        <f>"38662022042623095540417"</f>
        <v>38662022042623095540417</v>
      </c>
      <c r="C1323" s="7" t="s">
        <v>13</v>
      </c>
      <c r="D1323" s="7" t="str">
        <f>"莫学友"</f>
        <v>莫学友</v>
      </c>
      <c r="E1323" s="7" t="str">
        <f>"男"</f>
        <v>男</v>
      </c>
    </row>
    <row r="1324" spans="1:5" ht="30" customHeight="1">
      <c r="A1324" s="7">
        <v>1321</v>
      </c>
      <c r="B1324" s="7" t="str">
        <f>"38662022042707385440566"</f>
        <v>38662022042707385440566</v>
      </c>
      <c r="C1324" s="7" t="s">
        <v>13</v>
      </c>
      <c r="D1324" s="7" t="str">
        <f>"庞三妹"</f>
        <v>庞三妹</v>
      </c>
      <c r="E1324" s="7" t="str">
        <f aca="true" t="shared" si="60" ref="E1324:E1330">"女"</f>
        <v>女</v>
      </c>
    </row>
    <row r="1325" spans="1:5" ht="30" customHeight="1">
      <c r="A1325" s="7">
        <v>1322</v>
      </c>
      <c r="B1325" s="7" t="str">
        <f>"38662022042708353240606"</f>
        <v>38662022042708353240606</v>
      </c>
      <c r="C1325" s="7" t="s">
        <v>13</v>
      </c>
      <c r="D1325" s="7" t="str">
        <f>"牛木爱"</f>
        <v>牛木爱</v>
      </c>
      <c r="E1325" s="7" t="str">
        <f t="shared" si="60"/>
        <v>女</v>
      </c>
    </row>
    <row r="1326" spans="1:5" ht="30" customHeight="1">
      <c r="A1326" s="7">
        <v>1323</v>
      </c>
      <c r="B1326" s="7" t="str">
        <f>"38662022042708422440616"</f>
        <v>38662022042708422440616</v>
      </c>
      <c r="C1326" s="7" t="s">
        <v>13</v>
      </c>
      <c r="D1326" s="7" t="str">
        <f>"蔡文秀"</f>
        <v>蔡文秀</v>
      </c>
      <c r="E1326" s="7" t="str">
        <f t="shared" si="60"/>
        <v>女</v>
      </c>
    </row>
    <row r="1327" spans="1:5" ht="30" customHeight="1">
      <c r="A1327" s="7">
        <v>1324</v>
      </c>
      <c r="B1327" s="7" t="str">
        <f>"38662022042709044840724"</f>
        <v>38662022042709044840724</v>
      </c>
      <c r="C1327" s="7" t="s">
        <v>13</v>
      </c>
      <c r="D1327" s="7" t="str">
        <f>"郭文婷"</f>
        <v>郭文婷</v>
      </c>
      <c r="E1327" s="7" t="str">
        <f t="shared" si="60"/>
        <v>女</v>
      </c>
    </row>
    <row r="1328" spans="1:5" ht="30" customHeight="1">
      <c r="A1328" s="7">
        <v>1325</v>
      </c>
      <c r="B1328" s="7" t="str">
        <f>"38662022042709150440869"</f>
        <v>38662022042709150440869</v>
      </c>
      <c r="C1328" s="7" t="s">
        <v>13</v>
      </c>
      <c r="D1328" s="7" t="str">
        <f>"李娜"</f>
        <v>李娜</v>
      </c>
      <c r="E1328" s="7" t="str">
        <f t="shared" si="60"/>
        <v>女</v>
      </c>
    </row>
    <row r="1329" spans="1:5" ht="30" customHeight="1">
      <c r="A1329" s="7">
        <v>1326</v>
      </c>
      <c r="B1329" s="7" t="str">
        <f>"38662022042709150740870"</f>
        <v>38662022042709150740870</v>
      </c>
      <c r="C1329" s="7" t="s">
        <v>13</v>
      </c>
      <c r="D1329" s="7" t="str">
        <f>"陈燕妮"</f>
        <v>陈燕妮</v>
      </c>
      <c r="E1329" s="7" t="str">
        <f t="shared" si="60"/>
        <v>女</v>
      </c>
    </row>
    <row r="1330" spans="1:5" ht="30" customHeight="1">
      <c r="A1330" s="7">
        <v>1327</v>
      </c>
      <c r="B1330" s="7" t="str">
        <f>"38662022042709183940905"</f>
        <v>38662022042709183940905</v>
      </c>
      <c r="C1330" s="7" t="s">
        <v>13</v>
      </c>
      <c r="D1330" s="7" t="str">
        <f>"石冬梅"</f>
        <v>石冬梅</v>
      </c>
      <c r="E1330" s="7" t="str">
        <f t="shared" si="60"/>
        <v>女</v>
      </c>
    </row>
    <row r="1331" spans="1:5" ht="30" customHeight="1">
      <c r="A1331" s="7">
        <v>1328</v>
      </c>
      <c r="B1331" s="7" t="str">
        <f>"38662022042709450941261"</f>
        <v>38662022042709450941261</v>
      </c>
      <c r="C1331" s="7" t="s">
        <v>13</v>
      </c>
      <c r="D1331" s="7" t="str">
        <f>"甘江瑶"</f>
        <v>甘江瑶</v>
      </c>
      <c r="E1331" s="7" t="str">
        <f>"男"</f>
        <v>男</v>
      </c>
    </row>
    <row r="1332" spans="1:5" ht="30" customHeight="1">
      <c r="A1332" s="7">
        <v>1329</v>
      </c>
      <c r="B1332" s="7" t="str">
        <f>"38662022042710301141763"</f>
        <v>38662022042710301141763</v>
      </c>
      <c r="C1332" s="7" t="s">
        <v>13</v>
      </c>
      <c r="D1332" s="7" t="str">
        <f>"李映慧"</f>
        <v>李映慧</v>
      </c>
      <c r="E1332" s="7" t="str">
        <f aca="true" t="shared" si="61" ref="E1332:E1342">"女"</f>
        <v>女</v>
      </c>
    </row>
    <row r="1333" spans="1:5" ht="30" customHeight="1">
      <c r="A1333" s="7">
        <v>1330</v>
      </c>
      <c r="B1333" s="7" t="str">
        <f>"38662022042710531442015"</f>
        <v>38662022042710531442015</v>
      </c>
      <c r="C1333" s="7" t="s">
        <v>13</v>
      </c>
      <c r="D1333" s="7" t="str">
        <f>"陈丹兰"</f>
        <v>陈丹兰</v>
      </c>
      <c r="E1333" s="7" t="str">
        <f t="shared" si="61"/>
        <v>女</v>
      </c>
    </row>
    <row r="1334" spans="1:5" ht="30" customHeight="1">
      <c r="A1334" s="7">
        <v>1331</v>
      </c>
      <c r="B1334" s="7" t="str">
        <f>"38662022042711003142088"</f>
        <v>38662022042711003142088</v>
      </c>
      <c r="C1334" s="7" t="s">
        <v>13</v>
      </c>
      <c r="D1334" s="7" t="str">
        <f>"林芳洪"</f>
        <v>林芳洪</v>
      </c>
      <c r="E1334" s="7" t="str">
        <f t="shared" si="61"/>
        <v>女</v>
      </c>
    </row>
    <row r="1335" spans="1:5" ht="30" customHeight="1">
      <c r="A1335" s="7">
        <v>1332</v>
      </c>
      <c r="B1335" s="7" t="str">
        <f>"38662022042711044342125"</f>
        <v>38662022042711044342125</v>
      </c>
      <c r="C1335" s="7" t="s">
        <v>13</v>
      </c>
      <c r="D1335" s="7" t="str">
        <f>"邝小艳"</f>
        <v>邝小艳</v>
      </c>
      <c r="E1335" s="7" t="str">
        <f t="shared" si="61"/>
        <v>女</v>
      </c>
    </row>
    <row r="1336" spans="1:5" ht="30" customHeight="1">
      <c r="A1336" s="7">
        <v>1333</v>
      </c>
      <c r="B1336" s="7" t="str">
        <f>"38662022042711074142151"</f>
        <v>38662022042711074142151</v>
      </c>
      <c r="C1336" s="7" t="s">
        <v>13</v>
      </c>
      <c r="D1336" s="7" t="str">
        <f>"陈曼虹"</f>
        <v>陈曼虹</v>
      </c>
      <c r="E1336" s="7" t="str">
        <f t="shared" si="61"/>
        <v>女</v>
      </c>
    </row>
    <row r="1337" spans="1:5" ht="30" customHeight="1">
      <c r="A1337" s="7">
        <v>1334</v>
      </c>
      <c r="B1337" s="7" t="str">
        <f>"38662022042711152342219"</f>
        <v>38662022042711152342219</v>
      </c>
      <c r="C1337" s="7" t="s">
        <v>13</v>
      </c>
      <c r="D1337" s="7" t="str">
        <f>"符永香"</f>
        <v>符永香</v>
      </c>
      <c r="E1337" s="7" t="str">
        <f t="shared" si="61"/>
        <v>女</v>
      </c>
    </row>
    <row r="1338" spans="1:5" ht="30" customHeight="1">
      <c r="A1338" s="7">
        <v>1335</v>
      </c>
      <c r="B1338" s="7" t="str">
        <f>"38662022042711251042293"</f>
        <v>38662022042711251042293</v>
      </c>
      <c r="C1338" s="7" t="s">
        <v>13</v>
      </c>
      <c r="D1338" s="7" t="str">
        <f>"黄振丹"</f>
        <v>黄振丹</v>
      </c>
      <c r="E1338" s="7" t="str">
        <f t="shared" si="61"/>
        <v>女</v>
      </c>
    </row>
    <row r="1339" spans="1:5" ht="30" customHeight="1">
      <c r="A1339" s="7">
        <v>1336</v>
      </c>
      <c r="B1339" s="7" t="str">
        <f>"38662022042711532142492"</f>
        <v>38662022042711532142492</v>
      </c>
      <c r="C1339" s="7" t="s">
        <v>13</v>
      </c>
      <c r="D1339" s="7" t="str">
        <f>"莫晓玲"</f>
        <v>莫晓玲</v>
      </c>
      <c r="E1339" s="7" t="str">
        <f t="shared" si="61"/>
        <v>女</v>
      </c>
    </row>
    <row r="1340" spans="1:5" ht="30" customHeight="1">
      <c r="A1340" s="7">
        <v>1337</v>
      </c>
      <c r="B1340" s="7" t="str">
        <f>"38662022042711580742536"</f>
        <v>38662022042711580742536</v>
      </c>
      <c r="C1340" s="7" t="s">
        <v>13</v>
      </c>
      <c r="D1340" s="7" t="str">
        <f>"李宁秀"</f>
        <v>李宁秀</v>
      </c>
      <c r="E1340" s="7" t="str">
        <f t="shared" si="61"/>
        <v>女</v>
      </c>
    </row>
    <row r="1341" spans="1:5" ht="30" customHeight="1">
      <c r="A1341" s="7">
        <v>1338</v>
      </c>
      <c r="B1341" s="7" t="str">
        <f>"38662022042712004242546"</f>
        <v>38662022042712004242546</v>
      </c>
      <c r="C1341" s="7" t="s">
        <v>13</v>
      </c>
      <c r="D1341" s="7" t="str">
        <f>"符贝贝"</f>
        <v>符贝贝</v>
      </c>
      <c r="E1341" s="7" t="str">
        <f t="shared" si="61"/>
        <v>女</v>
      </c>
    </row>
    <row r="1342" spans="1:5" ht="30" customHeight="1">
      <c r="A1342" s="7">
        <v>1339</v>
      </c>
      <c r="B1342" s="7" t="str">
        <f>"38662022042712171442642"</f>
        <v>38662022042712171442642</v>
      </c>
      <c r="C1342" s="7" t="s">
        <v>13</v>
      </c>
      <c r="D1342" s="7" t="str">
        <f>"陈吉银"</f>
        <v>陈吉银</v>
      </c>
      <c r="E1342" s="7" t="str">
        <f t="shared" si="61"/>
        <v>女</v>
      </c>
    </row>
    <row r="1343" spans="1:5" ht="30" customHeight="1">
      <c r="A1343" s="7">
        <v>1340</v>
      </c>
      <c r="B1343" s="7" t="str">
        <f>"38662022042712503642861"</f>
        <v>38662022042712503642861</v>
      </c>
      <c r="C1343" s="7" t="s">
        <v>13</v>
      </c>
      <c r="D1343" s="7" t="str">
        <f>"钟明洁"</f>
        <v>钟明洁</v>
      </c>
      <c r="E1343" s="7" t="str">
        <f>"男"</f>
        <v>男</v>
      </c>
    </row>
    <row r="1344" spans="1:5" ht="30" customHeight="1">
      <c r="A1344" s="7">
        <v>1341</v>
      </c>
      <c r="B1344" s="7" t="str">
        <f>"38662022042712512642869"</f>
        <v>38662022042712512642869</v>
      </c>
      <c r="C1344" s="7" t="s">
        <v>13</v>
      </c>
      <c r="D1344" s="7" t="str">
        <f>"李德萍"</f>
        <v>李德萍</v>
      </c>
      <c r="E1344" s="7" t="str">
        <f>"女"</f>
        <v>女</v>
      </c>
    </row>
    <row r="1345" spans="1:5" ht="30" customHeight="1">
      <c r="A1345" s="7">
        <v>1342</v>
      </c>
      <c r="B1345" s="7" t="str">
        <f>"38662022042712573242905"</f>
        <v>38662022042712573242905</v>
      </c>
      <c r="C1345" s="7" t="s">
        <v>13</v>
      </c>
      <c r="D1345" s="7" t="str">
        <f>"莫海媛"</f>
        <v>莫海媛</v>
      </c>
      <c r="E1345" s="7" t="str">
        <f>"女"</f>
        <v>女</v>
      </c>
    </row>
    <row r="1346" spans="1:5" ht="30" customHeight="1">
      <c r="A1346" s="7">
        <v>1343</v>
      </c>
      <c r="B1346" s="7" t="str">
        <f>"38662022042713004542927"</f>
        <v>38662022042713004542927</v>
      </c>
      <c r="C1346" s="7" t="s">
        <v>13</v>
      </c>
      <c r="D1346" s="7" t="str">
        <f>"卢玉娜"</f>
        <v>卢玉娜</v>
      </c>
      <c r="E1346" s="7" t="str">
        <f>"女"</f>
        <v>女</v>
      </c>
    </row>
    <row r="1347" spans="1:5" ht="30" customHeight="1">
      <c r="A1347" s="7">
        <v>1344</v>
      </c>
      <c r="B1347" s="7" t="str">
        <f>"38662022042713014042933"</f>
        <v>38662022042713014042933</v>
      </c>
      <c r="C1347" s="7" t="s">
        <v>13</v>
      </c>
      <c r="D1347" s="7" t="str">
        <f>"陈雪"</f>
        <v>陈雪</v>
      </c>
      <c r="E1347" s="7" t="str">
        <f>"女"</f>
        <v>女</v>
      </c>
    </row>
    <row r="1348" spans="1:5" ht="30" customHeight="1">
      <c r="A1348" s="7">
        <v>1345</v>
      </c>
      <c r="B1348" s="7" t="str">
        <f>"38662022042713233843076"</f>
        <v>38662022042713233843076</v>
      </c>
      <c r="C1348" s="7" t="s">
        <v>13</v>
      </c>
      <c r="D1348" s="7" t="str">
        <f>"卓毛朝"</f>
        <v>卓毛朝</v>
      </c>
      <c r="E1348" s="7" t="str">
        <f>"男"</f>
        <v>男</v>
      </c>
    </row>
    <row r="1349" spans="1:5" ht="30" customHeight="1">
      <c r="A1349" s="7">
        <v>1346</v>
      </c>
      <c r="B1349" s="7" t="str">
        <f>"38662022042713273743098"</f>
        <v>38662022042713273743098</v>
      </c>
      <c r="C1349" s="7" t="s">
        <v>13</v>
      </c>
      <c r="D1349" s="7" t="str">
        <f>"蒋小介"</f>
        <v>蒋小介</v>
      </c>
      <c r="E1349" s="7" t="str">
        <f>"女"</f>
        <v>女</v>
      </c>
    </row>
    <row r="1350" spans="1:5" ht="30" customHeight="1">
      <c r="A1350" s="7">
        <v>1347</v>
      </c>
      <c r="B1350" s="7" t="str">
        <f>"38662022042713364043147"</f>
        <v>38662022042713364043147</v>
      </c>
      <c r="C1350" s="7" t="s">
        <v>13</v>
      </c>
      <c r="D1350" s="7" t="str">
        <f>"陈婷"</f>
        <v>陈婷</v>
      </c>
      <c r="E1350" s="7" t="str">
        <f>"女"</f>
        <v>女</v>
      </c>
    </row>
    <row r="1351" spans="1:5" ht="30" customHeight="1">
      <c r="A1351" s="7">
        <v>1348</v>
      </c>
      <c r="B1351" s="7" t="str">
        <f>"38662022042713371143149"</f>
        <v>38662022042713371143149</v>
      </c>
      <c r="C1351" s="7" t="s">
        <v>13</v>
      </c>
      <c r="D1351" s="7" t="str">
        <f>"卢芳雄"</f>
        <v>卢芳雄</v>
      </c>
      <c r="E1351" s="7" t="str">
        <f>"男"</f>
        <v>男</v>
      </c>
    </row>
    <row r="1352" spans="1:5" ht="30" customHeight="1">
      <c r="A1352" s="7">
        <v>1349</v>
      </c>
      <c r="B1352" s="7" t="str">
        <f>"38662022042713474343217"</f>
        <v>38662022042713474343217</v>
      </c>
      <c r="C1352" s="7" t="s">
        <v>13</v>
      </c>
      <c r="D1352" s="7" t="str">
        <f>"唐春鹏"</f>
        <v>唐春鹏</v>
      </c>
      <c r="E1352" s="7" t="str">
        <f>"女"</f>
        <v>女</v>
      </c>
    </row>
    <row r="1353" spans="1:5" ht="30" customHeight="1">
      <c r="A1353" s="7">
        <v>1350</v>
      </c>
      <c r="B1353" s="7" t="str">
        <f>"38662022042714191443377"</f>
        <v>38662022042714191443377</v>
      </c>
      <c r="C1353" s="7" t="s">
        <v>13</v>
      </c>
      <c r="D1353" s="7" t="str">
        <f>"谢梦静"</f>
        <v>谢梦静</v>
      </c>
      <c r="E1353" s="7" t="str">
        <f>"女"</f>
        <v>女</v>
      </c>
    </row>
    <row r="1354" spans="1:5" ht="30" customHeight="1">
      <c r="A1354" s="7">
        <v>1351</v>
      </c>
      <c r="B1354" s="7" t="str">
        <f>"38662022042714271943429"</f>
        <v>38662022042714271943429</v>
      </c>
      <c r="C1354" s="7" t="s">
        <v>13</v>
      </c>
      <c r="D1354" s="7" t="str">
        <f>"蒋少鹏"</f>
        <v>蒋少鹏</v>
      </c>
      <c r="E1354" s="7" t="str">
        <f>"男"</f>
        <v>男</v>
      </c>
    </row>
    <row r="1355" spans="1:5" ht="30" customHeight="1">
      <c r="A1355" s="7">
        <v>1352</v>
      </c>
      <c r="B1355" s="7" t="str">
        <f>"38662022042714291443445"</f>
        <v>38662022042714291443445</v>
      </c>
      <c r="C1355" s="7" t="s">
        <v>13</v>
      </c>
      <c r="D1355" s="7" t="str">
        <f>"羊兰芳"</f>
        <v>羊兰芳</v>
      </c>
      <c r="E1355" s="7" t="str">
        <f aca="true" t="shared" si="62" ref="E1355:E1366">"女"</f>
        <v>女</v>
      </c>
    </row>
    <row r="1356" spans="1:5" ht="30" customHeight="1">
      <c r="A1356" s="7">
        <v>1353</v>
      </c>
      <c r="B1356" s="7" t="str">
        <f>"38662022042714423443535"</f>
        <v>38662022042714423443535</v>
      </c>
      <c r="C1356" s="7" t="s">
        <v>13</v>
      </c>
      <c r="D1356" s="7" t="str">
        <f>"黄嘉雯"</f>
        <v>黄嘉雯</v>
      </c>
      <c r="E1356" s="7" t="str">
        <f t="shared" si="62"/>
        <v>女</v>
      </c>
    </row>
    <row r="1357" spans="1:5" ht="30" customHeight="1">
      <c r="A1357" s="7">
        <v>1354</v>
      </c>
      <c r="B1357" s="7" t="str">
        <f>"38662022042714555643614"</f>
        <v>38662022042714555643614</v>
      </c>
      <c r="C1357" s="7" t="s">
        <v>13</v>
      </c>
      <c r="D1357" s="7" t="str">
        <f>"赵艳"</f>
        <v>赵艳</v>
      </c>
      <c r="E1357" s="7" t="str">
        <f t="shared" si="62"/>
        <v>女</v>
      </c>
    </row>
    <row r="1358" spans="1:5" ht="30" customHeight="1">
      <c r="A1358" s="7">
        <v>1355</v>
      </c>
      <c r="B1358" s="7" t="str">
        <f>"38662022042715021043658"</f>
        <v>38662022042715021043658</v>
      </c>
      <c r="C1358" s="7" t="s">
        <v>13</v>
      </c>
      <c r="D1358" s="7" t="str">
        <f>"胡月曼"</f>
        <v>胡月曼</v>
      </c>
      <c r="E1358" s="7" t="str">
        <f t="shared" si="62"/>
        <v>女</v>
      </c>
    </row>
    <row r="1359" spans="1:5" ht="30" customHeight="1">
      <c r="A1359" s="7">
        <v>1356</v>
      </c>
      <c r="B1359" s="7" t="str">
        <f>"38662022042715042343668"</f>
        <v>38662022042715042343668</v>
      </c>
      <c r="C1359" s="7" t="s">
        <v>13</v>
      </c>
      <c r="D1359" s="7" t="str">
        <f>"潘天艳"</f>
        <v>潘天艳</v>
      </c>
      <c r="E1359" s="7" t="str">
        <f t="shared" si="62"/>
        <v>女</v>
      </c>
    </row>
    <row r="1360" spans="1:5" ht="30" customHeight="1">
      <c r="A1360" s="7">
        <v>1357</v>
      </c>
      <c r="B1360" s="7" t="str">
        <f>"38662022042715042843669"</f>
        <v>38662022042715042843669</v>
      </c>
      <c r="C1360" s="7" t="s">
        <v>13</v>
      </c>
      <c r="D1360" s="7" t="str">
        <f>"梁恩雪"</f>
        <v>梁恩雪</v>
      </c>
      <c r="E1360" s="7" t="str">
        <f t="shared" si="62"/>
        <v>女</v>
      </c>
    </row>
    <row r="1361" spans="1:5" ht="30" customHeight="1">
      <c r="A1361" s="7">
        <v>1358</v>
      </c>
      <c r="B1361" s="7" t="str">
        <f>"38662022042715482243946"</f>
        <v>38662022042715482243946</v>
      </c>
      <c r="C1361" s="7" t="s">
        <v>13</v>
      </c>
      <c r="D1361" s="7" t="str">
        <f>"陈子妍"</f>
        <v>陈子妍</v>
      </c>
      <c r="E1361" s="7" t="str">
        <f t="shared" si="62"/>
        <v>女</v>
      </c>
    </row>
    <row r="1362" spans="1:5" ht="30" customHeight="1">
      <c r="A1362" s="7">
        <v>1359</v>
      </c>
      <c r="B1362" s="7" t="str">
        <f>"38662022042715485543951"</f>
        <v>38662022042715485543951</v>
      </c>
      <c r="C1362" s="7" t="s">
        <v>13</v>
      </c>
      <c r="D1362" s="7" t="str">
        <f>"谭学晶"</f>
        <v>谭学晶</v>
      </c>
      <c r="E1362" s="7" t="str">
        <f t="shared" si="62"/>
        <v>女</v>
      </c>
    </row>
    <row r="1363" spans="1:5" ht="30" customHeight="1">
      <c r="A1363" s="7">
        <v>1360</v>
      </c>
      <c r="B1363" s="7" t="str">
        <f>"38662022042716313444190"</f>
        <v>38662022042716313444190</v>
      </c>
      <c r="C1363" s="7" t="s">
        <v>13</v>
      </c>
      <c r="D1363" s="7" t="str">
        <f>"张莎"</f>
        <v>张莎</v>
      </c>
      <c r="E1363" s="7" t="str">
        <f t="shared" si="62"/>
        <v>女</v>
      </c>
    </row>
    <row r="1364" spans="1:5" ht="30" customHeight="1">
      <c r="A1364" s="7">
        <v>1361</v>
      </c>
      <c r="B1364" s="7" t="str">
        <f>"38662022042109025624918"</f>
        <v>38662022042109025624918</v>
      </c>
      <c r="C1364" s="7" t="s">
        <v>14</v>
      </c>
      <c r="D1364" s="7" t="str">
        <f>"符丹丹"</f>
        <v>符丹丹</v>
      </c>
      <c r="E1364" s="7" t="str">
        <f t="shared" si="62"/>
        <v>女</v>
      </c>
    </row>
    <row r="1365" spans="1:5" ht="30" customHeight="1">
      <c r="A1365" s="7">
        <v>1362</v>
      </c>
      <c r="B1365" s="7" t="str">
        <f>"38662022042109050124947"</f>
        <v>38662022042109050124947</v>
      </c>
      <c r="C1365" s="7" t="s">
        <v>14</v>
      </c>
      <c r="D1365" s="7" t="str">
        <f>"吉训玉"</f>
        <v>吉训玉</v>
      </c>
      <c r="E1365" s="7" t="str">
        <f t="shared" si="62"/>
        <v>女</v>
      </c>
    </row>
    <row r="1366" spans="1:5" ht="30" customHeight="1">
      <c r="A1366" s="7">
        <v>1363</v>
      </c>
      <c r="B1366" s="7" t="str">
        <f>"38662022042109061524961"</f>
        <v>38662022042109061524961</v>
      </c>
      <c r="C1366" s="7" t="s">
        <v>14</v>
      </c>
      <c r="D1366" s="7" t="str">
        <f>"罗家"</f>
        <v>罗家</v>
      </c>
      <c r="E1366" s="7" t="str">
        <f t="shared" si="62"/>
        <v>女</v>
      </c>
    </row>
    <row r="1367" spans="1:5" ht="30" customHeight="1">
      <c r="A1367" s="7">
        <v>1364</v>
      </c>
      <c r="B1367" s="7" t="str">
        <f>"38662022042109123425037"</f>
        <v>38662022042109123425037</v>
      </c>
      <c r="C1367" s="7" t="s">
        <v>14</v>
      </c>
      <c r="D1367" s="7" t="str">
        <f>"吴文谋"</f>
        <v>吴文谋</v>
      </c>
      <c r="E1367" s="7" t="str">
        <f>"男"</f>
        <v>男</v>
      </c>
    </row>
    <row r="1368" spans="1:5" ht="30" customHeight="1">
      <c r="A1368" s="7">
        <v>1365</v>
      </c>
      <c r="B1368" s="7" t="str">
        <f>"38662022042109124425040"</f>
        <v>38662022042109124425040</v>
      </c>
      <c r="C1368" s="7" t="s">
        <v>14</v>
      </c>
      <c r="D1368" s="7" t="str">
        <f>"曾芸"</f>
        <v>曾芸</v>
      </c>
      <c r="E1368" s="7" t="str">
        <f aca="true" t="shared" si="63" ref="E1368:E1381">"女"</f>
        <v>女</v>
      </c>
    </row>
    <row r="1369" spans="1:5" ht="30" customHeight="1">
      <c r="A1369" s="7">
        <v>1366</v>
      </c>
      <c r="B1369" s="7" t="str">
        <f>"38662022042109374825341"</f>
        <v>38662022042109374825341</v>
      </c>
      <c r="C1369" s="7" t="s">
        <v>14</v>
      </c>
      <c r="D1369" s="7" t="str">
        <f>"符达莲"</f>
        <v>符达莲</v>
      </c>
      <c r="E1369" s="7" t="str">
        <f t="shared" si="63"/>
        <v>女</v>
      </c>
    </row>
    <row r="1370" spans="1:5" ht="30" customHeight="1">
      <c r="A1370" s="7">
        <v>1367</v>
      </c>
      <c r="B1370" s="7" t="str">
        <f>"38662022042109415425387"</f>
        <v>38662022042109415425387</v>
      </c>
      <c r="C1370" s="7" t="s">
        <v>14</v>
      </c>
      <c r="D1370" s="7" t="str">
        <f>"吕宜江"</f>
        <v>吕宜江</v>
      </c>
      <c r="E1370" s="7" t="str">
        <f t="shared" si="63"/>
        <v>女</v>
      </c>
    </row>
    <row r="1371" spans="1:5" ht="30" customHeight="1">
      <c r="A1371" s="7">
        <v>1368</v>
      </c>
      <c r="B1371" s="7" t="str">
        <f>"38662022042110355126081"</f>
        <v>38662022042110355126081</v>
      </c>
      <c r="C1371" s="7" t="s">
        <v>14</v>
      </c>
      <c r="D1371" s="7" t="str">
        <f>"马丽少"</f>
        <v>马丽少</v>
      </c>
      <c r="E1371" s="7" t="str">
        <f t="shared" si="63"/>
        <v>女</v>
      </c>
    </row>
    <row r="1372" spans="1:5" ht="30" customHeight="1">
      <c r="A1372" s="7">
        <v>1369</v>
      </c>
      <c r="B1372" s="7" t="str">
        <f>"38662022042110522626290"</f>
        <v>38662022042110522626290</v>
      </c>
      <c r="C1372" s="7" t="s">
        <v>14</v>
      </c>
      <c r="D1372" s="7" t="str">
        <f>"吴金兰"</f>
        <v>吴金兰</v>
      </c>
      <c r="E1372" s="7" t="str">
        <f t="shared" si="63"/>
        <v>女</v>
      </c>
    </row>
    <row r="1373" spans="1:5" ht="30" customHeight="1">
      <c r="A1373" s="7">
        <v>1370</v>
      </c>
      <c r="B1373" s="7" t="str">
        <f>"38662022042111024226401"</f>
        <v>38662022042111024226401</v>
      </c>
      <c r="C1373" s="7" t="s">
        <v>14</v>
      </c>
      <c r="D1373" s="7" t="str">
        <f>"余业珍"</f>
        <v>余业珍</v>
      </c>
      <c r="E1373" s="7" t="str">
        <f t="shared" si="63"/>
        <v>女</v>
      </c>
    </row>
    <row r="1374" spans="1:5" ht="30" customHeight="1">
      <c r="A1374" s="7">
        <v>1371</v>
      </c>
      <c r="B1374" s="7" t="str">
        <f>"38662022042111105826472"</f>
        <v>38662022042111105826472</v>
      </c>
      <c r="C1374" s="7" t="s">
        <v>14</v>
      </c>
      <c r="D1374" s="7" t="str">
        <f>"莫镕蔚"</f>
        <v>莫镕蔚</v>
      </c>
      <c r="E1374" s="7" t="str">
        <f t="shared" si="63"/>
        <v>女</v>
      </c>
    </row>
    <row r="1375" spans="1:5" ht="30" customHeight="1">
      <c r="A1375" s="7">
        <v>1372</v>
      </c>
      <c r="B1375" s="7" t="str">
        <f>"38662022042111332526666"</f>
        <v>38662022042111332526666</v>
      </c>
      <c r="C1375" s="7" t="s">
        <v>14</v>
      </c>
      <c r="D1375" s="7" t="str">
        <f>"黎阿娇"</f>
        <v>黎阿娇</v>
      </c>
      <c r="E1375" s="7" t="str">
        <f t="shared" si="63"/>
        <v>女</v>
      </c>
    </row>
    <row r="1376" spans="1:5" ht="30" customHeight="1">
      <c r="A1376" s="7">
        <v>1373</v>
      </c>
      <c r="B1376" s="7" t="str">
        <f>"38662022042111391926743"</f>
        <v>38662022042111391926743</v>
      </c>
      <c r="C1376" s="7" t="s">
        <v>14</v>
      </c>
      <c r="D1376" s="7" t="str">
        <f>"柳雨霞"</f>
        <v>柳雨霞</v>
      </c>
      <c r="E1376" s="7" t="str">
        <f t="shared" si="63"/>
        <v>女</v>
      </c>
    </row>
    <row r="1377" spans="1:5" ht="30" customHeight="1">
      <c r="A1377" s="7">
        <v>1374</v>
      </c>
      <c r="B1377" s="7" t="str">
        <f>"38662022042112293027087"</f>
        <v>38662022042112293027087</v>
      </c>
      <c r="C1377" s="7" t="s">
        <v>14</v>
      </c>
      <c r="D1377" s="7" t="str">
        <f>"李婷"</f>
        <v>李婷</v>
      </c>
      <c r="E1377" s="7" t="str">
        <f t="shared" si="63"/>
        <v>女</v>
      </c>
    </row>
    <row r="1378" spans="1:5" ht="30" customHeight="1">
      <c r="A1378" s="7">
        <v>1375</v>
      </c>
      <c r="B1378" s="7" t="str">
        <f>"38662022042112345327134"</f>
        <v>38662022042112345327134</v>
      </c>
      <c r="C1378" s="7" t="s">
        <v>14</v>
      </c>
      <c r="D1378" s="7" t="str">
        <f>" 张燕"</f>
        <v> 张燕</v>
      </c>
      <c r="E1378" s="7" t="str">
        <f t="shared" si="63"/>
        <v>女</v>
      </c>
    </row>
    <row r="1379" spans="1:5" ht="30" customHeight="1">
      <c r="A1379" s="7">
        <v>1376</v>
      </c>
      <c r="B1379" s="7" t="str">
        <f>"38662022042114392427785"</f>
        <v>38662022042114392427785</v>
      </c>
      <c r="C1379" s="7" t="s">
        <v>14</v>
      </c>
      <c r="D1379" s="7" t="str">
        <f>"潘泉欣"</f>
        <v>潘泉欣</v>
      </c>
      <c r="E1379" s="7" t="str">
        <f t="shared" si="63"/>
        <v>女</v>
      </c>
    </row>
    <row r="1380" spans="1:5" ht="30" customHeight="1">
      <c r="A1380" s="7">
        <v>1377</v>
      </c>
      <c r="B1380" s="7" t="str">
        <f>"38662022042114403827794"</f>
        <v>38662022042114403827794</v>
      </c>
      <c r="C1380" s="7" t="s">
        <v>14</v>
      </c>
      <c r="D1380" s="7" t="str">
        <f>"符创雀"</f>
        <v>符创雀</v>
      </c>
      <c r="E1380" s="7" t="str">
        <f t="shared" si="63"/>
        <v>女</v>
      </c>
    </row>
    <row r="1381" spans="1:5" ht="30" customHeight="1">
      <c r="A1381" s="7">
        <v>1378</v>
      </c>
      <c r="B1381" s="7" t="str">
        <f>"38662022042115281828222"</f>
        <v>38662022042115281828222</v>
      </c>
      <c r="C1381" s="7" t="s">
        <v>14</v>
      </c>
      <c r="D1381" s="7" t="str">
        <f>"邱文霞"</f>
        <v>邱文霞</v>
      </c>
      <c r="E1381" s="7" t="str">
        <f t="shared" si="63"/>
        <v>女</v>
      </c>
    </row>
    <row r="1382" spans="1:5" ht="30" customHeight="1">
      <c r="A1382" s="7">
        <v>1379</v>
      </c>
      <c r="B1382" s="7" t="str">
        <f>"38662022042115301528232"</f>
        <v>38662022042115301528232</v>
      </c>
      <c r="C1382" s="7" t="s">
        <v>14</v>
      </c>
      <c r="D1382" s="7" t="str">
        <f>"王发辉"</f>
        <v>王发辉</v>
      </c>
      <c r="E1382" s="7" t="str">
        <f>"男"</f>
        <v>男</v>
      </c>
    </row>
    <row r="1383" spans="1:5" ht="30" customHeight="1">
      <c r="A1383" s="7">
        <v>1380</v>
      </c>
      <c r="B1383" s="7" t="str">
        <f>"38662022042115495628391"</f>
        <v>38662022042115495628391</v>
      </c>
      <c r="C1383" s="7" t="s">
        <v>14</v>
      </c>
      <c r="D1383" s="7" t="str">
        <f>"李欣"</f>
        <v>李欣</v>
      </c>
      <c r="E1383" s="7" t="str">
        <f aca="true" t="shared" si="64" ref="E1383:E1397">"女"</f>
        <v>女</v>
      </c>
    </row>
    <row r="1384" spans="1:5" ht="30" customHeight="1">
      <c r="A1384" s="7">
        <v>1381</v>
      </c>
      <c r="B1384" s="7" t="str">
        <f>"38662022042116350728691"</f>
        <v>38662022042116350728691</v>
      </c>
      <c r="C1384" s="7" t="s">
        <v>14</v>
      </c>
      <c r="D1384" s="7" t="str">
        <f>"李海南"</f>
        <v>李海南</v>
      </c>
      <c r="E1384" s="7" t="str">
        <f t="shared" si="64"/>
        <v>女</v>
      </c>
    </row>
    <row r="1385" spans="1:5" ht="30" customHeight="1">
      <c r="A1385" s="7">
        <v>1382</v>
      </c>
      <c r="B1385" s="7" t="str">
        <f>"38662022042116443128753"</f>
        <v>38662022042116443128753</v>
      </c>
      <c r="C1385" s="7" t="s">
        <v>14</v>
      </c>
      <c r="D1385" s="7" t="str">
        <f>"赵兴坤"</f>
        <v>赵兴坤</v>
      </c>
      <c r="E1385" s="7" t="str">
        <f t="shared" si="64"/>
        <v>女</v>
      </c>
    </row>
    <row r="1386" spans="1:5" ht="30" customHeight="1">
      <c r="A1386" s="7">
        <v>1383</v>
      </c>
      <c r="B1386" s="7" t="str">
        <f>"38662022042117070328897"</f>
        <v>38662022042117070328897</v>
      </c>
      <c r="C1386" s="7" t="s">
        <v>14</v>
      </c>
      <c r="D1386" s="7" t="str">
        <f>"黄董珍"</f>
        <v>黄董珍</v>
      </c>
      <c r="E1386" s="7" t="str">
        <f t="shared" si="64"/>
        <v>女</v>
      </c>
    </row>
    <row r="1387" spans="1:5" ht="30" customHeight="1">
      <c r="A1387" s="7">
        <v>1384</v>
      </c>
      <c r="B1387" s="7" t="str">
        <f>"38662022042117354829075"</f>
        <v>38662022042117354829075</v>
      </c>
      <c r="C1387" s="7" t="s">
        <v>14</v>
      </c>
      <c r="D1387" s="7" t="str">
        <f>"吴淑帆"</f>
        <v>吴淑帆</v>
      </c>
      <c r="E1387" s="7" t="str">
        <f t="shared" si="64"/>
        <v>女</v>
      </c>
    </row>
    <row r="1388" spans="1:5" ht="30" customHeight="1">
      <c r="A1388" s="7">
        <v>1385</v>
      </c>
      <c r="B1388" s="7" t="str">
        <f>"38662022042117373929088"</f>
        <v>38662022042117373929088</v>
      </c>
      <c r="C1388" s="7" t="s">
        <v>14</v>
      </c>
      <c r="D1388" s="7" t="str">
        <f>"林可可"</f>
        <v>林可可</v>
      </c>
      <c r="E1388" s="7" t="str">
        <f t="shared" si="64"/>
        <v>女</v>
      </c>
    </row>
    <row r="1389" spans="1:5" ht="30" customHeight="1">
      <c r="A1389" s="7">
        <v>1386</v>
      </c>
      <c r="B1389" s="7" t="str">
        <f>"38662022042119132729505"</f>
        <v>38662022042119132729505</v>
      </c>
      <c r="C1389" s="7" t="s">
        <v>14</v>
      </c>
      <c r="D1389" s="7" t="str">
        <f>"邓云花"</f>
        <v>邓云花</v>
      </c>
      <c r="E1389" s="7" t="str">
        <f t="shared" si="64"/>
        <v>女</v>
      </c>
    </row>
    <row r="1390" spans="1:5" ht="30" customHeight="1">
      <c r="A1390" s="7">
        <v>1387</v>
      </c>
      <c r="B1390" s="7" t="str">
        <f>"38662022042121134930116"</f>
        <v>38662022042121134930116</v>
      </c>
      <c r="C1390" s="7" t="s">
        <v>14</v>
      </c>
      <c r="D1390" s="7" t="str">
        <f>"陈亿娜"</f>
        <v>陈亿娜</v>
      </c>
      <c r="E1390" s="7" t="str">
        <f t="shared" si="64"/>
        <v>女</v>
      </c>
    </row>
    <row r="1391" spans="1:5" ht="30" customHeight="1">
      <c r="A1391" s="7">
        <v>1388</v>
      </c>
      <c r="B1391" s="7" t="str">
        <f>"38662022042121443330272"</f>
        <v>38662022042121443330272</v>
      </c>
      <c r="C1391" s="7" t="s">
        <v>14</v>
      </c>
      <c r="D1391" s="7" t="str">
        <f>"吴秋"</f>
        <v>吴秋</v>
      </c>
      <c r="E1391" s="7" t="str">
        <f t="shared" si="64"/>
        <v>女</v>
      </c>
    </row>
    <row r="1392" spans="1:5" ht="30" customHeight="1">
      <c r="A1392" s="7">
        <v>1389</v>
      </c>
      <c r="B1392" s="7" t="str">
        <f>"38662022042209344131291"</f>
        <v>38662022042209344131291</v>
      </c>
      <c r="C1392" s="7" t="s">
        <v>14</v>
      </c>
      <c r="D1392" s="7" t="str">
        <f>"吴小兰"</f>
        <v>吴小兰</v>
      </c>
      <c r="E1392" s="7" t="str">
        <f t="shared" si="64"/>
        <v>女</v>
      </c>
    </row>
    <row r="1393" spans="1:5" ht="30" customHeight="1">
      <c r="A1393" s="7">
        <v>1390</v>
      </c>
      <c r="B1393" s="7" t="str">
        <f>"38662022042209491631375"</f>
        <v>38662022042209491631375</v>
      </c>
      <c r="C1393" s="7" t="s">
        <v>14</v>
      </c>
      <c r="D1393" s="7" t="str">
        <f>"高源"</f>
        <v>高源</v>
      </c>
      <c r="E1393" s="7" t="str">
        <f t="shared" si="64"/>
        <v>女</v>
      </c>
    </row>
    <row r="1394" spans="1:5" ht="30" customHeight="1">
      <c r="A1394" s="7">
        <v>1391</v>
      </c>
      <c r="B1394" s="7" t="str">
        <f>"38662022042210003031432"</f>
        <v>38662022042210003031432</v>
      </c>
      <c r="C1394" s="7" t="s">
        <v>14</v>
      </c>
      <c r="D1394" s="7" t="str">
        <f>"张少玲"</f>
        <v>张少玲</v>
      </c>
      <c r="E1394" s="7" t="str">
        <f t="shared" si="64"/>
        <v>女</v>
      </c>
    </row>
    <row r="1395" spans="1:5" ht="30" customHeight="1">
      <c r="A1395" s="7">
        <v>1392</v>
      </c>
      <c r="B1395" s="7" t="str">
        <f>"38662022042210161231540"</f>
        <v>38662022042210161231540</v>
      </c>
      <c r="C1395" s="7" t="s">
        <v>14</v>
      </c>
      <c r="D1395" s="7" t="str">
        <f>"吴志玲"</f>
        <v>吴志玲</v>
      </c>
      <c r="E1395" s="7" t="str">
        <f t="shared" si="64"/>
        <v>女</v>
      </c>
    </row>
    <row r="1396" spans="1:5" ht="30" customHeight="1">
      <c r="A1396" s="7">
        <v>1393</v>
      </c>
      <c r="B1396" s="7" t="str">
        <f>"38662022042210442831722"</f>
        <v>38662022042210442831722</v>
      </c>
      <c r="C1396" s="7" t="s">
        <v>14</v>
      </c>
      <c r="D1396" s="7" t="str">
        <f>"杨中妹"</f>
        <v>杨中妹</v>
      </c>
      <c r="E1396" s="7" t="str">
        <f t="shared" si="64"/>
        <v>女</v>
      </c>
    </row>
    <row r="1397" spans="1:5" ht="30" customHeight="1">
      <c r="A1397" s="7">
        <v>1394</v>
      </c>
      <c r="B1397" s="7" t="str">
        <f>"38662022042211001531815"</f>
        <v>38662022042211001531815</v>
      </c>
      <c r="C1397" s="7" t="s">
        <v>14</v>
      </c>
      <c r="D1397" s="7" t="str">
        <f>"蔡亲贝"</f>
        <v>蔡亲贝</v>
      </c>
      <c r="E1397" s="7" t="str">
        <f t="shared" si="64"/>
        <v>女</v>
      </c>
    </row>
    <row r="1398" spans="1:5" ht="30" customHeight="1">
      <c r="A1398" s="7">
        <v>1395</v>
      </c>
      <c r="B1398" s="7" t="str">
        <f>"38662022042212110432488"</f>
        <v>38662022042212110432488</v>
      </c>
      <c r="C1398" s="7" t="s">
        <v>14</v>
      </c>
      <c r="D1398" s="7" t="str">
        <f>"张弘"</f>
        <v>张弘</v>
      </c>
      <c r="E1398" s="7" t="str">
        <f>"男"</f>
        <v>男</v>
      </c>
    </row>
    <row r="1399" spans="1:5" ht="30" customHeight="1">
      <c r="A1399" s="7">
        <v>1396</v>
      </c>
      <c r="B1399" s="7" t="str">
        <f>"38662022042212510832649"</f>
        <v>38662022042212510832649</v>
      </c>
      <c r="C1399" s="7" t="s">
        <v>14</v>
      </c>
      <c r="D1399" s="7" t="str">
        <f>"郑鹏"</f>
        <v>郑鹏</v>
      </c>
      <c r="E1399" s="7" t="str">
        <f>"男"</f>
        <v>男</v>
      </c>
    </row>
    <row r="1400" spans="1:5" ht="30" customHeight="1">
      <c r="A1400" s="7">
        <v>1397</v>
      </c>
      <c r="B1400" s="7" t="str">
        <f>"38662022042213254532794"</f>
        <v>38662022042213254532794</v>
      </c>
      <c r="C1400" s="7" t="s">
        <v>14</v>
      </c>
      <c r="D1400" s="7" t="str">
        <f>"陈小红"</f>
        <v>陈小红</v>
      </c>
      <c r="E1400" s="7" t="str">
        <f>"女"</f>
        <v>女</v>
      </c>
    </row>
    <row r="1401" spans="1:5" ht="30" customHeight="1">
      <c r="A1401" s="7">
        <v>1398</v>
      </c>
      <c r="B1401" s="7" t="str">
        <f>"38662022042214555133142"</f>
        <v>38662022042214555133142</v>
      </c>
      <c r="C1401" s="7" t="s">
        <v>14</v>
      </c>
      <c r="D1401" s="7" t="str">
        <f>"李攀"</f>
        <v>李攀</v>
      </c>
      <c r="E1401" s="7" t="str">
        <f>"女"</f>
        <v>女</v>
      </c>
    </row>
    <row r="1402" spans="1:5" ht="30" customHeight="1">
      <c r="A1402" s="7">
        <v>1399</v>
      </c>
      <c r="B1402" s="7" t="str">
        <f>"38662022042216502933871"</f>
        <v>38662022042216502933871</v>
      </c>
      <c r="C1402" s="7" t="s">
        <v>14</v>
      </c>
      <c r="D1402" s="7" t="str">
        <f>"文世波"</f>
        <v>文世波</v>
      </c>
      <c r="E1402" s="7" t="str">
        <f>"男"</f>
        <v>男</v>
      </c>
    </row>
    <row r="1403" spans="1:5" ht="30" customHeight="1">
      <c r="A1403" s="7">
        <v>1400</v>
      </c>
      <c r="B1403" s="7" t="str">
        <f>"38662022042220292734518"</f>
        <v>38662022042220292734518</v>
      </c>
      <c r="C1403" s="7" t="s">
        <v>14</v>
      </c>
      <c r="D1403" s="7" t="str">
        <f>"李晓康"</f>
        <v>李晓康</v>
      </c>
      <c r="E1403" s="7" t="str">
        <f>"男"</f>
        <v>男</v>
      </c>
    </row>
    <row r="1404" spans="1:5" ht="30" customHeight="1">
      <c r="A1404" s="7">
        <v>1401</v>
      </c>
      <c r="B1404" s="7" t="str">
        <f>"38662022042220385434539"</f>
        <v>38662022042220385434539</v>
      </c>
      <c r="C1404" s="7" t="s">
        <v>14</v>
      </c>
      <c r="D1404" s="7" t="str">
        <f>"王跃情"</f>
        <v>王跃情</v>
      </c>
      <c r="E1404" s="7" t="str">
        <f>"女"</f>
        <v>女</v>
      </c>
    </row>
    <row r="1405" spans="1:5" ht="30" customHeight="1">
      <c r="A1405" s="7">
        <v>1402</v>
      </c>
      <c r="B1405" s="7" t="str">
        <f>"38662022042222180534725"</f>
        <v>38662022042222180534725</v>
      </c>
      <c r="C1405" s="7" t="s">
        <v>14</v>
      </c>
      <c r="D1405" s="7" t="str">
        <f>"林俊友"</f>
        <v>林俊友</v>
      </c>
      <c r="E1405" s="7" t="str">
        <f>"男"</f>
        <v>男</v>
      </c>
    </row>
    <row r="1406" spans="1:5" ht="30" customHeight="1">
      <c r="A1406" s="7">
        <v>1403</v>
      </c>
      <c r="B1406" s="7" t="str">
        <f>"38662022042312295935205"</f>
        <v>38662022042312295935205</v>
      </c>
      <c r="C1406" s="7" t="s">
        <v>14</v>
      </c>
      <c r="D1406" s="7" t="str">
        <f>"王咸汉"</f>
        <v>王咸汉</v>
      </c>
      <c r="E1406" s="7" t="str">
        <f>"男"</f>
        <v>男</v>
      </c>
    </row>
    <row r="1407" spans="1:5" ht="30" customHeight="1">
      <c r="A1407" s="7">
        <v>1404</v>
      </c>
      <c r="B1407" s="7" t="str">
        <f>"38662022042319435835719"</f>
        <v>38662022042319435835719</v>
      </c>
      <c r="C1407" s="7" t="s">
        <v>14</v>
      </c>
      <c r="D1407" s="7" t="str">
        <f>"黎小谢"</f>
        <v>黎小谢</v>
      </c>
      <c r="E1407" s="7" t="str">
        <f aca="true" t="shared" si="65" ref="E1407:E1430">"女"</f>
        <v>女</v>
      </c>
    </row>
    <row r="1408" spans="1:5" ht="30" customHeight="1">
      <c r="A1408" s="7">
        <v>1405</v>
      </c>
      <c r="B1408" s="7" t="str">
        <f>"38662022042319582935739"</f>
        <v>38662022042319582935739</v>
      </c>
      <c r="C1408" s="7" t="s">
        <v>14</v>
      </c>
      <c r="D1408" s="7" t="str">
        <f>"卞燕丽"</f>
        <v>卞燕丽</v>
      </c>
      <c r="E1408" s="7" t="str">
        <f t="shared" si="65"/>
        <v>女</v>
      </c>
    </row>
    <row r="1409" spans="1:5" ht="30" customHeight="1">
      <c r="A1409" s="7">
        <v>1406</v>
      </c>
      <c r="B1409" s="7" t="str">
        <f>"38662022042323395436089"</f>
        <v>38662022042323395436089</v>
      </c>
      <c r="C1409" s="7" t="s">
        <v>14</v>
      </c>
      <c r="D1409" s="7" t="str">
        <f>"邱丽翔"</f>
        <v>邱丽翔</v>
      </c>
      <c r="E1409" s="7" t="str">
        <f t="shared" si="65"/>
        <v>女</v>
      </c>
    </row>
    <row r="1410" spans="1:5" ht="30" customHeight="1">
      <c r="A1410" s="7">
        <v>1407</v>
      </c>
      <c r="B1410" s="7" t="str">
        <f>"38662022042409165436278"</f>
        <v>38662022042409165436278</v>
      </c>
      <c r="C1410" s="7" t="s">
        <v>14</v>
      </c>
      <c r="D1410" s="7" t="str">
        <f>"黎小雯"</f>
        <v>黎小雯</v>
      </c>
      <c r="E1410" s="7" t="str">
        <f t="shared" si="65"/>
        <v>女</v>
      </c>
    </row>
    <row r="1411" spans="1:5" ht="30" customHeight="1">
      <c r="A1411" s="7">
        <v>1408</v>
      </c>
      <c r="B1411" s="7" t="str">
        <f>"38662022042410023736373"</f>
        <v>38662022042410023736373</v>
      </c>
      <c r="C1411" s="7" t="s">
        <v>14</v>
      </c>
      <c r="D1411" s="7" t="str">
        <f>"张小婷"</f>
        <v>张小婷</v>
      </c>
      <c r="E1411" s="7" t="str">
        <f t="shared" si="65"/>
        <v>女</v>
      </c>
    </row>
    <row r="1412" spans="1:5" ht="30" customHeight="1">
      <c r="A1412" s="7">
        <v>1409</v>
      </c>
      <c r="B1412" s="7" t="str">
        <f>"38662022042410075736383"</f>
        <v>38662022042410075736383</v>
      </c>
      <c r="C1412" s="7" t="s">
        <v>14</v>
      </c>
      <c r="D1412" s="7" t="str">
        <f>"黄美娟"</f>
        <v>黄美娟</v>
      </c>
      <c r="E1412" s="7" t="str">
        <f t="shared" si="65"/>
        <v>女</v>
      </c>
    </row>
    <row r="1413" spans="1:5" ht="30" customHeight="1">
      <c r="A1413" s="7">
        <v>1410</v>
      </c>
      <c r="B1413" s="7" t="str">
        <f>"38662022042410205636408"</f>
        <v>38662022042410205636408</v>
      </c>
      <c r="C1413" s="7" t="s">
        <v>14</v>
      </c>
      <c r="D1413" s="7" t="str">
        <f>"张晓椰"</f>
        <v>张晓椰</v>
      </c>
      <c r="E1413" s="7" t="str">
        <f t="shared" si="65"/>
        <v>女</v>
      </c>
    </row>
    <row r="1414" spans="1:5" ht="30" customHeight="1">
      <c r="A1414" s="7">
        <v>1411</v>
      </c>
      <c r="B1414" s="7" t="str">
        <f>"38662022042410430836451"</f>
        <v>38662022042410430836451</v>
      </c>
      <c r="C1414" s="7" t="s">
        <v>14</v>
      </c>
      <c r="D1414" s="7" t="str">
        <f>"陈香池"</f>
        <v>陈香池</v>
      </c>
      <c r="E1414" s="7" t="str">
        <f t="shared" si="65"/>
        <v>女</v>
      </c>
    </row>
    <row r="1415" spans="1:5" ht="30" customHeight="1">
      <c r="A1415" s="7">
        <v>1412</v>
      </c>
      <c r="B1415" s="7" t="str">
        <f>"38662022042413204836732"</f>
        <v>38662022042413204836732</v>
      </c>
      <c r="C1415" s="7" t="s">
        <v>14</v>
      </c>
      <c r="D1415" s="7" t="str">
        <f>"李鹏"</f>
        <v>李鹏</v>
      </c>
      <c r="E1415" s="7" t="str">
        <f t="shared" si="65"/>
        <v>女</v>
      </c>
    </row>
    <row r="1416" spans="1:5" ht="30" customHeight="1">
      <c r="A1416" s="7">
        <v>1413</v>
      </c>
      <c r="B1416" s="7" t="str">
        <f>"38662022042413532036770"</f>
        <v>38662022042413532036770</v>
      </c>
      <c r="C1416" s="7" t="s">
        <v>14</v>
      </c>
      <c r="D1416" s="7" t="str">
        <f>"麦春菊"</f>
        <v>麦春菊</v>
      </c>
      <c r="E1416" s="7" t="str">
        <f t="shared" si="65"/>
        <v>女</v>
      </c>
    </row>
    <row r="1417" spans="1:5" ht="30" customHeight="1">
      <c r="A1417" s="7">
        <v>1414</v>
      </c>
      <c r="B1417" s="7" t="str">
        <f>"38662022042416115737022"</f>
        <v>38662022042416115737022</v>
      </c>
      <c r="C1417" s="7" t="s">
        <v>14</v>
      </c>
      <c r="D1417" s="7" t="str">
        <f>"许文雅"</f>
        <v>许文雅</v>
      </c>
      <c r="E1417" s="7" t="str">
        <f t="shared" si="65"/>
        <v>女</v>
      </c>
    </row>
    <row r="1418" spans="1:5" ht="30" customHeight="1">
      <c r="A1418" s="7">
        <v>1415</v>
      </c>
      <c r="B1418" s="7" t="str">
        <f>"38662022042416555137124"</f>
        <v>38662022042416555137124</v>
      </c>
      <c r="C1418" s="7" t="s">
        <v>14</v>
      </c>
      <c r="D1418" s="7" t="str">
        <f>"陈玉丹"</f>
        <v>陈玉丹</v>
      </c>
      <c r="E1418" s="7" t="str">
        <f t="shared" si="65"/>
        <v>女</v>
      </c>
    </row>
    <row r="1419" spans="1:5" ht="30" customHeight="1">
      <c r="A1419" s="7">
        <v>1416</v>
      </c>
      <c r="B1419" s="7" t="str">
        <f>"38662022042418044137239"</f>
        <v>38662022042418044137239</v>
      </c>
      <c r="C1419" s="7" t="s">
        <v>14</v>
      </c>
      <c r="D1419" s="7" t="str">
        <f>"翁成花"</f>
        <v>翁成花</v>
      </c>
      <c r="E1419" s="7" t="str">
        <f t="shared" si="65"/>
        <v>女</v>
      </c>
    </row>
    <row r="1420" spans="1:5" ht="30" customHeight="1">
      <c r="A1420" s="7">
        <v>1417</v>
      </c>
      <c r="B1420" s="7" t="str">
        <f>"38662022042418052137240"</f>
        <v>38662022042418052137240</v>
      </c>
      <c r="C1420" s="7" t="s">
        <v>14</v>
      </c>
      <c r="D1420" s="7" t="str">
        <f>"云丹雨"</f>
        <v>云丹雨</v>
      </c>
      <c r="E1420" s="7" t="str">
        <f t="shared" si="65"/>
        <v>女</v>
      </c>
    </row>
    <row r="1421" spans="1:5" ht="30" customHeight="1">
      <c r="A1421" s="7">
        <v>1418</v>
      </c>
      <c r="B1421" s="7" t="str">
        <f>"38662022042419231337345"</f>
        <v>38662022042419231337345</v>
      </c>
      <c r="C1421" s="7" t="s">
        <v>14</v>
      </c>
      <c r="D1421" s="7" t="str">
        <f>"林文青"</f>
        <v>林文青</v>
      </c>
      <c r="E1421" s="7" t="str">
        <f t="shared" si="65"/>
        <v>女</v>
      </c>
    </row>
    <row r="1422" spans="1:5" ht="30" customHeight="1">
      <c r="A1422" s="7">
        <v>1419</v>
      </c>
      <c r="B1422" s="7" t="str">
        <f>"38662022042419544637389"</f>
        <v>38662022042419544637389</v>
      </c>
      <c r="C1422" s="7" t="s">
        <v>14</v>
      </c>
      <c r="D1422" s="7" t="str">
        <f>"李乔晓"</f>
        <v>李乔晓</v>
      </c>
      <c r="E1422" s="7" t="str">
        <f t="shared" si="65"/>
        <v>女</v>
      </c>
    </row>
    <row r="1423" spans="1:5" ht="30" customHeight="1">
      <c r="A1423" s="7">
        <v>1420</v>
      </c>
      <c r="B1423" s="7" t="str">
        <f>"38662022042508023937800"</f>
        <v>38662022042508023937800</v>
      </c>
      <c r="C1423" s="7" t="s">
        <v>14</v>
      </c>
      <c r="D1423" s="7" t="str">
        <f>"谢福美"</f>
        <v>谢福美</v>
      </c>
      <c r="E1423" s="7" t="str">
        <f t="shared" si="65"/>
        <v>女</v>
      </c>
    </row>
    <row r="1424" spans="1:5" ht="30" customHeight="1">
      <c r="A1424" s="7">
        <v>1421</v>
      </c>
      <c r="B1424" s="7" t="str">
        <f>"38662022042510355138009"</f>
        <v>38662022042510355138009</v>
      </c>
      <c r="C1424" s="7" t="s">
        <v>14</v>
      </c>
      <c r="D1424" s="7" t="str">
        <f>"陈小娟"</f>
        <v>陈小娟</v>
      </c>
      <c r="E1424" s="7" t="str">
        <f t="shared" si="65"/>
        <v>女</v>
      </c>
    </row>
    <row r="1425" spans="1:5" ht="30" customHeight="1">
      <c r="A1425" s="7">
        <v>1422</v>
      </c>
      <c r="B1425" s="7" t="str">
        <f>"38662022042515505838438"</f>
        <v>38662022042515505838438</v>
      </c>
      <c r="C1425" s="7" t="s">
        <v>14</v>
      </c>
      <c r="D1425" s="7" t="str">
        <f>"韩子珍"</f>
        <v>韩子珍</v>
      </c>
      <c r="E1425" s="7" t="str">
        <f t="shared" si="65"/>
        <v>女</v>
      </c>
    </row>
    <row r="1426" spans="1:5" ht="30" customHeight="1">
      <c r="A1426" s="7">
        <v>1423</v>
      </c>
      <c r="B1426" s="7" t="str">
        <f>"38662022042515591538446"</f>
        <v>38662022042515591538446</v>
      </c>
      <c r="C1426" s="7" t="s">
        <v>14</v>
      </c>
      <c r="D1426" s="7" t="str">
        <f>"陈汉玉"</f>
        <v>陈汉玉</v>
      </c>
      <c r="E1426" s="7" t="str">
        <f t="shared" si="65"/>
        <v>女</v>
      </c>
    </row>
    <row r="1427" spans="1:5" ht="30" customHeight="1">
      <c r="A1427" s="7">
        <v>1424</v>
      </c>
      <c r="B1427" s="7" t="str">
        <f>"38662022042522550138987"</f>
        <v>38662022042522550138987</v>
      </c>
      <c r="C1427" s="7" t="s">
        <v>14</v>
      </c>
      <c r="D1427" s="7" t="str">
        <f>"林永教"</f>
        <v>林永教</v>
      </c>
      <c r="E1427" s="7" t="str">
        <f t="shared" si="65"/>
        <v>女</v>
      </c>
    </row>
    <row r="1428" spans="1:5" ht="30" customHeight="1">
      <c r="A1428" s="7">
        <v>1425</v>
      </c>
      <c r="B1428" s="7" t="str">
        <f>"38662022042609262039208"</f>
        <v>38662022042609262039208</v>
      </c>
      <c r="C1428" s="7" t="s">
        <v>14</v>
      </c>
      <c r="D1428" s="7" t="str">
        <f>"王小浪"</f>
        <v>王小浪</v>
      </c>
      <c r="E1428" s="7" t="str">
        <f t="shared" si="65"/>
        <v>女</v>
      </c>
    </row>
    <row r="1429" spans="1:5" ht="30" customHeight="1">
      <c r="A1429" s="7">
        <v>1426</v>
      </c>
      <c r="B1429" s="7" t="str">
        <f>"38662022042611320439394"</f>
        <v>38662022042611320439394</v>
      </c>
      <c r="C1429" s="7" t="s">
        <v>14</v>
      </c>
      <c r="D1429" s="7" t="str">
        <f>"梁春苗"</f>
        <v>梁春苗</v>
      </c>
      <c r="E1429" s="7" t="str">
        <f t="shared" si="65"/>
        <v>女</v>
      </c>
    </row>
    <row r="1430" spans="1:5" ht="30" customHeight="1">
      <c r="A1430" s="7">
        <v>1427</v>
      </c>
      <c r="B1430" s="7" t="str">
        <f>"38662022042612591339511"</f>
        <v>38662022042612591339511</v>
      </c>
      <c r="C1430" s="7" t="s">
        <v>14</v>
      </c>
      <c r="D1430" s="7" t="str">
        <f>"黎井秀"</f>
        <v>黎井秀</v>
      </c>
      <c r="E1430" s="7" t="str">
        <f t="shared" si="65"/>
        <v>女</v>
      </c>
    </row>
    <row r="1431" spans="1:5" ht="30" customHeight="1">
      <c r="A1431" s="7">
        <v>1428</v>
      </c>
      <c r="B1431" s="7" t="str">
        <f>"38662022042616365639832"</f>
        <v>38662022042616365639832</v>
      </c>
      <c r="C1431" s="7" t="s">
        <v>14</v>
      </c>
      <c r="D1431" s="7" t="str">
        <f>"陈亦煌"</f>
        <v>陈亦煌</v>
      </c>
      <c r="E1431" s="7" t="str">
        <f>"男"</f>
        <v>男</v>
      </c>
    </row>
    <row r="1432" spans="1:5" ht="30" customHeight="1">
      <c r="A1432" s="7">
        <v>1429</v>
      </c>
      <c r="B1432" s="7" t="str">
        <f>"38662022042709564141415"</f>
        <v>38662022042709564141415</v>
      </c>
      <c r="C1432" s="7" t="s">
        <v>14</v>
      </c>
      <c r="D1432" s="7" t="str">
        <f>"何英女"</f>
        <v>何英女</v>
      </c>
      <c r="E1432" s="7" t="str">
        <f aca="true" t="shared" si="66" ref="E1432:E1443">"女"</f>
        <v>女</v>
      </c>
    </row>
    <row r="1433" spans="1:5" ht="30" customHeight="1">
      <c r="A1433" s="7">
        <v>1430</v>
      </c>
      <c r="B1433" s="7" t="str">
        <f>"38662022042712555342899"</f>
        <v>38662022042712555342899</v>
      </c>
      <c r="C1433" s="7" t="s">
        <v>14</v>
      </c>
      <c r="D1433" s="7" t="str">
        <f>"陈娇丽"</f>
        <v>陈娇丽</v>
      </c>
      <c r="E1433" s="7" t="str">
        <f t="shared" si="66"/>
        <v>女</v>
      </c>
    </row>
    <row r="1434" spans="1:5" ht="30" customHeight="1">
      <c r="A1434" s="7">
        <v>1431</v>
      </c>
      <c r="B1434" s="7" t="str">
        <f>"38662022042713280943105"</f>
        <v>38662022042713280943105</v>
      </c>
      <c r="C1434" s="7" t="s">
        <v>14</v>
      </c>
      <c r="D1434" s="7" t="str">
        <f>"陈爱丽"</f>
        <v>陈爱丽</v>
      </c>
      <c r="E1434" s="7" t="str">
        <f t="shared" si="66"/>
        <v>女</v>
      </c>
    </row>
    <row r="1435" spans="1:5" ht="30" customHeight="1">
      <c r="A1435" s="7">
        <v>1432</v>
      </c>
      <c r="B1435" s="7" t="str">
        <f>"38662022042109313025259"</f>
        <v>38662022042109313025259</v>
      </c>
      <c r="C1435" s="7" t="s">
        <v>15</v>
      </c>
      <c r="D1435" s="7" t="str">
        <f>"吴初交"</f>
        <v>吴初交</v>
      </c>
      <c r="E1435" s="7" t="str">
        <f t="shared" si="66"/>
        <v>女</v>
      </c>
    </row>
    <row r="1436" spans="1:5" ht="30" customHeight="1">
      <c r="A1436" s="7">
        <v>1433</v>
      </c>
      <c r="B1436" s="7" t="str">
        <f>"38662022042109355425317"</f>
        <v>38662022042109355425317</v>
      </c>
      <c r="C1436" s="7" t="s">
        <v>15</v>
      </c>
      <c r="D1436" s="7" t="str">
        <f>"李琼英"</f>
        <v>李琼英</v>
      </c>
      <c r="E1436" s="7" t="str">
        <f t="shared" si="66"/>
        <v>女</v>
      </c>
    </row>
    <row r="1437" spans="1:5" ht="30" customHeight="1">
      <c r="A1437" s="7">
        <v>1434</v>
      </c>
      <c r="B1437" s="7" t="str">
        <f>"38662022042109483825472"</f>
        <v>38662022042109483825472</v>
      </c>
      <c r="C1437" s="7" t="s">
        <v>15</v>
      </c>
      <c r="D1437" s="7" t="str">
        <f>"梁奇"</f>
        <v>梁奇</v>
      </c>
      <c r="E1437" s="7" t="str">
        <f t="shared" si="66"/>
        <v>女</v>
      </c>
    </row>
    <row r="1438" spans="1:5" ht="30" customHeight="1">
      <c r="A1438" s="7">
        <v>1435</v>
      </c>
      <c r="B1438" s="7" t="str">
        <f>"38662022042112415727177"</f>
        <v>38662022042112415727177</v>
      </c>
      <c r="C1438" s="7" t="s">
        <v>15</v>
      </c>
      <c r="D1438" s="7" t="str">
        <f>"符树婷"</f>
        <v>符树婷</v>
      </c>
      <c r="E1438" s="7" t="str">
        <f t="shared" si="66"/>
        <v>女</v>
      </c>
    </row>
    <row r="1439" spans="1:5" ht="30" customHeight="1">
      <c r="A1439" s="7">
        <v>1436</v>
      </c>
      <c r="B1439" s="7" t="str">
        <f>"38662022042112491227213"</f>
        <v>38662022042112491227213</v>
      </c>
      <c r="C1439" s="7" t="s">
        <v>15</v>
      </c>
      <c r="D1439" s="7" t="str">
        <f>"陈秋菊"</f>
        <v>陈秋菊</v>
      </c>
      <c r="E1439" s="7" t="str">
        <f t="shared" si="66"/>
        <v>女</v>
      </c>
    </row>
    <row r="1440" spans="1:5" ht="30" customHeight="1">
      <c r="A1440" s="7">
        <v>1437</v>
      </c>
      <c r="B1440" s="7" t="str">
        <f>"38662022042115515228406"</f>
        <v>38662022042115515228406</v>
      </c>
      <c r="C1440" s="7" t="s">
        <v>15</v>
      </c>
      <c r="D1440" s="7" t="str">
        <f>"张桂冠"</f>
        <v>张桂冠</v>
      </c>
      <c r="E1440" s="7" t="str">
        <f t="shared" si="66"/>
        <v>女</v>
      </c>
    </row>
    <row r="1441" spans="1:5" ht="30" customHeight="1">
      <c r="A1441" s="7">
        <v>1438</v>
      </c>
      <c r="B1441" s="7" t="str">
        <f>"38662022042116340128681"</f>
        <v>38662022042116340128681</v>
      </c>
      <c r="C1441" s="7" t="s">
        <v>15</v>
      </c>
      <c r="D1441" s="7" t="str">
        <f>"陈小妹"</f>
        <v>陈小妹</v>
      </c>
      <c r="E1441" s="7" t="str">
        <f t="shared" si="66"/>
        <v>女</v>
      </c>
    </row>
    <row r="1442" spans="1:5" ht="30" customHeight="1">
      <c r="A1442" s="7">
        <v>1439</v>
      </c>
      <c r="B1442" s="7" t="str">
        <f>"38662022042116505128797"</f>
        <v>38662022042116505128797</v>
      </c>
      <c r="C1442" s="7" t="s">
        <v>15</v>
      </c>
      <c r="D1442" s="7" t="str">
        <f>"吴金选"</f>
        <v>吴金选</v>
      </c>
      <c r="E1442" s="7" t="str">
        <f t="shared" si="66"/>
        <v>女</v>
      </c>
    </row>
    <row r="1443" spans="1:5" ht="30" customHeight="1">
      <c r="A1443" s="7">
        <v>1440</v>
      </c>
      <c r="B1443" s="7" t="str">
        <f>"38662022042117252629026"</f>
        <v>38662022042117252629026</v>
      </c>
      <c r="C1443" s="7" t="s">
        <v>15</v>
      </c>
      <c r="D1443" s="7" t="str">
        <f>"文小静"</f>
        <v>文小静</v>
      </c>
      <c r="E1443" s="7" t="str">
        <f t="shared" si="66"/>
        <v>女</v>
      </c>
    </row>
    <row r="1444" spans="1:5" ht="30" customHeight="1">
      <c r="A1444" s="7">
        <v>1441</v>
      </c>
      <c r="B1444" s="7" t="str">
        <f>"38662022042117532629171"</f>
        <v>38662022042117532629171</v>
      </c>
      <c r="C1444" s="7" t="s">
        <v>15</v>
      </c>
      <c r="D1444" s="7" t="str">
        <f>"符传义"</f>
        <v>符传义</v>
      </c>
      <c r="E1444" s="7" t="str">
        <f>"男"</f>
        <v>男</v>
      </c>
    </row>
    <row r="1445" spans="1:5" ht="30" customHeight="1">
      <c r="A1445" s="7">
        <v>1442</v>
      </c>
      <c r="B1445" s="7" t="str">
        <f>"38662022042121142030117"</f>
        <v>38662022042121142030117</v>
      </c>
      <c r="C1445" s="7" t="s">
        <v>15</v>
      </c>
      <c r="D1445" s="7" t="str">
        <f>"许小钰"</f>
        <v>许小钰</v>
      </c>
      <c r="E1445" s="7" t="str">
        <f>"女"</f>
        <v>女</v>
      </c>
    </row>
    <row r="1446" spans="1:5" ht="30" customHeight="1">
      <c r="A1446" s="7">
        <v>1443</v>
      </c>
      <c r="B1446" s="7" t="str">
        <f>"38662022042121180730134"</f>
        <v>38662022042121180730134</v>
      </c>
      <c r="C1446" s="7" t="s">
        <v>15</v>
      </c>
      <c r="D1446" s="7" t="str">
        <f>"文芳玲"</f>
        <v>文芳玲</v>
      </c>
      <c r="E1446" s="7" t="str">
        <f>"女"</f>
        <v>女</v>
      </c>
    </row>
    <row r="1447" spans="1:5" ht="30" customHeight="1">
      <c r="A1447" s="7">
        <v>1444</v>
      </c>
      <c r="B1447" s="7" t="str">
        <f>"38662022042122314630513"</f>
        <v>38662022042122314630513</v>
      </c>
      <c r="C1447" s="7" t="s">
        <v>15</v>
      </c>
      <c r="D1447" s="7" t="str">
        <f>"吴勰勰"</f>
        <v>吴勰勰</v>
      </c>
      <c r="E1447" s="7" t="str">
        <f>"男"</f>
        <v>男</v>
      </c>
    </row>
    <row r="1448" spans="1:5" ht="30" customHeight="1">
      <c r="A1448" s="7">
        <v>1445</v>
      </c>
      <c r="B1448" s="7" t="str">
        <f>"38662022042208052630948"</f>
        <v>38662022042208052630948</v>
      </c>
      <c r="C1448" s="7" t="s">
        <v>15</v>
      </c>
      <c r="D1448" s="7" t="str">
        <f>"吴延娥"</f>
        <v>吴延娥</v>
      </c>
      <c r="E1448" s="7" t="str">
        <f aca="true" t="shared" si="67" ref="E1448:E1461">"女"</f>
        <v>女</v>
      </c>
    </row>
    <row r="1449" spans="1:5" ht="30" customHeight="1">
      <c r="A1449" s="7">
        <v>1446</v>
      </c>
      <c r="B1449" s="7" t="str">
        <f>"38662022042209545031401"</f>
        <v>38662022042209545031401</v>
      </c>
      <c r="C1449" s="7" t="s">
        <v>15</v>
      </c>
      <c r="D1449" s="7" t="str">
        <f>"黄静"</f>
        <v>黄静</v>
      </c>
      <c r="E1449" s="7" t="str">
        <f t="shared" si="67"/>
        <v>女</v>
      </c>
    </row>
    <row r="1450" spans="1:5" ht="30" customHeight="1">
      <c r="A1450" s="7">
        <v>1447</v>
      </c>
      <c r="B1450" s="7" t="str">
        <f>"38662022042211121931879"</f>
        <v>38662022042211121931879</v>
      </c>
      <c r="C1450" s="7" t="s">
        <v>15</v>
      </c>
      <c r="D1450" s="7" t="str">
        <f>"陈少平"</f>
        <v>陈少平</v>
      </c>
      <c r="E1450" s="7" t="str">
        <f t="shared" si="67"/>
        <v>女</v>
      </c>
    </row>
    <row r="1451" spans="1:5" ht="30" customHeight="1">
      <c r="A1451" s="7">
        <v>1448</v>
      </c>
      <c r="B1451" s="7" t="str">
        <f>"38662022042212285532561"</f>
        <v>38662022042212285532561</v>
      </c>
      <c r="C1451" s="7" t="s">
        <v>15</v>
      </c>
      <c r="D1451" s="7" t="str">
        <f>"许妍娥"</f>
        <v>许妍娥</v>
      </c>
      <c r="E1451" s="7" t="str">
        <f t="shared" si="67"/>
        <v>女</v>
      </c>
    </row>
    <row r="1452" spans="1:5" ht="30" customHeight="1">
      <c r="A1452" s="7">
        <v>1449</v>
      </c>
      <c r="B1452" s="7" t="str">
        <f>"38662022042215190533273"</f>
        <v>38662022042215190533273</v>
      </c>
      <c r="C1452" s="7" t="s">
        <v>15</v>
      </c>
      <c r="D1452" s="7" t="str">
        <f>"吴昕颖"</f>
        <v>吴昕颖</v>
      </c>
      <c r="E1452" s="7" t="str">
        <f t="shared" si="67"/>
        <v>女</v>
      </c>
    </row>
    <row r="1453" spans="1:5" ht="30" customHeight="1">
      <c r="A1453" s="7">
        <v>1450</v>
      </c>
      <c r="B1453" s="7" t="str">
        <f>"38662022042220402834542"</f>
        <v>38662022042220402834542</v>
      </c>
      <c r="C1453" s="7" t="s">
        <v>15</v>
      </c>
      <c r="D1453" s="7" t="str">
        <f>"陈红如"</f>
        <v>陈红如</v>
      </c>
      <c r="E1453" s="7" t="str">
        <f t="shared" si="67"/>
        <v>女</v>
      </c>
    </row>
    <row r="1454" spans="1:5" ht="30" customHeight="1">
      <c r="A1454" s="7">
        <v>1451</v>
      </c>
      <c r="B1454" s="7" t="str">
        <f>"38662022042310474835063"</f>
        <v>38662022042310474835063</v>
      </c>
      <c r="C1454" s="7" t="s">
        <v>15</v>
      </c>
      <c r="D1454" s="7" t="str">
        <f>"杨一婷"</f>
        <v>杨一婷</v>
      </c>
      <c r="E1454" s="7" t="str">
        <f t="shared" si="67"/>
        <v>女</v>
      </c>
    </row>
    <row r="1455" spans="1:5" ht="30" customHeight="1">
      <c r="A1455" s="7">
        <v>1452</v>
      </c>
      <c r="B1455" s="7" t="str">
        <f>"38662022042319400335717"</f>
        <v>38662022042319400335717</v>
      </c>
      <c r="C1455" s="7" t="s">
        <v>15</v>
      </c>
      <c r="D1455" s="7" t="str">
        <f>"王释莹"</f>
        <v>王释莹</v>
      </c>
      <c r="E1455" s="7" t="str">
        <f t="shared" si="67"/>
        <v>女</v>
      </c>
    </row>
    <row r="1456" spans="1:5" ht="30" customHeight="1">
      <c r="A1456" s="7">
        <v>1453</v>
      </c>
      <c r="B1456" s="7" t="str">
        <f>"38662022042320383435804"</f>
        <v>38662022042320383435804</v>
      </c>
      <c r="C1456" s="7" t="s">
        <v>15</v>
      </c>
      <c r="D1456" s="7" t="str">
        <f>"梁潮萍"</f>
        <v>梁潮萍</v>
      </c>
      <c r="E1456" s="7" t="str">
        <f t="shared" si="67"/>
        <v>女</v>
      </c>
    </row>
    <row r="1457" spans="1:5" ht="30" customHeight="1">
      <c r="A1457" s="7">
        <v>1454</v>
      </c>
      <c r="B1457" s="7" t="str">
        <f>"38662022042412525736687"</f>
        <v>38662022042412525736687</v>
      </c>
      <c r="C1457" s="7" t="s">
        <v>15</v>
      </c>
      <c r="D1457" s="7" t="str">
        <f>"邓玉娜"</f>
        <v>邓玉娜</v>
      </c>
      <c r="E1457" s="7" t="str">
        <f t="shared" si="67"/>
        <v>女</v>
      </c>
    </row>
    <row r="1458" spans="1:5" ht="30" customHeight="1">
      <c r="A1458" s="7">
        <v>1455</v>
      </c>
      <c r="B1458" s="7" t="str">
        <f>"38662022042415541536986"</f>
        <v>38662022042415541536986</v>
      </c>
      <c r="C1458" s="7" t="s">
        <v>15</v>
      </c>
      <c r="D1458" s="7" t="str">
        <f>"陈福映"</f>
        <v>陈福映</v>
      </c>
      <c r="E1458" s="7" t="str">
        <f t="shared" si="67"/>
        <v>女</v>
      </c>
    </row>
    <row r="1459" spans="1:5" ht="30" customHeight="1">
      <c r="A1459" s="7">
        <v>1456</v>
      </c>
      <c r="B1459" s="7" t="str">
        <f>"38662022042417560037224"</f>
        <v>38662022042417560037224</v>
      </c>
      <c r="C1459" s="7" t="s">
        <v>15</v>
      </c>
      <c r="D1459" s="7" t="str">
        <f>"孙舒琪"</f>
        <v>孙舒琪</v>
      </c>
      <c r="E1459" s="7" t="str">
        <f t="shared" si="67"/>
        <v>女</v>
      </c>
    </row>
    <row r="1460" spans="1:5" ht="30" customHeight="1">
      <c r="A1460" s="7">
        <v>1457</v>
      </c>
      <c r="B1460" s="7" t="str">
        <f>"38662022042418121237252"</f>
        <v>38662022042418121237252</v>
      </c>
      <c r="C1460" s="7" t="s">
        <v>15</v>
      </c>
      <c r="D1460" s="7" t="str">
        <f>"陈妹女"</f>
        <v>陈妹女</v>
      </c>
      <c r="E1460" s="7" t="str">
        <f t="shared" si="67"/>
        <v>女</v>
      </c>
    </row>
    <row r="1461" spans="1:5" ht="30" customHeight="1">
      <c r="A1461" s="7">
        <v>1458</v>
      </c>
      <c r="B1461" s="7" t="str">
        <f>"38662022042420032937399"</f>
        <v>38662022042420032937399</v>
      </c>
      <c r="C1461" s="7" t="s">
        <v>15</v>
      </c>
      <c r="D1461" s="7" t="str">
        <f>"杨祥梅"</f>
        <v>杨祥梅</v>
      </c>
      <c r="E1461" s="7" t="str">
        <f t="shared" si="67"/>
        <v>女</v>
      </c>
    </row>
    <row r="1462" spans="1:5" ht="30" customHeight="1">
      <c r="A1462" s="7">
        <v>1459</v>
      </c>
      <c r="B1462" s="7" t="str">
        <f>"38662022042501284337779"</f>
        <v>38662022042501284337779</v>
      </c>
      <c r="C1462" s="7" t="s">
        <v>15</v>
      </c>
      <c r="D1462" s="7" t="str">
        <f>"汤昌弟"</f>
        <v>汤昌弟</v>
      </c>
      <c r="E1462" s="7" t="str">
        <f>"男"</f>
        <v>男</v>
      </c>
    </row>
    <row r="1463" spans="1:5" ht="30" customHeight="1">
      <c r="A1463" s="7">
        <v>1460</v>
      </c>
      <c r="B1463" s="7" t="str">
        <f>"38662022042518003138610"</f>
        <v>38662022042518003138610</v>
      </c>
      <c r="C1463" s="7" t="s">
        <v>15</v>
      </c>
      <c r="D1463" s="7" t="str">
        <f>"李梦鑫"</f>
        <v>李梦鑫</v>
      </c>
      <c r="E1463" s="7" t="str">
        <f aca="true" t="shared" si="68" ref="E1463:E1480">"女"</f>
        <v>女</v>
      </c>
    </row>
    <row r="1464" spans="1:5" ht="30" customHeight="1">
      <c r="A1464" s="7">
        <v>1461</v>
      </c>
      <c r="B1464" s="7" t="str">
        <f>"38662022042611225139382"</f>
        <v>38662022042611225139382</v>
      </c>
      <c r="C1464" s="7" t="s">
        <v>15</v>
      </c>
      <c r="D1464" s="7" t="str">
        <f>"陈欢"</f>
        <v>陈欢</v>
      </c>
      <c r="E1464" s="7" t="str">
        <f t="shared" si="68"/>
        <v>女</v>
      </c>
    </row>
    <row r="1465" spans="1:5" ht="30" customHeight="1">
      <c r="A1465" s="7">
        <v>1462</v>
      </c>
      <c r="B1465" s="7" t="str">
        <f>"38662022042615562939748"</f>
        <v>38662022042615562939748</v>
      </c>
      <c r="C1465" s="7" t="s">
        <v>15</v>
      </c>
      <c r="D1465" s="7" t="str">
        <f>"谢润蕾"</f>
        <v>谢润蕾</v>
      </c>
      <c r="E1465" s="7" t="str">
        <f t="shared" si="68"/>
        <v>女</v>
      </c>
    </row>
    <row r="1466" spans="1:5" ht="30" customHeight="1">
      <c r="A1466" s="7">
        <v>1463</v>
      </c>
      <c r="B1466" s="7" t="str">
        <f>"38662022042708433840618"</f>
        <v>38662022042708433840618</v>
      </c>
      <c r="C1466" s="7" t="s">
        <v>15</v>
      </c>
      <c r="D1466" s="7" t="str">
        <f>"王琼利"</f>
        <v>王琼利</v>
      </c>
      <c r="E1466" s="7" t="str">
        <f t="shared" si="68"/>
        <v>女</v>
      </c>
    </row>
    <row r="1467" spans="1:5" ht="30" customHeight="1">
      <c r="A1467" s="7">
        <v>1464</v>
      </c>
      <c r="B1467" s="7" t="str">
        <f>"38662022042709580341433"</f>
        <v>38662022042709580341433</v>
      </c>
      <c r="C1467" s="7" t="s">
        <v>15</v>
      </c>
      <c r="D1467" s="7" t="str">
        <f>"蒋严"</f>
        <v>蒋严</v>
      </c>
      <c r="E1467" s="7" t="str">
        <f t="shared" si="68"/>
        <v>女</v>
      </c>
    </row>
    <row r="1468" spans="1:5" ht="30" customHeight="1">
      <c r="A1468" s="7">
        <v>1465</v>
      </c>
      <c r="B1468" s="7" t="str">
        <f>"38662022042713073342972"</f>
        <v>38662022042713073342972</v>
      </c>
      <c r="C1468" s="7" t="s">
        <v>15</v>
      </c>
      <c r="D1468" s="7" t="str">
        <f>"周艳玲"</f>
        <v>周艳玲</v>
      </c>
      <c r="E1468" s="7" t="str">
        <f t="shared" si="68"/>
        <v>女</v>
      </c>
    </row>
    <row r="1469" spans="1:5" ht="30" customHeight="1">
      <c r="A1469" s="7">
        <v>1466</v>
      </c>
      <c r="B1469" s="7" t="str">
        <f>"38662022042714460343563"</f>
        <v>38662022042714460343563</v>
      </c>
      <c r="C1469" s="7" t="s">
        <v>15</v>
      </c>
      <c r="D1469" s="7" t="str">
        <f>"刘炎"</f>
        <v>刘炎</v>
      </c>
      <c r="E1469" s="7" t="str">
        <f t="shared" si="68"/>
        <v>女</v>
      </c>
    </row>
    <row r="1470" spans="1:5" ht="30" customHeight="1">
      <c r="A1470" s="7">
        <v>1467</v>
      </c>
      <c r="B1470" s="7" t="str">
        <f>"38662022042715545743999"</f>
        <v>38662022042715545743999</v>
      </c>
      <c r="C1470" s="7" t="s">
        <v>15</v>
      </c>
      <c r="D1470" s="7" t="str">
        <f>"麦小菲"</f>
        <v>麦小菲</v>
      </c>
      <c r="E1470" s="7" t="str">
        <f t="shared" si="68"/>
        <v>女</v>
      </c>
    </row>
    <row r="1471" spans="1:5" ht="30" customHeight="1">
      <c r="A1471" s="7">
        <v>1468</v>
      </c>
      <c r="B1471" s="7" t="str">
        <f>"38662022042109145525063"</f>
        <v>38662022042109145525063</v>
      </c>
      <c r="C1471" s="7" t="s">
        <v>16</v>
      </c>
      <c r="D1471" s="7" t="str">
        <f>"羊明珠"</f>
        <v>羊明珠</v>
      </c>
      <c r="E1471" s="7" t="str">
        <f t="shared" si="68"/>
        <v>女</v>
      </c>
    </row>
    <row r="1472" spans="1:5" ht="30" customHeight="1">
      <c r="A1472" s="7">
        <v>1469</v>
      </c>
      <c r="B1472" s="7" t="str">
        <f>"38662022042109293925236"</f>
        <v>38662022042109293925236</v>
      </c>
      <c r="C1472" s="7" t="s">
        <v>16</v>
      </c>
      <c r="D1472" s="7" t="str">
        <f>"何佳桢"</f>
        <v>何佳桢</v>
      </c>
      <c r="E1472" s="7" t="str">
        <f t="shared" si="68"/>
        <v>女</v>
      </c>
    </row>
    <row r="1473" spans="1:5" ht="30" customHeight="1">
      <c r="A1473" s="7">
        <v>1470</v>
      </c>
      <c r="B1473" s="7" t="str">
        <f>"38662022042109510425499"</f>
        <v>38662022042109510425499</v>
      </c>
      <c r="C1473" s="7" t="s">
        <v>16</v>
      </c>
      <c r="D1473" s="7" t="str">
        <f>"马静"</f>
        <v>马静</v>
      </c>
      <c r="E1473" s="7" t="str">
        <f t="shared" si="68"/>
        <v>女</v>
      </c>
    </row>
    <row r="1474" spans="1:5" ht="30" customHeight="1">
      <c r="A1474" s="7">
        <v>1471</v>
      </c>
      <c r="B1474" s="7" t="str">
        <f>"38662022042110020825659"</f>
        <v>38662022042110020825659</v>
      </c>
      <c r="C1474" s="7" t="s">
        <v>16</v>
      </c>
      <c r="D1474" s="7" t="str">
        <f>"钟专"</f>
        <v>钟专</v>
      </c>
      <c r="E1474" s="7" t="str">
        <f t="shared" si="68"/>
        <v>女</v>
      </c>
    </row>
    <row r="1475" spans="1:5" ht="30" customHeight="1">
      <c r="A1475" s="7">
        <v>1472</v>
      </c>
      <c r="B1475" s="7" t="str">
        <f>"38662022042110090125743"</f>
        <v>38662022042110090125743</v>
      </c>
      <c r="C1475" s="7" t="s">
        <v>16</v>
      </c>
      <c r="D1475" s="7" t="str">
        <f>"李春儒"</f>
        <v>李春儒</v>
      </c>
      <c r="E1475" s="7" t="str">
        <f t="shared" si="68"/>
        <v>女</v>
      </c>
    </row>
    <row r="1476" spans="1:5" ht="30" customHeight="1">
      <c r="A1476" s="7">
        <v>1473</v>
      </c>
      <c r="B1476" s="7" t="str">
        <f>"38662022042110332326058"</f>
        <v>38662022042110332326058</v>
      </c>
      <c r="C1476" s="7" t="s">
        <v>16</v>
      </c>
      <c r="D1476" s="7" t="str">
        <f>"张其菊"</f>
        <v>张其菊</v>
      </c>
      <c r="E1476" s="7" t="str">
        <f t="shared" si="68"/>
        <v>女</v>
      </c>
    </row>
    <row r="1477" spans="1:5" ht="30" customHeight="1">
      <c r="A1477" s="7">
        <v>1474</v>
      </c>
      <c r="B1477" s="7" t="str">
        <f>"38662022042110465026218"</f>
        <v>38662022042110465026218</v>
      </c>
      <c r="C1477" s="7" t="s">
        <v>16</v>
      </c>
      <c r="D1477" s="7" t="str">
        <f>"李秋妹"</f>
        <v>李秋妹</v>
      </c>
      <c r="E1477" s="7" t="str">
        <f t="shared" si="68"/>
        <v>女</v>
      </c>
    </row>
    <row r="1478" spans="1:5" ht="30" customHeight="1">
      <c r="A1478" s="7">
        <v>1475</v>
      </c>
      <c r="B1478" s="7" t="str">
        <f>"38662022042110573926343"</f>
        <v>38662022042110573926343</v>
      </c>
      <c r="C1478" s="7" t="s">
        <v>16</v>
      </c>
      <c r="D1478" s="7" t="str">
        <f>"唐俊苑"</f>
        <v>唐俊苑</v>
      </c>
      <c r="E1478" s="7" t="str">
        <f t="shared" si="68"/>
        <v>女</v>
      </c>
    </row>
    <row r="1479" spans="1:5" ht="30" customHeight="1">
      <c r="A1479" s="7">
        <v>1476</v>
      </c>
      <c r="B1479" s="7" t="str">
        <f>"38662022042111221626575"</f>
        <v>38662022042111221626575</v>
      </c>
      <c r="C1479" s="7" t="s">
        <v>16</v>
      </c>
      <c r="D1479" s="7" t="str">
        <f>"林雯霞"</f>
        <v>林雯霞</v>
      </c>
      <c r="E1479" s="7" t="str">
        <f t="shared" si="68"/>
        <v>女</v>
      </c>
    </row>
    <row r="1480" spans="1:5" ht="30" customHeight="1">
      <c r="A1480" s="7">
        <v>1477</v>
      </c>
      <c r="B1480" s="7" t="str">
        <f>"38662022042111370226701"</f>
        <v>38662022042111370226701</v>
      </c>
      <c r="C1480" s="7" t="s">
        <v>16</v>
      </c>
      <c r="D1480" s="7" t="str">
        <f>"王春蕊"</f>
        <v>王春蕊</v>
      </c>
      <c r="E1480" s="7" t="str">
        <f t="shared" si="68"/>
        <v>女</v>
      </c>
    </row>
    <row r="1481" spans="1:5" ht="30" customHeight="1">
      <c r="A1481" s="7">
        <v>1478</v>
      </c>
      <c r="B1481" s="7" t="str">
        <f>"38662022042114045727572"</f>
        <v>38662022042114045727572</v>
      </c>
      <c r="C1481" s="7" t="s">
        <v>16</v>
      </c>
      <c r="D1481" s="7" t="str">
        <f>"饶铸海"</f>
        <v>饶铸海</v>
      </c>
      <c r="E1481" s="7" t="str">
        <f>"男"</f>
        <v>男</v>
      </c>
    </row>
    <row r="1482" spans="1:5" ht="30" customHeight="1">
      <c r="A1482" s="7">
        <v>1479</v>
      </c>
      <c r="B1482" s="7" t="str">
        <f>"38662022042114550927925"</f>
        <v>38662022042114550927925</v>
      </c>
      <c r="C1482" s="7" t="s">
        <v>16</v>
      </c>
      <c r="D1482" s="7" t="str">
        <f>"曾应丹"</f>
        <v>曾应丹</v>
      </c>
      <c r="E1482" s="7" t="str">
        <f>"女"</f>
        <v>女</v>
      </c>
    </row>
    <row r="1483" spans="1:5" ht="30" customHeight="1">
      <c r="A1483" s="7">
        <v>1480</v>
      </c>
      <c r="B1483" s="7" t="str">
        <f>"38662022042115053928011"</f>
        <v>38662022042115053928011</v>
      </c>
      <c r="C1483" s="7" t="s">
        <v>16</v>
      </c>
      <c r="D1483" s="7" t="str">
        <f>"周艳娜"</f>
        <v>周艳娜</v>
      </c>
      <c r="E1483" s="7" t="str">
        <f>"女"</f>
        <v>女</v>
      </c>
    </row>
    <row r="1484" spans="1:5" ht="30" customHeight="1">
      <c r="A1484" s="7">
        <v>1481</v>
      </c>
      <c r="B1484" s="7" t="str">
        <f>"38662022042115133828089"</f>
        <v>38662022042115133828089</v>
      </c>
      <c r="C1484" s="7" t="s">
        <v>16</v>
      </c>
      <c r="D1484" s="7" t="str">
        <f>"余明真"</f>
        <v>余明真</v>
      </c>
      <c r="E1484" s="7" t="str">
        <f>"女"</f>
        <v>女</v>
      </c>
    </row>
    <row r="1485" spans="1:5" ht="30" customHeight="1">
      <c r="A1485" s="7">
        <v>1482</v>
      </c>
      <c r="B1485" s="7" t="str">
        <f>"38662022042115290728225"</f>
        <v>38662022042115290728225</v>
      </c>
      <c r="C1485" s="7" t="s">
        <v>16</v>
      </c>
      <c r="D1485" s="7" t="str">
        <f>"陈小慧"</f>
        <v>陈小慧</v>
      </c>
      <c r="E1485" s="7" t="str">
        <f>"女"</f>
        <v>女</v>
      </c>
    </row>
    <row r="1486" spans="1:5" ht="30" customHeight="1">
      <c r="A1486" s="7">
        <v>1483</v>
      </c>
      <c r="B1486" s="7" t="str">
        <f>"38662022042115352828276"</f>
        <v>38662022042115352828276</v>
      </c>
      <c r="C1486" s="7" t="s">
        <v>16</v>
      </c>
      <c r="D1486" s="7" t="str">
        <f>"赵文立"</f>
        <v>赵文立</v>
      </c>
      <c r="E1486" s="7" t="str">
        <f>"男"</f>
        <v>男</v>
      </c>
    </row>
    <row r="1487" spans="1:5" ht="30" customHeight="1">
      <c r="A1487" s="7">
        <v>1484</v>
      </c>
      <c r="B1487" s="7" t="str">
        <f>"38662022042115385328301"</f>
        <v>38662022042115385328301</v>
      </c>
      <c r="C1487" s="7" t="s">
        <v>16</v>
      </c>
      <c r="D1487" s="7" t="str">
        <f>"麦坚慧"</f>
        <v>麦坚慧</v>
      </c>
      <c r="E1487" s="7" t="str">
        <f aca="true" t="shared" si="69" ref="E1487:E1496">"女"</f>
        <v>女</v>
      </c>
    </row>
    <row r="1488" spans="1:5" ht="30" customHeight="1">
      <c r="A1488" s="7">
        <v>1485</v>
      </c>
      <c r="B1488" s="7" t="str">
        <f>"38662022042116171428567"</f>
        <v>38662022042116171428567</v>
      </c>
      <c r="C1488" s="7" t="s">
        <v>16</v>
      </c>
      <c r="D1488" s="7" t="str">
        <f>"杨阳"</f>
        <v>杨阳</v>
      </c>
      <c r="E1488" s="7" t="str">
        <f t="shared" si="69"/>
        <v>女</v>
      </c>
    </row>
    <row r="1489" spans="1:5" ht="30" customHeight="1">
      <c r="A1489" s="7">
        <v>1486</v>
      </c>
      <c r="B1489" s="7" t="str">
        <f>"38662022042116501928792"</f>
        <v>38662022042116501928792</v>
      </c>
      <c r="C1489" s="7" t="s">
        <v>16</v>
      </c>
      <c r="D1489" s="7" t="str">
        <f>"符钰月"</f>
        <v>符钰月</v>
      </c>
      <c r="E1489" s="7" t="str">
        <f t="shared" si="69"/>
        <v>女</v>
      </c>
    </row>
    <row r="1490" spans="1:5" ht="30" customHeight="1">
      <c r="A1490" s="7">
        <v>1487</v>
      </c>
      <c r="B1490" s="7" t="str">
        <f>"38662022042117513029158"</f>
        <v>38662022042117513029158</v>
      </c>
      <c r="C1490" s="7" t="s">
        <v>16</v>
      </c>
      <c r="D1490" s="7" t="str">
        <f>"符应桃"</f>
        <v>符应桃</v>
      </c>
      <c r="E1490" s="7" t="str">
        <f t="shared" si="69"/>
        <v>女</v>
      </c>
    </row>
    <row r="1491" spans="1:5" ht="30" customHeight="1">
      <c r="A1491" s="7">
        <v>1488</v>
      </c>
      <c r="B1491" s="7" t="str">
        <f>"38662022042119064029479"</f>
        <v>38662022042119064029479</v>
      </c>
      <c r="C1491" s="7" t="s">
        <v>16</v>
      </c>
      <c r="D1491" s="7" t="str">
        <f>"林桂梅"</f>
        <v>林桂梅</v>
      </c>
      <c r="E1491" s="7" t="str">
        <f t="shared" si="69"/>
        <v>女</v>
      </c>
    </row>
    <row r="1492" spans="1:5" ht="30" customHeight="1">
      <c r="A1492" s="7">
        <v>1489</v>
      </c>
      <c r="B1492" s="7" t="str">
        <f>"38662022042119354729618"</f>
        <v>38662022042119354729618</v>
      </c>
      <c r="C1492" s="7" t="s">
        <v>16</v>
      </c>
      <c r="D1492" s="7" t="str">
        <f>"吴海容"</f>
        <v>吴海容</v>
      </c>
      <c r="E1492" s="7" t="str">
        <f t="shared" si="69"/>
        <v>女</v>
      </c>
    </row>
    <row r="1493" spans="1:5" ht="30" customHeight="1">
      <c r="A1493" s="7">
        <v>1490</v>
      </c>
      <c r="B1493" s="7" t="str">
        <f>"38662022042208213530982"</f>
        <v>38662022042208213530982</v>
      </c>
      <c r="C1493" s="7" t="s">
        <v>16</v>
      </c>
      <c r="D1493" s="7" t="str">
        <f>"钟燕含"</f>
        <v>钟燕含</v>
      </c>
      <c r="E1493" s="7" t="str">
        <f t="shared" si="69"/>
        <v>女</v>
      </c>
    </row>
    <row r="1494" spans="1:5" ht="30" customHeight="1">
      <c r="A1494" s="7">
        <v>1491</v>
      </c>
      <c r="B1494" s="7" t="str">
        <f>"38662022042208381131027"</f>
        <v>38662022042208381131027</v>
      </c>
      <c r="C1494" s="7" t="s">
        <v>16</v>
      </c>
      <c r="D1494" s="7" t="str">
        <f>"张燕慧"</f>
        <v>张燕慧</v>
      </c>
      <c r="E1494" s="7" t="str">
        <f t="shared" si="69"/>
        <v>女</v>
      </c>
    </row>
    <row r="1495" spans="1:5" ht="30" customHeight="1">
      <c r="A1495" s="7">
        <v>1492</v>
      </c>
      <c r="B1495" s="7" t="str">
        <f>"38662022042209055831156"</f>
        <v>38662022042209055831156</v>
      </c>
      <c r="C1495" s="7" t="s">
        <v>16</v>
      </c>
      <c r="D1495" s="7" t="str">
        <f>"叶紫佳"</f>
        <v>叶紫佳</v>
      </c>
      <c r="E1495" s="7" t="str">
        <f t="shared" si="69"/>
        <v>女</v>
      </c>
    </row>
    <row r="1496" spans="1:5" ht="30" customHeight="1">
      <c r="A1496" s="7">
        <v>1493</v>
      </c>
      <c r="B1496" s="7" t="str">
        <f>"38662022042210240431600"</f>
        <v>38662022042210240431600</v>
      </c>
      <c r="C1496" s="7" t="s">
        <v>16</v>
      </c>
      <c r="D1496" s="7" t="str">
        <f>"邱玉莹"</f>
        <v>邱玉莹</v>
      </c>
      <c r="E1496" s="7" t="str">
        <f t="shared" si="69"/>
        <v>女</v>
      </c>
    </row>
    <row r="1497" spans="1:5" ht="30" customHeight="1">
      <c r="A1497" s="7">
        <v>1494</v>
      </c>
      <c r="B1497" s="7" t="str">
        <f>"38662022042211344932338"</f>
        <v>38662022042211344932338</v>
      </c>
      <c r="C1497" s="7" t="s">
        <v>16</v>
      </c>
      <c r="D1497" s="7" t="str">
        <f>"张夏鹏"</f>
        <v>张夏鹏</v>
      </c>
      <c r="E1497" s="7" t="str">
        <f>"男"</f>
        <v>男</v>
      </c>
    </row>
    <row r="1498" spans="1:5" ht="30" customHeight="1">
      <c r="A1498" s="7">
        <v>1495</v>
      </c>
      <c r="B1498" s="7" t="str">
        <f>"38662022042211382932358"</f>
        <v>38662022042211382932358</v>
      </c>
      <c r="C1498" s="7" t="s">
        <v>16</v>
      </c>
      <c r="D1498" s="7" t="str">
        <f>"苏惠"</f>
        <v>苏惠</v>
      </c>
      <c r="E1498" s="7" t="str">
        <f aca="true" t="shared" si="70" ref="E1498:E1503">"女"</f>
        <v>女</v>
      </c>
    </row>
    <row r="1499" spans="1:5" ht="30" customHeight="1">
      <c r="A1499" s="7">
        <v>1496</v>
      </c>
      <c r="B1499" s="7" t="str">
        <f>"38662022042211492832412"</f>
        <v>38662022042211492832412</v>
      </c>
      <c r="C1499" s="7" t="s">
        <v>16</v>
      </c>
      <c r="D1499" s="7" t="str">
        <f>"邢增完"</f>
        <v>邢增完</v>
      </c>
      <c r="E1499" s="7" t="str">
        <f t="shared" si="70"/>
        <v>女</v>
      </c>
    </row>
    <row r="1500" spans="1:5" ht="30" customHeight="1">
      <c r="A1500" s="7">
        <v>1497</v>
      </c>
      <c r="B1500" s="7" t="str">
        <f>"38662022042212324032582"</f>
        <v>38662022042212324032582</v>
      </c>
      <c r="C1500" s="7" t="s">
        <v>16</v>
      </c>
      <c r="D1500" s="7" t="str">
        <f>"吴佳佳"</f>
        <v>吴佳佳</v>
      </c>
      <c r="E1500" s="7" t="str">
        <f t="shared" si="70"/>
        <v>女</v>
      </c>
    </row>
    <row r="1501" spans="1:5" ht="30" customHeight="1">
      <c r="A1501" s="7">
        <v>1498</v>
      </c>
      <c r="B1501" s="7" t="str">
        <f>"38662022042215295333346"</f>
        <v>38662022042215295333346</v>
      </c>
      <c r="C1501" s="7" t="s">
        <v>16</v>
      </c>
      <c r="D1501" s="7" t="str">
        <f>"朱文婧"</f>
        <v>朱文婧</v>
      </c>
      <c r="E1501" s="7" t="str">
        <f t="shared" si="70"/>
        <v>女</v>
      </c>
    </row>
    <row r="1502" spans="1:5" ht="30" customHeight="1">
      <c r="A1502" s="7">
        <v>1499</v>
      </c>
      <c r="B1502" s="7" t="str">
        <f>"38662022042215503433478"</f>
        <v>38662022042215503433478</v>
      </c>
      <c r="C1502" s="7" t="s">
        <v>16</v>
      </c>
      <c r="D1502" s="7" t="str">
        <f>"王晨燕"</f>
        <v>王晨燕</v>
      </c>
      <c r="E1502" s="7" t="str">
        <f t="shared" si="70"/>
        <v>女</v>
      </c>
    </row>
    <row r="1503" spans="1:5" ht="30" customHeight="1">
      <c r="A1503" s="7">
        <v>1500</v>
      </c>
      <c r="B1503" s="7" t="str">
        <f>"38662022042216474833850"</f>
        <v>38662022042216474833850</v>
      </c>
      <c r="C1503" s="7" t="s">
        <v>16</v>
      </c>
      <c r="D1503" s="7" t="str">
        <f>"陈春霞"</f>
        <v>陈春霞</v>
      </c>
      <c r="E1503" s="7" t="str">
        <f t="shared" si="70"/>
        <v>女</v>
      </c>
    </row>
    <row r="1504" spans="1:5" ht="30" customHeight="1">
      <c r="A1504" s="7">
        <v>1501</v>
      </c>
      <c r="B1504" s="7" t="str">
        <f>"38662022042218444434316"</f>
        <v>38662022042218444434316</v>
      </c>
      <c r="C1504" s="7" t="s">
        <v>16</v>
      </c>
      <c r="D1504" s="7" t="str">
        <f>"关泽智"</f>
        <v>关泽智</v>
      </c>
      <c r="E1504" s="7" t="str">
        <f>"男"</f>
        <v>男</v>
      </c>
    </row>
    <row r="1505" spans="1:5" ht="30" customHeight="1">
      <c r="A1505" s="7">
        <v>1502</v>
      </c>
      <c r="B1505" s="7" t="str">
        <f>"38662022042309315334959"</f>
        <v>38662022042309315334959</v>
      </c>
      <c r="C1505" s="7" t="s">
        <v>16</v>
      </c>
      <c r="D1505" s="7" t="str">
        <f>"黄诗婷"</f>
        <v>黄诗婷</v>
      </c>
      <c r="E1505" s="7" t="str">
        <f aca="true" t="shared" si="71" ref="E1505:E1525">"女"</f>
        <v>女</v>
      </c>
    </row>
    <row r="1506" spans="1:5" ht="30" customHeight="1">
      <c r="A1506" s="7">
        <v>1503</v>
      </c>
      <c r="B1506" s="7" t="str">
        <f>"38662022042311365635136"</f>
        <v>38662022042311365635136</v>
      </c>
      <c r="C1506" s="7" t="s">
        <v>16</v>
      </c>
      <c r="D1506" s="7" t="str">
        <f>"王翠萍"</f>
        <v>王翠萍</v>
      </c>
      <c r="E1506" s="7" t="str">
        <f t="shared" si="71"/>
        <v>女</v>
      </c>
    </row>
    <row r="1507" spans="1:5" ht="30" customHeight="1">
      <c r="A1507" s="7">
        <v>1504</v>
      </c>
      <c r="B1507" s="7" t="str">
        <f>"38662022042312574935234"</f>
        <v>38662022042312574935234</v>
      </c>
      <c r="C1507" s="7" t="s">
        <v>16</v>
      </c>
      <c r="D1507" s="7" t="str">
        <f>"刘片"</f>
        <v>刘片</v>
      </c>
      <c r="E1507" s="7" t="str">
        <f t="shared" si="71"/>
        <v>女</v>
      </c>
    </row>
    <row r="1508" spans="1:5" ht="30" customHeight="1">
      <c r="A1508" s="7">
        <v>1505</v>
      </c>
      <c r="B1508" s="7" t="str">
        <f>"38662022042313392535276"</f>
        <v>38662022042313392535276</v>
      </c>
      <c r="C1508" s="7" t="s">
        <v>16</v>
      </c>
      <c r="D1508" s="7" t="str">
        <f>"付明月"</f>
        <v>付明月</v>
      </c>
      <c r="E1508" s="7" t="str">
        <f t="shared" si="71"/>
        <v>女</v>
      </c>
    </row>
    <row r="1509" spans="1:5" ht="30" customHeight="1">
      <c r="A1509" s="7">
        <v>1506</v>
      </c>
      <c r="B1509" s="7" t="str">
        <f>"38662022042317313635600"</f>
        <v>38662022042317313635600</v>
      </c>
      <c r="C1509" s="7" t="s">
        <v>16</v>
      </c>
      <c r="D1509" s="7" t="str">
        <f>"陶玲"</f>
        <v>陶玲</v>
      </c>
      <c r="E1509" s="7" t="str">
        <f t="shared" si="71"/>
        <v>女</v>
      </c>
    </row>
    <row r="1510" spans="1:5" ht="30" customHeight="1">
      <c r="A1510" s="7">
        <v>1507</v>
      </c>
      <c r="B1510" s="7" t="str">
        <f>"38662022042317580435627"</f>
        <v>38662022042317580435627</v>
      </c>
      <c r="C1510" s="7" t="s">
        <v>16</v>
      </c>
      <c r="D1510" s="7" t="str">
        <f>"王银锚"</f>
        <v>王银锚</v>
      </c>
      <c r="E1510" s="7" t="str">
        <f t="shared" si="71"/>
        <v>女</v>
      </c>
    </row>
    <row r="1511" spans="1:5" ht="30" customHeight="1">
      <c r="A1511" s="7">
        <v>1508</v>
      </c>
      <c r="B1511" s="7" t="str">
        <f>"38662022042319532535730"</f>
        <v>38662022042319532535730</v>
      </c>
      <c r="C1511" s="7" t="s">
        <v>16</v>
      </c>
      <c r="D1511" s="7" t="str">
        <f>"苏静"</f>
        <v>苏静</v>
      </c>
      <c r="E1511" s="7" t="str">
        <f t="shared" si="71"/>
        <v>女</v>
      </c>
    </row>
    <row r="1512" spans="1:5" ht="30" customHeight="1">
      <c r="A1512" s="7">
        <v>1509</v>
      </c>
      <c r="B1512" s="7" t="str">
        <f>"38662022042400014436110"</f>
        <v>38662022042400014436110</v>
      </c>
      <c r="C1512" s="7" t="s">
        <v>16</v>
      </c>
      <c r="D1512" s="7" t="str">
        <f>"王鑫花"</f>
        <v>王鑫花</v>
      </c>
      <c r="E1512" s="7" t="str">
        <f t="shared" si="71"/>
        <v>女</v>
      </c>
    </row>
    <row r="1513" spans="1:5" ht="30" customHeight="1">
      <c r="A1513" s="7">
        <v>1510</v>
      </c>
      <c r="B1513" s="7" t="str">
        <f>"38662022042416401237088"</f>
        <v>38662022042416401237088</v>
      </c>
      <c r="C1513" s="7" t="s">
        <v>16</v>
      </c>
      <c r="D1513" s="7" t="str">
        <f>"符丽霞"</f>
        <v>符丽霞</v>
      </c>
      <c r="E1513" s="7" t="str">
        <f t="shared" si="71"/>
        <v>女</v>
      </c>
    </row>
    <row r="1514" spans="1:5" ht="30" customHeight="1">
      <c r="A1514" s="7">
        <v>1511</v>
      </c>
      <c r="B1514" s="7" t="str">
        <f>"38662022042422362837654"</f>
        <v>38662022042422362837654</v>
      </c>
      <c r="C1514" s="7" t="s">
        <v>16</v>
      </c>
      <c r="D1514" s="7" t="str">
        <f>"黄裕敏"</f>
        <v>黄裕敏</v>
      </c>
      <c r="E1514" s="7" t="str">
        <f t="shared" si="71"/>
        <v>女</v>
      </c>
    </row>
    <row r="1515" spans="1:5" ht="30" customHeight="1">
      <c r="A1515" s="7">
        <v>1512</v>
      </c>
      <c r="B1515" s="7" t="str">
        <f>"38662022042423044337700"</f>
        <v>38662022042423044337700</v>
      </c>
      <c r="C1515" s="7" t="s">
        <v>16</v>
      </c>
      <c r="D1515" s="7" t="str">
        <f>"张昌珍"</f>
        <v>张昌珍</v>
      </c>
      <c r="E1515" s="7" t="str">
        <f t="shared" si="71"/>
        <v>女</v>
      </c>
    </row>
    <row r="1516" spans="1:5" ht="30" customHeight="1">
      <c r="A1516" s="7">
        <v>1513</v>
      </c>
      <c r="B1516" s="7" t="str">
        <f>"38662022042423150237712"</f>
        <v>38662022042423150237712</v>
      </c>
      <c r="C1516" s="7" t="s">
        <v>16</v>
      </c>
      <c r="D1516" s="7" t="str">
        <f>"王祎"</f>
        <v>王祎</v>
      </c>
      <c r="E1516" s="7" t="str">
        <f t="shared" si="71"/>
        <v>女</v>
      </c>
    </row>
    <row r="1517" spans="1:5" ht="30" customHeight="1">
      <c r="A1517" s="7">
        <v>1514</v>
      </c>
      <c r="B1517" s="7" t="str">
        <f>"38662022042509222237878"</f>
        <v>38662022042509222237878</v>
      </c>
      <c r="C1517" s="7" t="s">
        <v>16</v>
      </c>
      <c r="D1517" s="7" t="str">
        <f>"陈静花"</f>
        <v>陈静花</v>
      </c>
      <c r="E1517" s="7" t="str">
        <f t="shared" si="71"/>
        <v>女</v>
      </c>
    </row>
    <row r="1518" spans="1:5" ht="30" customHeight="1">
      <c r="A1518" s="7">
        <v>1515</v>
      </c>
      <c r="B1518" s="7" t="str">
        <f>"38662022042509272237887"</f>
        <v>38662022042509272237887</v>
      </c>
      <c r="C1518" s="7" t="s">
        <v>16</v>
      </c>
      <c r="D1518" s="7" t="str">
        <f>"黄天颖"</f>
        <v>黄天颖</v>
      </c>
      <c r="E1518" s="7" t="str">
        <f t="shared" si="71"/>
        <v>女</v>
      </c>
    </row>
    <row r="1519" spans="1:5" ht="30" customHeight="1">
      <c r="A1519" s="7">
        <v>1516</v>
      </c>
      <c r="B1519" s="7" t="str">
        <f>"38662022042518191438630"</f>
        <v>38662022042518191438630</v>
      </c>
      <c r="C1519" s="7" t="s">
        <v>16</v>
      </c>
      <c r="D1519" s="7" t="str">
        <f>"郝丽莎"</f>
        <v>郝丽莎</v>
      </c>
      <c r="E1519" s="7" t="str">
        <f t="shared" si="71"/>
        <v>女</v>
      </c>
    </row>
    <row r="1520" spans="1:5" ht="30" customHeight="1">
      <c r="A1520" s="7">
        <v>1517</v>
      </c>
      <c r="B1520" s="7" t="str">
        <f>"38662022042522461238973"</f>
        <v>38662022042522461238973</v>
      </c>
      <c r="C1520" s="7" t="s">
        <v>16</v>
      </c>
      <c r="D1520" s="7" t="str">
        <f>"庞芳"</f>
        <v>庞芳</v>
      </c>
      <c r="E1520" s="7" t="str">
        <f t="shared" si="71"/>
        <v>女</v>
      </c>
    </row>
    <row r="1521" spans="1:5" ht="30" customHeight="1">
      <c r="A1521" s="7">
        <v>1518</v>
      </c>
      <c r="B1521" s="7" t="str">
        <f>"38662022042608502339154"</f>
        <v>38662022042608502339154</v>
      </c>
      <c r="C1521" s="7" t="s">
        <v>16</v>
      </c>
      <c r="D1521" s="7" t="str">
        <f>"孙春花"</f>
        <v>孙春花</v>
      </c>
      <c r="E1521" s="7" t="str">
        <f t="shared" si="71"/>
        <v>女</v>
      </c>
    </row>
    <row r="1522" spans="1:5" ht="30" customHeight="1">
      <c r="A1522" s="7">
        <v>1519</v>
      </c>
      <c r="B1522" s="7" t="str">
        <f>"38662022042616175439780"</f>
        <v>38662022042616175439780</v>
      </c>
      <c r="C1522" s="7" t="s">
        <v>16</v>
      </c>
      <c r="D1522" s="7" t="str">
        <f>"杨斯焱"</f>
        <v>杨斯焱</v>
      </c>
      <c r="E1522" s="7" t="str">
        <f t="shared" si="71"/>
        <v>女</v>
      </c>
    </row>
    <row r="1523" spans="1:5" ht="30" customHeight="1">
      <c r="A1523" s="7">
        <v>1520</v>
      </c>
      <c r="B1523" s="7" t="str">
        <f>"38662022042618205939973"</f>
        <v>38662022042618205939973</v>
      </c>
      <c r="C1523" s="7" t="s">
        <v>16</v>
      </c>
      <c r="D1523" s="7" t="str">
        <f>"吉才燕"</f>
        <v>吉才燕</v>
      </c>
      <c r="E1523" s="7" t="str">
        <f t="shared" si="71"/>
        <v>女</v>
      </c>
    </row>
    <row r="1524" spans="1:5" ht="30" customHeight="1">
      <c r="A1524" s="7">
        <v>1521</v>
      </c>
      <c r="B1524" s="7" t="str">
        <f>"38662022042618212539974"</f>
        <v>38662022042618212539974</v>
      </c>
      <c r="C1524" s="7" t="s">
        <v>16</v>
      </c>
      <c r="D1524" s="7" t="str">
        <f>"吴来琼"</f>
        <v>吴来琼</v>
      </c>
      <c r="E1524" s="7" t="str">
        <f t="shared" si="71"/>
        <v>女</v>
      </c>
    </row>
    <row r="1525" spans="1:5" ht="30" customHeight="1">
      <c r="A1525" s="7">
        <v>1522</v>
      </c>
      <c r="B1525" s="7" t="str">
        <f>"38662022042622082140308"</f>
        <v>38662022042622082140308</v>
      </c>
      <c r="C1525" s="7" t="s">
        <v>16</v>
      </c>
      <c r="D1525" s="7" t="str">
        <f>"任碧琴"</f>
        <v>任碧琴</v>
      </c>
      <c r="E1525" s="7" t="str">
        <f t="shared" si="71"/>
        <v>女</v>
      </c>
    </row>
    <row r="1526" spans="1:5" ht="30" customHeight="1">
      <c r="A1526" s="7">
        <v>1523</v>
      </c>
      <c r="B1526" s="7" t="str">
        <f>"38662022042709571541426"</f>
        <v>38662022042709571541426</v>
      </c>
      <c r="C1526" s="7" t="s">
        <v>16</v>
      </c>
      <c r="D1526" s="7" t="str">
        <f>"王义平"</f>
        <v>王义平</v>
      </c>
      <c r="E1526" s="7" t="str">
        <f>"男"</f>
        <v>男</v>
      </c>
    </row>
    <row r="1527" spans="1:5" ht="30" customHeight="1">
      <c r="A1527" s="7">
        <v>1524</v>
      </c>
      <c r="B1527" s="7" t="str">
        <f>"38662022042713085342982"</f>
        <v>38662022042713085342982</v>
      </c>
      <c r="C1527" s="7" t="s">
        <v>16</v>
      </c>
      <c r="D1527" s="7" t="str">
        <f>"陈春韵"</f>
        <v>陈春韵</v>
      </c>
      <c r="E1527" s="7" t="str">
        <f aca="true" t="shared" si="72" ref="E1527:E1539">"女"</f>
        <v>女</v>
      </c>
    </row>
    <row r="1528" spans="1:5" ht="30" customHeight="1">
      <c r="A1528" s="7">
        <v>1525</v>
      </c>
      <c r="B1528" s="7" t="str">
        <f>"38662022042109015624905"</f>
        <v>38662022042109015624905</v>
      </c>
      <c r="C1528" s="7" t="s">
        <v>17</v>
      </c>
      <c r="D1528" s="7" t="str">
        <f>"陈小短"</f>
        <v>陈小短</v>
      </c>
      <c r="E1528" s="7" t="str">
        <f t="shared" si="72"/>
        <v>女</v>
      </c>
    </row>
    <row r="1529" spans="1:5" ht="30" customHeight="1">
      <c r="A1529" s="7">
        <v>1526</v>
      </c>
      <c r="B1529" s="7" t="str">
        <f>"38662022042109082824990"</f>
        <v>38662022042109082824990</v>
      </c>
      <c r="C1529" s="7" t="s">
        <v>17</v>
      </c>
      <c r="D1529" s="7" t="str">
        <f>"范青灵"</f>
        <v>范青灵</v>
      </c>
      <c r="E1529" s="7" t="str">
        <f t="shared" si="72"/>
        <v>女</v>
      </c>
    </row>
    <row r="1530" spans="1:5" ht="30" customHeight="1">
      <c r="A1530" s="7">
        <v>1527</v>
      </c>
      <c r="B1530" s="7" t="str">
        <f>"38662022042109090624996"</f>
        <v>38662022042109090624996</v>
      </c>
      <c r="C1530" s="7" t="s">
        <v>17</v>
      </c>
      <c r="D1530" s="7" t="str">
        <f>"陈琼"</f>
        <v>陈琼</v>
      </c>
      <c r="E1530" s="7" t="str">
        <f t="shared" si="72"/>
        <v>女</v>
      </c>
    </row>
    <row r="1531" spans="1:5" ht="30" customHeight="1">
      <c r="A1531" s="7">
        <v>1528</v>
      </c>
      <c r="B1531" s="7" t="str">
        <f>"38662022042109095625003"</f>
        <v>38662022042109095625003</v>
      </c>
      <c r="C1531" s="7" t="s">
        <v>17</v>
      </c>
      <c r="D1531" s="7" t="str">
        <f>"陈怡颖"</f>
        <v>陈怡颖</v>
      </c>
      <c r="E1531" s="7" t="str">
        <f t="shared" si="72"/>
        <v>女</v>
      </c>
    </row>
    <row r="1532" spans="1:5" ht="30" customHeight="1">
      <c r="A1532" s="7">
        <v>1529</v>
      </c>
      <c r="B1532" s="7" t="str">
        <f>"38662022042109145625064"</f>
        <v>38662022042109145625064</v>
      </c>
      <c r="C1532" s="7" t="s">
        <v>17</v>
      </c>
      <c r="D1532" s="7" t="str">
        <f>"韩美"</f>
        <v>韩美</v>
      </c>
      <c r="E1532" s="7" t="str">
        <f t="shared" si="72"/>
        <v>女</v>
      </c>
    </row>
    <row r="1533" spans="1:5" ht="30" customHeight="1">
      <c r="A1533" s="7">
        <v>1530</v>
      </c>
      <c r="B1533" s="7" t="str">
        <f>"38662022042109150125066"</f>
        <v>38662022042109150125066</v>
      </c>
      <c r="C1533" s="7" t="s">
        <v>17</v>
      </c>
      <c r="D1533" s="7" t="str">
        <f>"傅娇曼"</f>
        <v>傅娇曼</v>
      </c>
      <c r="E1533" s="7" t="str">
        <f t="shared" si="72"/>
        <v>女</v>
      </c>
    </row>
    <row r="1534" spans="1:5" ht="30" customHeight="1">
      <c r="A1534" s="7">
        <v>1531</v>
      </c>
      <c r="B1534" s="7" t="str">
        <f>"38662022042109161625083"</f>
        <v>38662022042109161625083</v>
      </c>
      <c r="C1534" s="7" t="s">
        <v>17</v>
      </c>
      <c r="D1534" s="7" t="str">
        <f>"徐婉卿"</f>
        <v>徐婉卿</v>
      </c>
      <c r="E1534" s="7" t="str">
        <f t="shared" si="72"/>
        <v>女</v>
      </c>
    </row>
    <row r="1535" spans="1:5" ht="30" customHeight="1">
      <c r="A1535" s="7">
        <v>1532</v>
      </c>
      <c r="B1535" s="7" t="str">
        <f>"38662022042109184425113"</f>
        <v>38662022042109184425113</v>
      </c>
      <c r="C1535" s="7" t="s">
        <v>17</v>
      </c>
      <c r="D1535" s="7" t="str">
        <f>"曾广清"</f>
        <v>曾广清</v>
      </c>
      <c r="E1535" s="7" t="str">
        <f t="shared" si="72"/>
        <v>女</v>
      </c>
    </row>
    <row r="1536" spans="1:5" ht="30" customHeight="1">
      <c r="A1536" s="7">
        <v>1533</v>
      </c>
      <c r="B1536" s="7" t="str">
        <f>"38662022042109230625162"</f>
        <v>38662022042109230625162</v>
      </c>
      <c r="C1536" s="7" t="s">
        <v>17</v>
      </c>
      <c r="D1536" s="7" t="str">
        <f>"徐梦雅"</f>
        <v>徐梦雅</v>
      </c>
      <c r="E1536" s="7" t="str">
        <f t="shared" si="72"/>
        <v>女</v>
      </c>
    </row>
    <row r="1537" spans="1:5" ht="30" customHeight="1">
      <c r="A1537" s="7">
        <v>1534</v>
      </c>
      <c r="B1537" s="7" t="str">
        <f>"38662022042109332425282"</f>
        <v>38662022042109332425282</v>
      </c>
      <c r="C1537" s="7" t="s">
        <v>17</v>
      </c>
      <c r="D1537" s="7" t="str">
        <f>"张淑君"</f>
        <v>张淑君</v>
      </c>
      <c r="E1537" s="7" t="str">
        <f t="shared" si="72"/>
        <v>女</v>
      </c>
    </row>
    <row r="1538" spans="1:5" ht="30" customHeight="1">
      <c r="A1538" s="7">
        <v>1535</v>
      </c>
      <c r="B1538" s="7" t="str">
        <f>"38662022042109334725285"</f>
        <v>38662022042109334725285</v>
      </c>
      <c r="C1538" s="7" t="s">
        <v>17</v>
      </c>
      <c r="D1538" s="7" t="str">
        <f>"陈爱菊"</f>
        <v>陈爱菊</v>
      </c>
      <c r="E1538" s="7" t="str">
        <f t="shared" si="72"/>
        <v>女</v>
      </c>
    </row>
    <row r="1539" spans="1:5" ht="30" customHeight="1">
      <c r="A1539" s="7">
        <v>1536</v>
      </c>
      <c r="B1539" s="7" t="str">
        <f>"38662022042109340325291"</f>
        <v>38662022042109340325291</v>
      </c>
      <c r="C1539" s="7" t="s">
        <v>17</v>
      </c>
      <c r="D1539" s="7" t="str">
        <f>"陈玎"</f>
        <v>陈玎</v>
      </c>
      <c r="E1539" s="7" t="str">
        <f t="shared" si="72"/>
        <v>女</v>
      </c>
    </row>
    <row r="1540" spans="1:5" ht="30" customHeight="1">
      <c r="A1540" s="7">
        <v>1537</v>
      </c>
      <c r="B1540" s="7" t="str">
        <f>"38662022042109343125303"</f>
        <v>38662022042109343125303</v>
      </c>
      <c r="C1540" s="7" t="s">
        <v>17</v>
      </c>
      <c r="D1540" s="7" t="str">
        <f>"孙考业"</f>
        <v>孙考业</v>
      </c>
      <c r="E1540" s="7" t="str">
        <f>"男"</f>
        <v>男</v>
      </c>
    </row>
    <row r="1541" spans="1:5" ht="30" customHeight="1">
      <c r="A1541" s="7">
        <v>1538</v>
      </c>
      <c r="B1541" s="7" t="str">
        <f>"38662022042109385125349"</f>
        <v>38662022042109385125349</v>
      </c>
      <c r="C1541" s="7" t="s">
        <v>17</v>
      </c>
      <c r="D1541" s="7" t="str">
        <f>"任小宛"</f>
        <v>任小宛</v>
      </c>
      <c r="E1541" s="7" t="str">
        <f>"女"</f>
        <v>女</v>
      </c>
    </row>
    <row r="1542" spans="1:5" ht="30" customHeight="1">
      <c r="A1542" s="7">
        <v>1539</v>
      </c>
      <c r="B1542" s="7" t="str">
        <f>"38662022042109392825356"</f>
        <v>38662022042109392825356</v>
      </c>
      <c r="C1542" s="7" t="s">
        <v>17</v>
      </c>
      <c r="D1542" s="7" t="str">
        <f>"黄艳梅"</f>
        <v>黄艳梅</v>
      </c>
      <c r="E1542" s="7" t="str">
        <f>"女"</f>
        <v>女</v>
      </c>
    </row>
    <row r="1543" spans="1:5" ht="30" customHeight="1">
      <c r="A1543" s="7">
        <v>1540</v>
      </c>
      <c r="B1543" s="7" t="str">
        <f>"38662022042109402925366"</f>
        <v>38662022042109402925366</v>
      </c>
      <c r="C1543" s="7" t="s">
        <v>17</v>
      </c>
      <c r="D1543" s="7" t="str">
        <f>"李巧孟"</f>
        <v>李巧孟</v>
      </c>
      <c r="E1543" s="7" t="str">
        <f>"女"</f>
        <v>女</v>
      </c>
    </row>
    <row r="1544" spans="1:5" ht="30" customHeight="1">
      <c r="A1544" s="7">
        <v>1541</v>
      </c>
      <c r="B1544" s="7" t="str">
        <f>"38662022042109525225524"</f>
        <v>38662022042109525225524</v>
      </c>
      <c r="C1544" s="7" t="s">
        <v>17</v>
      </c>
      <c r="D1544" s="7" t="str">
        <f>"林军"</f>
        <v>林军</v>
      </c>
      <c r="E1544" s="7" t="str">
        <f>"男"</f>
        <v>男</v>
      </c>
    </row>
    <row r="1545" spans="1:5" ht="30" customHeight="1">
      <c r="A1545" s="7">
        <v>1542</v>
      </c>
      <c r="B1545" s="7" t="str">
        <f>"38662022042109540725548"</f>
        <v>38662022042109540725548</v>
      </c>
      <c r="C1545" s="7" t="s">
        <v>17</v>
      </c>
      <c r="D1545" s="7" t="str">
        <f>"罗红娇"</f>
        <v>罗红娇</v>
      </c>
      <c r="E1545" s="7" t="str">
        <f>"女"</f>
        <v>女</v>
      </c>
    </row>
    <row r="1546" spans="1:5" ht="30" customHeight="1">
      <c r="A1546" s="7">
        <v>1543</v>
      </c>
      <c r="B1546" s="7" t="str">
        <f>"38662022042109551225567"</f>
        <v>38662022042109551225567</v>
      </c>
      <c r="C1546" s="7" t="s">
        <v>17</v>
      </c>
      <c r="D1546" s="7" t="str">
        <f>"许秋香"</f>
        <v>许秋香</v>
      </c>
      <c r="E1546" s="7" t="str">
        <f>"女"</f>
        <v>女</v>
      </c>
    </row>
    <row r="1547" spans="1:5" ht="30" customHeight="1">
      <c r="A1547" s="7">
        <v>1544</v>
      </c>
      <c r="B1547" s="7" t="str">
        <f>"38662022042109565025585"</f>
        <v>38662022042109565025585</v>
      </c>
      <c r="C1547" s="7" t="s">
        <v>17</v>
      </c>
      <c r="D1547" s="7" t="str">
        <f>"曾祥程"</f>
        <v>曾祥程</v>
      </c>
      <c r="E1547" s="7" t="str">
        <f>"男"</f>
        <v>男</v>
      </c>
    </row>
    <row r="1548" spans="1:5" ht="30" customHeight="1">
      <c r="A1548" s="7">
        <v>1545</v>
      </c>
      <c r="B1548" s="7" t="str">
        <f>"38662022042109572225591"</f>
        <v>38662022042109572225591</v>
      </c>
      <c r="C1548" s="7" t="s">
        <v>17</v>
      </c>
      <c r="D1548" s="7" t="str">
        <f>"符凤香"</f>
        <v>符凤香</v>
      </c>
      <c r="E1548" s="7" t="str">
        <f aca="true" t="shared" si="73" ref="E1548:E1558">"女"</f>
        <v>女</v>
      </c>
    </row>
    <row r="1549" spans="1:5" ht="30" customHeight="1">
      <c r="A1549" s="7">
        <v>1546</v>
      </c>
      <c r="B1549" s="7" t="str">
        <f>"38662022042110020025657"</f>
        <v>38662022042110020025657</v>
      </c>
      <c r="C1549" s="7" t="s">
        <v>17</v>
      </c>
      <c r="D1549" s="7" t="str">
        <f>"黄小怀"</f>
        <v>黄小怀</v>
      </c>
      <c r="E1549" s="7" t="str">
        <f t="shared" si="73"/>
        <v>女</v>
      </c>
    </row>
    <row r="1550" spans="1:5" ht="30" customHeight="1">
      <c r="A1550" s="7">
        <v>1547</v>
      </c>
      <c r="B1550" s="7" t="str">
        <f>"38662022042110021725663"</f>
        <v>38662022042110021725663</v>
      </c>
      <c r="C1550" s="7" t="s">
        <v>17</v>
      </c>
      <c r="D1550" s="7" t="str">
        <f>"陈茵"</f>
        <v>陈茵</v>
      </c>
      <c r="E1550" s="7" t="str">
        <f t="shared" si="73"/>
        <v>女</v>
      </c>
    </row>
    <row r="1551" spans="1:5" ht="30" customHeight="1">
      <c r="A1551" s="7">
        <v>1548</v>
      </c>
      <c r="B1551" s="7" t="str">
        <f>"38662022042110085425741"</f>
        <v>38662022042110085425741</v>
      </c>
      <c r="C1551" s="7" t="s">
        <v>17</v>
      </c>
      <c r="D1551" s="7" t="str">
        <f>"李丽芳"</f>
        <v>李丽芳</v>
      </c>
      <c r="E1551" s="7" t="str">
        <f t="shared" si="73"/>
        <v>女</v>
      </c>
    </row>
    <row r="1552" spans="1:5" ht="30" customHeight="1">
      <c r="A1552" s="7">
        <v>1549</v>
      </c>
      <c r="B1552" s="7" t="str">
        <f>"38662022042110093925746"</f>
        <v>38662022042110093925746</v>
      </c>
      <c r="C1552" s="7" t="s">
        <v>17</v>
      </c>
      <c r="D1552" s="7" t="str">
        <f>"李兆阳"</f>
        <v>李兆阳</v>
      </c>
      <c r="E1552" s="7" t="str">
        <f t="shared" si="73"/>
        <v>女</v>
      </c>
    </row>
    <row r="1553" spans="1:5" ht="30" customHeight="1">
      <c r="A1553" s="7">
        <v>1550</v>
      </c>
      <c r="B1553" s="7" t="str">
        <f>"38662022042110110725768"</f>
        <v>38662022042110110725768</v>
      </c>
      <c r="C1553" s="7" t="s">
        <v>17</v>
      </c>
      <c r="D1553" s="7" t="str">
        <f>"朱丽平"</f>
        <v>朱丽平</v>
      </c>
      <c r="E1553" s="7" t="str">
        <f t="shared" si="73"/>
        <v>女</v>
      </c>
    </row>
    <row r="1554" spans="1:5" ht="30" customHeight="1">
      <c r="A1554" s="7">
        <v>1551</v>
      </c>
      <c r="B1554" s="7" t="str">
        <f>"38662022042110130025788"</f>
        <v>38662022042110130025788</v>
      </c>
      <c r="C1554" s="7" t="s">
        <v>17</v>
      </c>
      <c r="D1554" s="7" t="str">
        <f>"林姑"</f>
        <v>林姑</v>
      </c>
      <c r="E1554" s="7" t="str">
        <f t="shared" si="73"/>
        <v>女</v>
      </c>
    </row>
    <row r="1555" spans="1:5" ht="30" customHeight="1">
      <c r="A1555" s="7">
        <v>1552</v>
      </c>
      <c r="B1555" s="7" t="str">
        <f>"38662022042110141225806"</f>
        <v>38662022042110141225806</v>
      </c>
      <c r="C1555" s="7" t="s">
        <v>17</v>
      </c>
      <c r="D1555" s="7" t="str">
        <f>"朱秀梅"</f>
        <v>朱秀梅</v>
      </c>
      <c r="E1555" s="7" t="str">
        <f t="shared" si="73"/>
        <v>女</v>
      </c>
    </row>
    <row r="1556" spans="1:5" ht="30" customHeight="1">
      <c r="A1556" s="7">
        <v>1553</v>
      </c>
      <c r="B1556" s="7" t="str">
        <f>"38662022042110152925819"</f>
        <v>38662022042110152925819</v>
      </c>
      <c r="C1556" s="7" t="s">
        <v>17</v>
      </c>
      <c r="D1556" s="7" t="str">
        <f>"刘妍"</f>
        <v>刘妍</v>
      </c>
      <c r="E1556" s="7" t="str">
        <f t="shared" si="73"/>
        <v>女</v>
      </c>
    </row>
    <row r="1557" spans="1:5" ht="30" customHeight="1">
      <c r="A1557" s="7">
        <v>1554</v>
      </c>
      <c r="B1557" s="7" t="str">
        <f>"38662022042110170525836"</f>
        <v>38662022042110170525836</v>
      </c>
      <c r="C1557" s="7" t="s">
        <v>17</v>
      </c>
      <c r="D1557" s="7" t="str">
        <f>"邢雅晴"</f>
        <v>邢雅晴</v>
      </c>
      <c r="E1557" s="7" t="str">
        <f t="shared" si="73"/>
        <v>女</v>
      </c>
    </row>
    <row r="1558" spans="1:5" ht="30" customHeight="1">
      <c r="A1558" s="7">
        <v>1555</v>
      </c>
      <c r="B1558" s="7" t="str">
        <f>"38662022042110203825886"</f>
        <v>38662022042110203825886</v>
      </c>
      <c r="C1558" s="7" t="s">
        <v>17</v>
      </c>
      <c r="D1558" s="7" t="str">
        <f>"李玉珍"</f>
        <v>李玉珍</v>
      </c>
      <c r="E1558" s="7" t="str">
        <f t="shared" si="73"/>
        <v>女</v>
      </c>
    </row>
    <row r="1559" spans="1:5" ht="30" customHeight="1">
      <c r="A1559" s="7">
        <v>1556</v>
      </c>
      <c r="B1559" s="7" t="str">
        <f>"38662022042110282325994"</f>
        <v>38662022042110282325994</v>
      </c>
      <c r="C1559" s="7" t="s">
        <v>17</v>
      </c>
      <c r="D1559" s="7" t="str">
        <f>"周才裕"</f>
        <v>周才裕</v>
      </c>
      <c r="E1559" s="7" t="str">
        <f>"男"</f>
        <v>男</v>
      </c>
    </row>
    <row r="1560" spans="1:5" ht="30" customHeight="1">
      <c r="A1560" s="7">
        <v>1557</v>
      </c>
      <c r="B1560" s="7" t="str">
        <f>"38662022042110285425998"</f>
        <v>38662022042110285425998</v>
      </c>
      <c r="C1560" s="7" t="s">
        <v>17</v>
      </c>
      <c r="D1560" s="7" t="str">
        <f>"周兴强"</f>
        <v>周兴强</v>
      </c>
      <c r="E1560" s="7" t="str">
        <f>"男"</f>
        <v>男</v>
      </c>
    </row>
    <row r="1561" spans="1:5" ht="30" customHeight="1">
      <c r="A1561" s="7">
        <v>1558</v>
      </c>
      <c r="B1561" s="7" t="str">
        <f>"38662022042110290626004"</f>
        <v>38662022042110290626004</v>
      </c>
      <c r="C1561" s="7" t="s">
        <v>17</v>
      </c>
      <c r="D1561" s="7" t="str">
        <f>"王素洁"</f>
        <v>王素洁</v>
      </c>
      <c r="E1561" s="7" t="str">
        <f aca="true" t="shared" si="74" ref="E1561:E1588">"女"</f>
        <v>女</v>
      </c>
    </row>
    <row r="1562" spans="1:5" ht="30" customHeight="1">
      <c r="A1562" s="7">
        <v>1559</v>
      </c>
      <c r="B1562" s="7" t="str">
        <f>"38662022042110321026045"</f>
        <v>38662022042110321026045</v>
      </c>
      <c r="C1562" s="7" t="s">
        <v>17</v>
      </c>
      <c r="D1562" s="7" t="str">
        <f>"符风春"</f>
        <v>符风春</v>
      </c>
      <c r="E1562" s="7" t="str">
        <f t="shared" si="74"/>
        <v>女</v>
      </c>
    </row>
    <row r="1563" spans="1:5" ht="30" customHeight="1">
      <c r="A1563" s="7">
        <v>1560</v>
      </c>
      <c r="B1563" s="7" t="str">
        <f>"38662022042110340326068"</f>
        <v>38662022042110340326068</v>
      </c>
      <c r="C1563" s="7" t="s">
        <v>17</v>
      </c>
      <c r="D1563" s="7" t="str">
        <f>"潘美荣"</f>
        <v>潘美荣</v>
      </c>
      <c r="E1563" s="7" t="str">
        <f t="shared" si="74"/>
        <v>女</v>
      </c>
    </row>
    <row r="1564" spans="1:5" ht="30" customHeight="1">
      <c r="A1564" s="7">
        <v>1561</v>
      </c>
      <c r="B1564" s="7" t="str">
        <f>"38662022042110421426157"</f>
        <v>38662022042110421426157</v>
      </c>
      <c r="C1564" s="7" t="s">
        <v>17</v>
      </c>
      <c r="D1564" s="7" t="str">
        <f>"徐鸿惠"</f>
        <v>徐鸿惠</v>
      </c>
      <c r="E1564" s="7" t="str">
        <f t="shared" si="74"/>
        <v>女</v>
      </c>
    </row>
    <row r="1565" spans="1:5" ht="30" customHeight="1">
      <c r="A1565" s="7">
        <v>1562</v>
      </c>
      <c r="B1565" s="7" t="str">
        <f>"38662022042110421726161"</f>
        <v>38662022042110421726161</v>
      </c>
      <c r="C1565" s="7" t="s">
        <v>17</v>
      </c>
      <c r="D1565" s="7" t="str">
        <f>"陈思汝"</f>
        <v>陈思汝</v>
      </c>
      <c r="E1565" s="7" t="str">
        <f t="shared" si="74"/>
        <v>女</v>
      </c>
    </row>
    <row r="1566" spans="1:5" ht="30" customHeight="1">
      <c r="A1566" s="7">
        <v>1563</v>
      </c>
      <c r="B1566" s="7" t="str">
        <f>"38662022042110470826224"</f>
        <v>38662022042110470826224</v>
      </c>
      <c r="C1566" s="7" t="s">
        <v>17</v>
      </c>
      <c r="D1566" s="7" t="str">
        <f>"张颖"</f>
        <v>张颖</v>
      </c>
      <c r="E1566" s="7" t="str">
        <f t="shared" si="74"/>
        <v>女</v>
      </c>
    </row>
    <row r="1567" spans="1:5" ht="30" customHeight="1">
      <c r="A1567" s="7">
        <v>1564</v>
      </c>
      <c r="B1567" s="7" t="str">
        <f>"38662022042110491126251"</f>
        <v>38662022042110491126251</v>
      </c>
      <c r="C1567" s="7" t="s">
        <v>17</v>
      </c>
      <c r="D1567" s="7" t="str">
        <f>"陈秀峰"</f>
        <v>陈秀峰</v>
      </c>
      <c r="E1567" s="7" t="str">
        <f t="shared" si="74"/>
        <v>女</v>
      </c>
    </row>
    <row r="1568" spans="1:5" ht="30" customHeight="1">
      <c r="A1568" s="7">
        <v>1565</v>
      </c>
      <c r="B1568" s="7" t="str">
        <f>"38662022042111011826382"</f>
        <v>38662022042111011826382</v>
      </c>
      <c r="C1568" s="7" t="s">
        <v>17</v>
      </c>
      <c r="D1568" s="7" t="str">
        <f>"王继娜"</f>
        <v>王继娜</v>
      </c>
      <c r="E1568" s="7" t="str">
        <f t="shared" si="74"/>
        <v>女</v>
      </c>
    </row>
    <row r="1569" spans="1:5" ht="30" customHeight="1">
      <c r="A1569" s="7">
        <v>1566</v>
      </c>
      <c r="B1569" s="7" t="str">
        <f>"38662022042111080526444"</f>
        <v>38662022042111080526444</v>
      </c>
      <c r="C1569" s="7" t="s">
        <v>17</v>
      </c>
      <c r="D1569" s="7" t="str">
        <f>"符光怀"</f>
        <v>符光怀</v>
      </c>
      <c r="E1569" s="7" t="str">
        <f t="shared" si="74"/>
        <v>女</v>
      </c>
    </row>
    <row r="1570" spans="1:5" ht="30" customHeight="1">
      <c r="A1570" s="7">
        <v>1567</v>
      </c>
      <c r="B1570" s="7" t="str">
        <f>"38662022042111083626449"</f>
        <v>38662022042111083626449</v>
      </c>
      <c r="C1570" s="7" t="s">
        <v>17</v>
      </c>
      <c r="D1570" s="7" t="str">
        <f>"吴燕飞"</f>
        <v>吴燕飞</v>
      </c>
      <c r="E1570" s="7" t="str">
        <f t="shared" si="74"/>
        <v>女</v>
      </c>
    </row>
    <row r="1571" spans="1:5" ht="30" customHeight="1">
      <c r="A1571" s="7">
        <v>1568</v>
      </c>
      <c r="B1571" s="7" t="str">
        <f>"38662022042111150226510"</f>
        <v>38662022042111150226510</v>
      </c>
      <c r="C1571" s="7" t="s">
        <v>17</v>
      </c>
      <c r="D1571" s="7" t="str">
        <f>"符岐花"</f>
        <v>符岐花</v>
      </c>
      <c r="E1571" s="7" t="str">
        <f t="shared" si="74"/>
        <v>女</v>
      </c>
    </row>
    <row r="1572" spans="1:5" ht="30" customHeight="1">
      <c r="A1572" s="7">
        <v>1569</v>
      </c>
      <c r="B1572" s="7" t="str">
        <f>"38662022042111242026596"</f>
        <v>38662022042111242026596</v>
      </c>
      <c r="C1572" s="7" t="s">
        <v>17</v>
      </c>
      <c r="D1572" s="7" t="str">
        <f>"郑永玲"</f>
        <v>郑永玲</v>
      </c>
      <c r="E1572" s="7" t="str">
        <f t="shared" si="74"/>
        <v>女</v>
      </c>
    </row>
    <row r="1573" spans="1:5" ht="30" customHeight="1">
      <c r="A1573" s="7">
        <v>1570</v>
      </c>
      <c r="B1573" s="7" t="str">
        <f>"38662022042111285826625"</f>
        <v>38662022042111285826625</v>
      </c>
      <c r="C1573" s="7" t="s">
        <v>17</v>
      </c>
      <c r="D1573" s="7" t="str">
        <f>"陈娜"</f>
        <v>陈娜</v>
      </c>
      <c r="E1573" s="7" t="str">
        <f t="shared" si="74"/>
        <v>女</v>
      </c>
    </row>
    <row r="1574" spans="1:5" ht="30" customHeight="1">
      <c r="A1574" s="7">
        <v>1571</v>
      </c>
      <c r="B1574" s="7" t="str">
        <f>"38662022042111293726636"</f>
        <v>38662022042111293726636</v>
      </c>
      <c r="C1574" s="7" t="s">
        <v>17</v>
      </c>
      <c r="D1574" s="7" t="str">
        <f>"郭秀霞"</f>
        <v>郭秀霞</v>
      </c>
      <c r="E1574" s="7" t="str">
        <f t="shared" si="74"/>
        <v>女</v>
      </c>
    </row>
    <row r="1575" spans="1:5" ht="30" customHeight="1">
      <c r="A1575" s="7">
        <v>1572</v>
      </c>
      <c r="B1575" s="7" t="str">
        <f>"38662022042111464926802"</f>
        <v>38662022042111464926802</v>
      </c>
      <c r="C1575" s="7" t="s">
        <v>17</v>
      </c>
      <c r="D1575" s="7" t="str">
        <f>"张香芳"</f>
        <v>张香芳</v>
      </c>
      <c r="E1575" s="7" t="str">
        <f t="shared" si="74"/>
        <v>女</v>
      </c>
    </row>
    <row r="1576" spans="1:5" ht="30" customHeight="1">
      <c r="A1576" s="7">
        <v>1573</v>
      </c>
      <c r="B1576" s="7" t="str">
        <f>"38662022042112085426960"</f>
        <v>38662022042112085426960</v>
      </c>
      <c r="C1576" s="7" t="s">
        <v>17</v>
      </c>
      <c r="D1576" s="7" t="str">
        <f>"李霞"</f>
        <v>李霞</v>
      </c>
      <c r="E1576" s="7" t="str">
        <f t="shared" si="74"/>
        <v>女</v>
      </c>
    </row>
    <row r="1577" spans="1:5" ht="30" customHeight="1">
      <c r="A1577" s="7">
        <v>1574</v>
      </c>
      <c r="B1577" s="7" t="str">
        <f>"38662022042112341227130"</f>
        <v>38662022042112341227130</v>
      </c>
      <c r="C1577" s="7" t="s">
        <v>17</v>
      </c>
      <c r="D1577" s="7" t="str">
        <f>"卢志欢"</f>
        <v>卢志欢</v>
      </c>
      <c r="E1577" s="7" t="str">
        <f t="shared" si="74"/>
        <v>女</v>
      </c>
    </row>
    <row r="1578" spans="1:5" ht="30" customHeight="1">
      <c r="A1578" s="7">
        <v>1575</v>
      </c>
      <c r="B1578" s="7" t="str">
        <f>"38662022042112410827172"</f>
        <v>38662022042112410827172</v>
      </c>
      <c r="C1578" s="7" t="s">
        <v>17</v>
      </c>
      <c r="D1578" s="7" t="str">
        <f>"文彩艳"</f>
        <v>文彩艳</v>
      </c>
      <c r="E1578" s="7" t="str">
        <f t="shared" si="74"/>
        <v>女</v>
      </c>
    </row>
    <row r="1579" spans="1:5" ht="30" customHeight="1">
      <c r="A1579" s="7">
        <v>1576</v>
      </c>
      <c r="B1579" s="7" t="str">
        <f>"38662022042112423527181"</f>
        <v>38662022042112423527181</v>
      </c>
      <c r="C1579" s="7" t="s">
        <v>17</v>
      </c>
      <c r="D1579" s="7" t="str">
        <f>"吕秋妹"</f>
        <v>吕秋妹</v>
      </c>
      <c r="E1579" s="7" t="str">
        <f t="shared" si="74"/>
        <v>女</v>
      </c>
    </row>
    <row r="1580" spans="1:5" ht="30" customHeight="1">
      <c r="A1580" s="7">
        <v>1577</v>
      </c>
      <c r="B1580" s="7" t="str">
        <f>"38662022042112464027204"</f>
        <v>38662022042112464027204</v>
      </c>
      <c r="C1580" s="7" t="s">
        <v>17</v>
      </c>
      <c r="D1580" s="7" t="str">
        <f>"张雪"</f>
        <v>张雪</v>
      </c>
      <c r="E1580" s="7" t="str">
        <f t="shared" si="74"/>
        <v>女</v>
      </c>
    </row>
    <row r="1581" spans="1:5" ht="30" customHeight="1">
      <c r="A1581" s="7">
        <v>1578</v>
      </c>
      <c r="B1581" s="7" t="str">
        <f>"38662022042112502327221"</f>
        <v>38662022042112502327221</v>
      </c>
      <c r="C1581" s="7" t="s">
        <v>17</v>
      </c>
      <c r="D1581" s="7" t="str">
        <f>"王青梅"</f>
        <v>王青梅</v>
      </c>
      <c r="E1581" s="7" t="str">
        <f t="shared" si="74"/>
        <v>女</v>
      </c>
    </row>
    <row r="1582" spans="1:5" ht="30" customHeight="1">
      <c r="A1582" s="7">
        <v>1579</v>
      </c>
      <c r="B1582" s="7" t="str">
        <f>"38662022042112590227279"</f>
        <v>38662022042112590227279</v>
      </c>
      <c r="C1582" s="7" t="s">
        <v>17</v>
      </c>
      <c r="D1582" s="7" t="str">
        <f>"陈菁"</f>
        <v>陈菁</v>
      </c>
      <c r="E1582" s="7" t="str">
        <f t="shared" si="74"/>
        <v>女</v>
      </c>
    </row>
    <row r="1583" spans="1:5" ht="30" customHeight="1">
      <c r="A1583" s="7">
        <v>1580</v>
      </c>
      <c r="B1583" s="7" t="str">
        <f>"38662022042113195927389"</f>
        <v>38662022042113195927389</v>
      </c>
      <c r="C1583" s="7" t="s">
        <v>17</v>
      </c>
      <c r="D1583" s="7" t="str">
        <f>"钟秋梅"</f>
        <v>钟秋梅</v>
      </c>
      <c r="E1583" s="7" t="str">
        <f t="shared" si="74"/>
        <v>女</v>
      </c>
    </row>
    <row r="1584" spans="1:5" ht="30" customHeight="1">
      <c r="A1584" s="7">
        <v>1581</v>
      </c>
      <c r="B1584" s="7" t="str">
        <f>"38662022042113300427430"</f>
        <v>38662022042113300427430</v>
      </c>
      <c r="C1584" s="7" t="s">
        <v>17</v>
      </c>
      <c r="D1584" s="7" t="str">
        <f>"陈琳"</f>
        <v>陈琳</v>
      </c>
      <c r="E1584" s="7" t="str">
        <f t="shared" si="74"/>
        <v>女</v>
      </c>
    </row>
    <row r="1585" spans="1:5" ht="30" customHeight="1">
      <c r="A1585" s="7">
        <v>1582</v>
      </c>
      <c r="B1585" s="7" t="str">
        <f>"38662022042113555927539"</f>
        <v>38662022042113555927539</v>
      </c>
      <c r="C1585" s="7" t="s">
        <v>17</v>
      </c>
      <c r="D1585" s="7" t="str">
        <f>"符培培"</f>
        <v>符培培</v>
      </c>
      <c r="E1585" s="7" t="str">
        <f t="shared" si="74"/>
        <v>女</v>
      </c>
    </row>
    <row r="1586" spans="1:5" ht="30" customHeight="1">
      <c r="A1586" s="7">
        <v>1583</v>
      </c>
      <c r="B1586" s="7" t="str">
        <f>"38662022042113571127542"</f>
        <v>38662022042113571127542</v>
      </c>
      <c r="C1586" s="7" t="s">
        <v>17</v>
      </c>
      <c r="D1586" s="7" t="str">
        <f>"李华宁"</f>
        <v>李华宁</v>
      </c>
      <c r="E1586" s="7" t="str">
        <f t="shared" si="74"/>
        <v>女</v>
      </c>
    </row>
    <row r="1587" spans="1:5" ht="30" customHeight="1">
      <c r="A1587" s="7">
        <v>1584</v>
      </c>
      <c r="B1587" s="7" t="str">
        <f>"38662022042114111927604"</f>
        <v>38662022042114111927604</v>
      </c>
      <c r="C1587" s="7" t="s">
        <v>17</v>
      </c>
      <c r="D1587" s="7" t="str">
        <f>"肖梦玉"</f>
        <v>肖梦玉</v>
      </c>
      <c r="E1587" s="7" t="str">
        <f t="shared" si="74"/>
        <v>女</v>
      </c>
    </row>
    <row r="1588" spans="1:5" ht="30" customHeight="1">
      <c r="A1588" s="7">
        <v>1585</v>
      </c>
      <c r="B1588" s="7" t="str">
        <f>"38662022042114122127617"</f>
        <v>38662022042114122127617</v>
      </c>
      <c r="C1588" s="7" t="s">
        <v>17</v>
      </c>
      <c r="D1588" s="7" t="str">
        <f>"陈春妹"</f>
        <v>陈春妹</v>
      </c>
      <c r="E1588" s="7" t="str">
        <f t="shared" si="74"/>
        <v>女</v>
      </c>
    </row>
    <row r="1589" spans="1:5" ht="30" customHeight="1">
      <c r="A1589" s="7">
        <v>1586</v>
      </c>
      <c r="B1589" s="7" t="str">
        <f>"38662022042114181627654"</f>
        <v>38662022042114181627654</v>
      </c>
      <c r="C1589" s="7" t="s">
        <v>17</v>
      </c>
      <c r="D1589" s="7" t="str">
        <f>"王词林"</f>
        <v>王词林</v>
      </c>
      <c r="E1589" s="7" t="str">
        <f>"男"</f>
        <v>男</v>
      </c>
    </row>
    <row r="1590" spans="1:5" ht="30" customHeight="1">
      <c r="A1590" s="7">
        <v>1587</v>
      </c>
      <c r="B1590" s="7" t="str">
        <f>"38662022042114211127670"</f>
        <v>38662022042114211127670</v>
      </c>
      <c r="C1590" s="7" t="s">
        <v>17</v>
      </c>
      <c r="D1590" s="7" t="str">
        <f>"陈祥月"</f>
        <v>陈祥月</v>
      </c>
      <c r="E1590" s="7" t="str">
        <f aca="true" t="shared" si="75" ref="E1590:E1595">"女"</f>
        <v>女</v>
      </c>
    </row>
    <row r="1591" spans="1:5" ht="30" customHeight="1">
      <c r="A1591" s="7">
        <v>1588</v>
      </c>
      <c r="B1591" s="7" t="str">
        <f>"38662022042114260027690"</f>
        <v>38662022042114260027690</v>
      </c>
      <c r="C1591" s="7" t="s">
        <v>17</v>
      </c>
      <c r="D1591" s="7" t="str">
        <f>"王丽金"</f>
        <v>王丽金</v>
      </c>
      <c r="E1591" s="7" t="str">
        <f t="shared" si="75"/>
        <v>女</v>
      </c>
    </row>
    <row r="1592" spans="1:5" ht="30" customHeight="1">
      <c r="A1592" s="7">
        <v>1589</v>
      </c>
      <c r="B1592" s="7" t="str">
        <f>"38662022042114344027745"</f>
        <v>38662022042114344027745</v>
      </c>
      <c r="C1592" s="7" t="s">
        <v>17</v>
      </c>
      <c r="D1592" s="7" t="str">
        <f>"蔡慧先"</f>
        <v>蔡慧先</v>
      </c>
      <c r="E1592" s="7" t="str">
        <f t="shared" si="75"/>
        <v>女</v>
      </c>
    </row>
    <row r="1593" spans="1:5" ht="30" customHeight="1">
      <c r="A1593" s="7">
        <v>1590</v>
      </c>
      <c r="B1593" s="7" t="str">
        <f>"38662022042114383327777"</f>
        <v>38662022042114383327777</v>
      </c>
      <c r="C1593" s="7" t="s">
        <v>17</v>
      </c>
      <c r="D1593" s="7" t="str">
        <f>"张晶晶"</f>
        <v>张晶晶</v>
      </c>
      <c r="E1593" s="7" t="str">
        <f t="shared" si="75"/>
        <v>女</v>
      </c>
    </row>
    <row r="1594" spans="1:5" ht="30" customHeight="1">
      <c r="A1594" s="7">
        <v>1591</v>
      </c>
      <c r="B1594" s="7" t="str">
        <f>"38662022042114461127840"</f>
        <v>38662022042114461127840</v>
      </c>
      <c r="C1594" s="7" t="s">
        <v>17</v>
      </c>
      <c r="D1594" s="7" t="str">
        <f>"李日美"</f>
        <v>李日美</v>
      </c>
      <c r="E1594" s="7" t="str">
        <f t="shared" si="75"/>
        <v>女</v>
      </c>
    </row>
    <row r="1595" spans="1:5" ht="30" customHeight="1">
      <c r="A1595" s="7">
        <v>1592</v>
      </c>
      <c r="B1595" s="7" t="str">
        <f>"38662022042114494427873"</f>
        <v>38662022042114494427873</v>
      </c>
      <c r="C1595" s="7" t="s">
        <v>17</v>
      </c>
      <c r="D1595" s="7" t="str">
        <f>"吴娟爱"</f>
        <v>吴娟爱</v>
      </c>
      <c r="E1595" s="7" t="str">
        <f t="shared" si="75"/>
        <v>女</v>
      </c>
    </row>
    <row r="1596" spans="1:5" ht="30" customHeight="1">
      <c r="A1596" s="7">
        <v>1593</v>
      </c>
      <c r="B1596" s="7" t="str">
        <f>"38662022042115001027960"</f>
        <v>38662022042115001027960</v>
      </c>
      <c r="C1596" s="7" t="s">
        <v>17</v>
      </c>
      <c r="D1596" s="7" t="str">
        <f>"符发琼"</f>
        <v>符发琼</v>
      </c>
      <c r="E1596" s="7" t="str">
        <f>"男"</f>
        <v>男</v>
      </c>
    </row>
    <row r="1597" spans="1:5" ht="30" customHeight="1">
      <c r="A1597" s="7">
        <v>1594</v>
      </c>
      <c r="B1597" s="7" t="str">
        <f>"38662022042115010527965"</f>
        <v>38662022042115010527965</v>
      </c>
      <c r="C1597" s="7" t="s">
        <v>17</v>
      </c>
      <c r="D1597" s="7" t="str">
        <f>"黄方"</f>
        <v>黄方</v>
      </c>
      <c r="E1597" s="7" t="str">
        <f>"女"</f>
        <v>女</v>
      </c>
    </row>
    <row r="1598" spans="1:5" ht="30" customHeight="1">
      <c r="A1598" s="7">
        <v>1595</v>
      </c>
      <c r="B1598" s="7" t="str">
        <f>"38662022042115093828045"</f>
        <v>38662022042115093828045</v>
      </c>
      <c r="C1598" s="7" t="s">
        <v>17</v>
      </c>
      <c r="D1598" s="7" t="str">
        <f>"柯桃汉"</f>
        <v>柯桃汉</v>
      </c>
      <c r="E1598" s="7" t="str">
        <f>"男"</f>
        <v>男</v>
      </c>
    </row>
    <row r="1599" spans="1:5" ht="30" customHeight="1">
      <c r="A1599" s="7">
        <v>1596</v>
      </c>
      <c r="B1599" s="7" t="str">
        <f>"38662022042115204028151"</f>
        <v>38662022042115204028151</v>
      </c>
      <c r="C1599" s="7" t="s">
        <v>17</v>
      </c>
      <c r="D1599" s="7" t="str">
        <f>"王海玉"</f>
        <v>王海玉</v>
      </c>
      <c r="E1599" s="7" t="str">
        <f aca="true" t="shared" si="76" ref="E1599:E1623">"女"</f>
        <v>女</v>
      </c>
    </row>
    <row r="1600" spans="1:5" ht="30" customHeight="1">
      <c r="A1600" s="7">
        <v>1597</v>
      </c>
      <c r="B1600" s="7" t="str">
        <f>"38662022042115374228291"</f>
        <v>38662022042115374228291</v>
      </c>
      <c r="C1600" s="7" t="s">
        <v>17</v>
      </c>
      <c r="D1600" s="7" t="str">
        <f>"周娇慧"</f>
        <v>周娇慧</v>
      </c>
      <c r="E1600" s="7" t="str">
        <f t="shared" si="76"/>
        <v>女</v>
      </c>
    </row>
    <row r="1601" spans="1:5" ht="30" customHeight="1">
      <c r="A1601" s="7">
        <v>1598</v>
      </c>
      <c r="B1601" s="7" t="str">
        <f>"38662022042115511128399"</f>
        <v>38662022042115511128399</v>
      </c>
      <c r="C1601" s="7" t="s">
        <v>17</v>
      </c>
      <c r="D1601" s="7" t="str">
        <f>"王丽娟"</f>
        <v>王丽娟</v>
      </c>
      <c r="E1601" s="7" t="str">
        <f t="shared" si="76"/>
        <v>女</v>
      </c>
    </row>
    <row r="1602" spans="1:5" ht="30" customHeight="1">
      <c r="A1602" s="7">
        <v>1599</v>
      </c>
      <c r="B1602" s="7" t="str">
        <f>"38662022042115551628426"</f>
        <v>38662022042115551628426</v>
      </c>
      <c r="C1602" s="7" t="s">
        <v>17</v>
      </c>
      <c r="D1602" s="7" t="str">
        <f>"温文倩"</f>
        <v>温文倩</v>
      </c>
      <c r="E1602" s="7" t="str">
        <f t="shared" si="76"/>
        <v>女</v>
      </c>
    </row>
    <row r="1603" spans="1:5" ht="30" customHeight="1">
      <c r="A1603" s="7">
        <v>1600</v>
      </c>
      <c r="B1603" s="7" t="str">
        <f>"38662022042115555028429"</f>
        <v>38662022042115555028429</v>
      </c>
      <c r="C1603" s="7" t="s">
        <v>17</v>
      </c>
      <c r="D1603" s="7" t="str">
        <f>"苏英芳"</f>
        <v>苏英芳</v>
      </c>
      <c r="E1603" s="7" t="str">
        <f t="shared" si="76"/>
        <v>女</v>
      </c>
    </row>
    <row r="1604" spans="1:5" ht="30" customHeight="1">
      <c r="A1604" s="7">
        <v>1601</v>
      </c>
      <c r="B1604" s="7" t="str">
        <f>"38662022042116060328491"</f>
        <v>38662022042116060328491</v>
      </c>
      <c r="C1604" s="7" t="s">
        <v>17</v>
      </c>
      <c r="D1604" s="7" t="str">
        <f>"符之雅"</f>
        <v>符之雅</v>
      </c>
      <c r="E1604" s="7" t="str">
        <f t="shared" si="76"/>
        <v>女</v>
      </c>
    </row>
    <row r="1605" spans="1:5" ht="30" customHeight="1">
      <c r="A1605" s="7">
        <v>1602</v>
      </c>
      <c r="B1605" s="7" t="str">
        <f>"38662022042116134928539"</f>
        <v>38662022042116134928539</v>
      </c>
      <c r="C1605" s="7" t="s">
        <v>17</v>
      </c>
      <c r="D1605" s="7" t="str">
        <f>"夏圣艳"</f>
        <v>夏圣艳</v>
      </c>
      <c r="E1605" s="7" t="str">
        <f t="shared" si="76"/>
        <v>女</v>
      </c>
    </row>
    <row r="1606" spans="1:5" ht="30" customHeight="1">
      <c r="A1606" s="7">
        <v>1603</v>
      </c>
      <c r="B1606" s="7" t="str">
        <f>"38662022042116165728560"</f>
        <v>38662022042116165728560</v>
      </c>
      <c r="C1606" s="7" t="s">
        <v>17</v>
      </c>
      <c r="D1606" s="7" t="str">
        <f>"王艳妹"</f>
        <v>王艳妹</v>
      </c>
      <c r="E1606" s="7" t="str">
        <f t="shared" si="76"/>
        <v>女</v>
      </c>
    </row>
    <row r="1607" spans="1:5" ht="30" customHeight="1">
      <c r="A1607" s="7">
        <v>1604</v>
      </c>
      <c r="B1607" s="7" t="str">
        <f>"38662022042116201828598"</f>
        <v>38662022042116201828598</v>
      </c>
      <c r="C1607" s="7" t="s">
        <v>17</v>
      </c>
      <c r="D1607" s="7" t="str">
        <f>"陈淑比"</f>
        <v>陈淑比</v>
      </c>
      <c r="E1607" s="7" t="str">
        <f t="shared" si="76"/>
        <v>女</v>
      </c>
    </row>
    <row r="1608" spans="1:5" ht="30" customHeight="1">
      <c r="A1608" s="7">
        <v>1605</v>
      </c>
      <c r="B1608" s="7" t="str">
        <f>"38662022042116221128610"</f>
        <v>38662022042116221128610</v>
      </c>
      <c r="C1608" s="7" t="s">
        <v>17</v>
      </c>
      <c r="D1608" s="7" t="str">
        <f>"周唐姝"</f>
        <v>周唐姝</v>
      </c>
      <c r="E1608" s="7" t="str">
        <f t="shared" si="76"/>
        <v>女</v>
      </c>
    </row>
    <row r="1609" spans="1:5" ht="30" customHeight="1">
      <c r="A1609" s="7">
        <v>1606</v>
      </c>
      <c r="B1609" s="7" t="str">
        <f>"38662022042116305128665"</f>
        <v>38662022042116305128665</v>
      </c>
      <c r="C1609" s="7" t="s">
        <v>17</v>
      </c>
      <c r="D1609" s="7" t="str">
        <f>"黄保转"</f>
        <v>黄保转</v>
      </c>
      <c r="E1609" s="7" t="str">
        <f t="shared" si="76"/>
        <v>女</v>
      </c>
    </row>
    <row r="1610" spans="1:5" ht="30" customHeight="1">
      <c r="A1610" s="7">
        <v>1607</v>
      </c>
      <c r="B1610" s="7" t="str">
        <f>"38662022042117254329028"</f>
        <v>38662022042117254329028</v>
      </c>
      <c r="C1610" s="7" t="s">
        <v>17</v>
      </c>
      <c r="D1610" s="7" t="str">
        <f>"杨慧慧"</f>
        <v>杨慧慧</v>
      </c>
      <c r="E1610" s="7" t="str">
        <f t="shared" si="76"/>
        <v>女</v>
      </c>
    </row>
    <row r="1611" spans="1:5" ht="30" customHeight="1">
      <c r="A1611" s="7">
        <v>1608</v>
      </c>
      <c r="B1611" s="7" t="str">
        <f>"38662022042117414929108"</f>
        <v>38662022042117414929108</v>
      </c>
      <c r="C1611" s="7" t="s">
        <v>17</v>
      </c>
      <c r="D1611" s="7" t="str">
        <f>"符妹弟"</f>
        <v>符妹弟</v>
      </c>
      <c r="E1611" s="7" t="str">
        <f t="shared" si="76"/>
        <v>女</v>
      </c>
    </row>
    <row r="1612" spans="1:5" ht="30" customHeight="1">
      <c r="A1612" s="7">
        <v>1609</v>
      </c>
      <c r="B1612" s="7" t="str">
        <f>"38662022042117450929122"</f>
        <v>38662022042117450929122</v>
      </c>
      <c r="C1612" s="7" t="s">
        <v>17</v>
      </c>
      <c r="D1612" s="7" t="str">
        <f>"周程程"</f>
        <v>周程程</v>
      </c>
      <c r="E1612" s="7" t="str">
        <f t="shared" si="76"/>
        <v>女</v>
      </c>
    </row>
    <row r="1613" spans="1:5" ht="30" customHeight="1">
      <c r="A1613" s="7">
        <v>1610</v>
      </c>
      <c r="B1613" s="7" t="str">
        <f>"38662022042117561929184"</f>
        <v>38662022042117561929184</v>
      </c>
      <c r="C1613" s="7" t="s">
        <v>17</v>
      </c>
      <c r="D1613" s="7" t="str">
        <f>"陈启春"</f>
        <v>陈启春</v>
      </c>
      <c r="E1613" s="7" t="str">
        <f t="shared" si="76"/>
        <v>女</v>
      </c>
    </row>
    <row r="1614" spans="1:5" ht="30" customHeight="1">
      <c r="A1614" s="7">
        <v>1611</v>
      </c>
      <c r="B1614" s="7" t="str">
        <f>"38662022042117595029206"</f>
        <v>38662022042117595029206</v>
      </c>
      <c r="C1614" s="7" t="s">
        <v>17</v>
      </c>
      <c r="D1614" s="7" t="str">
        <f>"王雪彤"</f>
        <v>王雪彤</v>
      </c>
      <c r="E1614" s="7" t="str">
        <f t="shared" si="76"/>
        <v>女</v>
      </c>
    </row>
    <row r="1615" spans="1:5" ht="30" customHeight="1">
      <c r="A1615" s="7">
        <v>1612</v>
      </c>
      <c r="B1615" s="7" t="str">
        <f>"38662022042118165529272"</f>
        <v>38662022042118165529272</v>
      </c>
      <c r="C1615" s="7" t="s">
        <v>17</v>
      </c>
      <c r="D1615" s="7" t="str">
        <f>"符桥"</f>
        <v>符桥</v>
      </c>
      <c r="E1615" s="7" t="str">
        <f t="shared" si="76"/>
        <v>女</v>
      </c>
    </row>
    <row r="1616" spans="1:5" ht="30" customHeight="1">
      <c r="A1616" s="7">
        <v>1613</v>
      </c>
      <c r="B1616" s="7" t="str">
        <f>"38662022042118185329278"</f>
        <v>38662022042118185329278</v>
      </c>
      <c r="C1616" s="7" t="s">
        <v>17</v>
      </c>
      <c r="D1616" s="7" t="str">
        <f>"王小玲"</f>
        <v>王小玲</v>
      </c>
      <c r="E1616" s="7" t="str">
        <f t="shared" si="76"/>
        <v>女</v>
      </c>
    </row>
    <row r="1617" spans="1:5" ht="30" customHeight="1">
      <c r="A1617" s="7">
        <v>1614</v>
      </c>
      <c r="B1617" s="7" t="str">
        <f>"38662022042118212529288"</f>
        <v>38662022042118212529288</v>
      </c>
      <c r="C1617" s="7" t="s">
        <v>17</v>
      </c>
      <c r="D1617" s="7" t="str">
        <f>"陈晓慧"</f>
        <v>陈晓慧</v>
      </c>
      <c r="E1617" s="7" t="str">
        <f t="shared" si="76"/>
        <v>女</v>
      </c>
    </row>
    <row r="1618" spans="1:5" ht="30" customHeight="1">
      <c r="A1618" s="7">
        <v>1615</v>
      </c>
      <c r="B1618" s="7" t="str">
        <f>"38662022042118500129402"</f>
        <v>38662022042118500129402</v>
      </c>
      <c r="C1618" s="7" t="s">
        <v>17</v>
      </c>
      <c r="D1618" s="7" t="str">
        <f>"刘小情"</f>
        <v>刘小情</v>
      </c>
      <c r="E1618" s="7" t="str">
        <f t="shared" si="76"/>
        <v>女</v>
      </c>
    </row>
    <row r="1619" spans="1:5" ht="30" customHeight="1">
      <c r="A1619" s="7">
        <v>1616</v>
      </c>
      <c r="B1619" s="7" t="str">
        <f>"38662022042118534729419"</f>
        <v>38662022042118534729419</v>
      </c>
      <c r="C1619" s="7" t="s">
        <v>17</v>
      </c>
      <c r="D1619" s="7" t="str">
        <f>"丁珊珊"</f>
        <v>丁珊珊</v>
      </c>
      <c r="E1619" s="7" t="str">
        <f t="shared" si="76"/>
        <v>女</v>
      </c>
    </row>
    <row r="1620" spans="1:5" ht="30" customHeight="1">
      <c r="A1620" s="7">
        <v>1617</v>
      </c>
      <c r="B1620" s="7" t="str">
        <f>"38662022042119153629516"</f>
        <v>38662022042119153629516</v>
      </c>
      <c r="C1620" s="7" t="s">
        <v>17</v>
      </c>
      <c r="D1620" s="7" t="str">
        <f>"董江娥"</f>
        <v>董江娥</v>
      </c>
      <c r="E1620" s="7" t="str">
        <f t="shared" si="76"/>
        <v>女</v>
      </c>
    </row>
    <row r="1621" spans="1:5" ht="30" customHeight="1">
      <c r="A1621" s="7">
        <v>1618</v>
      </c>
      <c r="B1621" s="7" t="str">
        <f>"38662022042119162529522"</f>
        <v>38662022042119162529522</v>
      </c>
      <c r="C1621" s="7" t="s">
        <v>17</v>
      </c>
      <c r="D1621" s="7" t="str">
        <f>"黄秋娥"</f>
        <v>黄秋娥</v>
      </c>
      <c r="E1621" s="7" t="str">
        <f t="shared" si="76"/>
        <v>女</v>
      </c>
    </row>
    <row r="1622" spans="1:5" ht="30" customHeight="1">
      <c r="A1622" s="7">
        <v>1619</v>
      </c>
      <c r="B1622" s="7" t="str">
        <f>"38662022042119165729524"</f>
        <v>38662022042119165729524</v>
      </c>
      <c r="C1622" s="7" t="s">
        <v>17</v>
      </c>
      <c r="D1622" s="7" t="str">
        <f>"林竹"</f>
        <v>林竹</v>
      </c>
      <c r="E1622" s="7" t="str">
        <f t="shared" si="76"/>
        <v>女</v>
      </c>
    </row>
    <row r="1623" spans="1:5" ht="30" customHeight="1">
      <c r="A1623" s="7">
        <v>1620</v>
      </c>
      <c r="B1623" s="7" t="str">
        <f>"38662022042119201129537"</f>
        <v>38662022042119201129537</v>
      </c>
      <c r="C1623" s="7" t="s">
        <v>17</v>
      </c>
      <c r="D1623" s="7" t="str">
        <f>"卢翠娣"</f>
        <v>卢翠娣</v>
      </c>
      <c r="E1623" s="7" t="str">
        <f t="shared" si="76"/>
        <v>女</v>
      </c>
    </row>
    <row r="1624" spans="1:5" ht="30" customHeight="1">
      <c r="A1624" s="7">
        <v>1621</v>
      </c>
      <c r="B1624" s="7" t="str">
        <f>"38662022042119283529581"</f>
        <v>38662022042119283529581</v>
      </c>
      <c r="C1624" s="7" t="s">
        <v>17</v>
      </c>
      <c r="D1624" s="7" t="str">
        <f>"邱启宏"</f>
        <v>邱启宏</v>
      </c>
      <c r="E1624" s="7" t="str">
        <f>"男"</f>
        <v>男</v>
      </c>
    </row>
    <row r="1625" spans="1:5" ht="30" customHeight="1">
      <c r="A1625" s="7">
        <v>1622</v>
      </c>
      <c r="B1625" s="7" t="str">
        <f>"38662022042119293229584"</f>
        <v>38662022042119293229584</v>
      </c>
      <c r="C1625" s="7" t="s">
        <v>17</v>
      </c>
      <c r="D1625" s="7" t="str">
        <f>"王小转"</f>
        <v>王小转</v>
      </c>
      <c r="E1625" s="7" t="str">
        <f>"女"</f>
        <v>女</v>
      </c>
    </row>
    <row r="1626" spans="1:5" ht="30" customHeight="1">
      <c r="A1626" s="7">
        <v>1623</v>
      </c>
      <c r="B1626" s="7" t="str">
        <f>"38662022042119480329667"</f>
        <v>38662022042119480329667</v>
      </c>
      <c r="C1626" s="7" t="s">
        <v>17</v>
      </c>
      <c r="D1626" s="7" t="str">
        <f>"符英珠"</f>
        <v>符英珠</v>
      </c>
      <c r="E1626" s="7" t="str">
        <f>"女"</f>
        <v>女</v>
      </c>
    </row>
    <row r="1627" spans="1:5" ht="30" customHeight="1">
      <c r="A1627" s="7">
        <v>1624</v>
      </c>
      <c r="B1627" s="7" t="str">
        <f>"38662022042119554829694"</f>
        <v>38662022042119554829694</v>
      </c>
      <c r="C1627" s="7" t="s">
        <v>17</v>
      </c>
      <c r="D1627" s="7" t="str">
        <f>"李正达"</f>
        <v>李正达</v>
      </c>
      <c r="E1627" s="7" t="str">
        <f>"男"</f>
        <v>男</v>
      </c>
    </row>
    <row r="1628" spans="1:5" ht="30" customHeight="1">
      <c r="A1628" s="7">
        <v>1625</v>
      </c>
      <c r="B1628" s="7" t="str">
        <f>"38662022042119570229699"</f>
        <v>38662022042119570229699</v>
      </c>
      <c r="C1628" s="7" t="s">
        <v>17</v>
      </c>
      <c r="D1628" s="7" t="str">
        <f>"黎培旭"</f>
        <v>黎培旭</v>
      </c>
      <c r="E1628" s="7" t="str">
        <f>"男"</f>
        <v>男</v>
      </c>
    </row>
    <row r="1629" spans="1:5" ht="30" customHeight="1">
      <c r="A1629" s="7">
        <v>1626</v>
      </c>
      <c r="B1629" s="7" t="str">
        <f>"38662022042119583929705"</f>
        <v>38662022042119583929705</v>
      </c>
      <c r="C1629" s="7" t="s">
        <v>17</v>
      </c>
      <c r="D1629" s="7" t="str">
        <f>"曾环"</f>
        <v>曾环</v>
      </c>
      <c r="E1629" s="7" t="str">
        <f>"女"</f>
        <v>女</v>
      </c>
    </row>
    <row r="1630" spans="1:5" ht="30" customHeight="1">
      <c r="A1630" s="7">
        <v>1627</v>
      </c>
      <c r="B1630" s="7" t="str">
        <f>"38662022042120023429722"</f>
        <v>38662022042120023429722</v>
      </c>
      <c r="C1630" s="7" t="s">
        <v>17</v>
      </c>
      <c r="D1630" s="7" t="str">
        <f>"李慧雯"</f>
        <v>李慧雯</v>
      </c>
      <c r="E1630" s="7" t="str">
        <f>"女"</f>
        <v>女</v>
      </c>
    </row>
    <row r="1631" spans="1:5" ht="30" customHeight="1">
      <c r="A1631" s="7">
        <v>1628</v>
      </c>
      <c r="B1631" s="7" t="str">
        <f>"38662022042120272129843"</f>
        <v>38662022042120272129843</v>
      </c>
      <c r="C1631" s="7" t="s">
        <v>17</v>
      </c>
      <c r="D1631" s="7" t="str">
        <f>"王蕾"</f>
        <v>王蕾</v>
      </c>
      <c r="E1631" s="7" t="str">
        <f>"女"</f>
        <v>女</v>
      </c>
    </row>
    <row r="1632" spans="1:5" ht="30" customHeight="1">
      <c r="A1632" s="7">
        <v>1629</v>
      </c>
      <c r="B1632" s="7" t="str">
        <f>"38662022042120374229919"</f>
        <v>38662022042120374229919</v>
      </c>
      <c r="C1632" s="7" t="s">
        <v>17</v>
      </c>
      <c r="D1632" s="7" t="str">
        <f>"钟孝敬"</f>
        <v>钟孝敬</v>
      </c>
      <c r="E1632" s="7" t="str">
        <f>"男"</f>
        <v>男</v>
      </c>
    </row>
    <row r="1633" spans="1:5" ht="30" customHeight="1">
      <c r="A1633" s="7">
        <v>1630</v>
      </c>
      <c r="B1633" s="7" t="str">
        <f>"38662022042120450129959"</f>
        <v>38662022042120450129959</v>
      </c>
      <c r="C1633" s="7" t="s">
        <v>17</v>
      </c>
      <c r="D1633" s="7" t="str">
        <f>"羊兴兰"</f>
        <v>羊兴兰</v>
      </c>
      <c r="E1633" s="7" t="str">
        <f>"女"</f>
        <v>女</v>
      </c>
    </row>
    <row r="1634" spans="1:5" ht="30" customHeight="1">
      <c r="A1634" s="7">
        <v>1631</v>
      </c>
      <c r="B1634" s="7" t="str">
        <f>"38662022042120490229982"</f>
        <v>38662022042120490229982</v>
      </c>
      <c r="C1634" s="7" t="s">
        <v>17</v>
      </c>
      <c r="D1634" s="7" t="str">
        <f>"李黑姑"</f>
        <v>李黑姑</v>
      </c>
      <c r="E1634" s="7" t="str">
        <f>"女"</f>
        <v>女</v>
      </c>
    </row>
    <row r="1635" spans="1:5" ht="30" customHeight="1">
      <c r="A1635" s="7">
        <v>1632</v>
      </c>
      <c r="B1635" s="7" t="str">
        <f>"38662022042121090430090"</f>
        <v>38662022042121090430090</v>
      </c>
      <c r="C1635" s="7" t="s">
        <v>17</v>
      </c>
      <c r="D1635" s="7" t="str">
        <f>"陈春玉"</f>
        <v>陈春玉</v>
      </c>
      <c r="E1635" s="7" t="str">
        <f>"女"</f>
        <v>女</v>
      </c>
    </row>
    <row r="1636" spans="1:5" ht="30" customHeight="1">
      <c r="A1636" s="7">
        <v>1633</v>
      </c>
      <c r="B1636" s="7" t="str">
        <f>"38662022042121092930092"</f>
        <v>38662022042121092930092</v>
      </c>
      <c r="C1636" s="7" t="s">
        <v>17</v>
      </c>
      <c r="D1636" s="7" t="str">
        <f>"朱敏"</f>
        <v>朱敏</v>
      </c>
      <c r="E1636" s="7" t="str">
        <f>"女"</f>
        <v>女</v>
      </c>
    </row>
    <row r="1637" spans="1:5" ht="30" customHeight="1">
      <c r="A1637" s="7">
        <v>1634</v>
      </c>
      <c r="B1637" s="7" t="str">
        <f>"38662022042121252530178"</f>
        <v>38662022042121252530178</v>
      </c>
      <c r="C1637" s="7" t="s">
        <v>17</v>
      </c>
      <c r="D1637" s="7" t="str">
        <f>"周乃超"</f>
        <v>周乃超</v>
      </c>
      <c r="E1637" s="7" t="str">
        <f>"男"</f>
        <v>男</v>
      </c>
    </row>
    <row r="1638" spans="1:5" ht="30" customHeight="1">
      <c r="A1638" s="7">
        <v>1635</v>
      </c>
      <c r="B1638" s="7" t="str">
        <f>"38662022042121412230261"</f>
        <v>38662022042121412230261</v>
      </c>
      <c r="C1638" s="7" t="s">
        <v>17</v>
      </c>
      <c r="D1638" s="7" t="str">
        <f>"覃贞矣"</f>
        <v>覃贞矣</v>
      </c>
      <c r="E1638" s="7" t="str">
        <f>"男"</f>
        <v>男</v>
      </c>
    </row>
    <row r="1639" spans="1:5" ht="30" customHeight="1">
      <c r="A1639" s="7">
        <v>1636</v>
      </c>
      <c r="B1639" s="7" t="str">
        <f>"38662022042121475830288"</f>
        <v>38662022042121475830288</v>
      </c>
      <c r="C1639" s="7" t="s">
        <v>17</v>
      </c>
      <c r="D1639" s="7" t="str">
        <f>"李州燕"</f>
        <v>李州燕</v>
      </c>
      <c r="E1639" s="7" t="str">
        <f>"女"</f>
        <v>女</v>
      </c>
    </row>
    <row r="1640" spans="1:5" ht="30" customHeight="1">
      <c r="A1640" s="7">
        <v>1637</v>
      </c>
      <c r="B1640" s="7" t="str">
        <f>"38662022042121485230294"</f>
        <v>38662022042121485230294</v>
      </c>
      <c r="C1640" s="7" t="s">
        <v>17</v>
      </c>
      <c r="D1640" s="7" t="str">
        <f>"罗才连"</f>
        <v>罗才连</v>
      </c>
      <c r="E1640" s="7" t="str">
        <f>"女"</f>
        <v>女</v>
      </c>
    </row>
    <row r="1641" spans="1:5" ht="30" customHeight="1">
      <c r="A1641" s="7">
        <v>1638</v>
      </c>
      <c r="B1641" s="7" t="str">
        <f>"38662022042121530530314"</f>
        <v>38662022042121530530314</v>
      </c>
      <c r="C1641" s="7" t="s">
        <v>17</v>
      </c>
      <c r="D1641" s="7" t="str">
        <f>"陈文婷"</f>
        <v>陈文婷</v>
      </c>
      <c r="E1641" s="7" t="str">
        <f>"女"</f>
        <v>女</v>
      </c>
    </row>
    <row r="1642" spans="1:5" ht="30" customHeight="1">
      <c r="A1642" s="7">
        <v>1639</v>
      </c>
      <c r="B1642" s="7" t="str">
        <f>"38662022042122140830435"</f>
        <v>38662022042122140830435</v>
      </c>
      <c r="C1642" s="7" t="s">
        <v>17</v>
      </c>
      <c r="D1642" s="7" t="str">
        <f>"吴俊"</f>
        <v>吴俊</v>
      </c>
      <c r="E1642" s="7" t="str">
        <f>"男"</f>
        <v>男</v>
      </c>
    </row>
    <row r="1643" spans="1:5" ht="30" customHeight="1">
      <c r="A1643" s="7">
        <v>1640</v>
      </c>
      <c r="B1643" s="7" t="str">
        <f>"38662022042122150730439"</f>
        <v>38662022042122150730439</v>
      </c>
      <c r="C1643" s="7" t="s">
        <v>17</v>
      </c>
      <c r="D1643" s="7" t="str">
        <f>"王敏超"</f>
        <v>王敏超</v>
      </c>
      <c r="E1643" s="7" t="str">
        <f>"女"</f>
        <v>女</v>
      </c>
    </row>
    <row r="1644" spans="1:5" ht="30" customHeight="1">
      <c r="A1644" s="7">
        <v>1641</v>
      </c>
      <c r="B1644" s="7" t="str">
        <f>"38662022042122410330561"</f>
        <v>38662022042122410330561</v>
      </c>
      <c r="C1644" s="7" t="s">
        <v>17</v>
      </c>
      <c r="D1644" s="7" t="str">
        <f>"吴萍"</f>
        <v>吴萍</v>
      </c>
      <c r="E1644" s="7" t="str">
        <f>"女"</f>
        <v>女</v>
      </c>
    </row>
    <row r="1645" spans="1:5" ht="30" customHeight="1">
      <c r="A1645" s="7">
        <v>1642</v>
      </c>
      <c r="B1645" s="7" t="str">
        <f>"38662022042123110430681"</f>
        <v>38662022042123110430681</v>
      </c>
      <c r="C1645" s="7" t="s">
        <v>17</v>
      </c>
      <c r="D1645" s="7" t="str">
        <f>"黎兰桂"</f>
        <v>黎兰桂</v>
      </c>
      <c r="E1645" s="7" t="str">
        <f>"女"</f>
        <v>女</v>
      </c>
    </row>
    <row r="1646" spans="1:5" ht="30" customHeight="1">
      <c r="A1646" s="7">
        <v>1643</v>
      </c>
      <c r="B1646" s="7" t="str">
        <f>"38662022042123132930694"</f>
        <v>38662022042123132930694</v>
      </c>
      <c r="C1646" s="7" t="s">
        <v>17</v>
      </c>
      <c r="D1646" s="7" t="str">
        <f>"王彩霞"</f>
        <v>王彩霞</v>
      </c>
      <c r="E1646" s="7" t="str">
        <f>"女"</f>
        <v>女</v>
      </c>
    </row>
    <row r="1647" spans="1:5" ht="30" customHeight="1">
      <c r="A1647" s="7">
        <v>1644</v>
      </c>
      <c r="B1647" s="7" t="str">
        <f>"38662022042123312430746"</f>
        <v>38662022042123312430746</v>
      </c>
      <c r="C1647" s="7" t="s">
        <v>17</v>
      </c>
      <c r="D1647" s="7" t="str">
        <f>"赵壮鹿"</f>
        <v>赵壮鹿</v>
      </c>
      <c r="E1647" s="7" t="str">
        <f>"男"</f>
        <v>男</v>
      </c>
    </row>
    <row r="1648" spans="1:5" ht="30" customHeight="1">
      <c r="A1648" s="7">
        <v>1645</v>
      </c>
      <c r="B1648" s="7" t="str">
        <f>"38662022042200152430829"</f>
        <v>38662022042200152430829</v>
      </c>
      <c r="C1648" s="7" t="s">
        <v>17</v>
      </c>
      <c r="D1648" s="7" t="str">
        <f>"吕晓婷"</f>
        <v>吕晓婷</v>
      </c>
      <c r="E1648" s="7" t="str">
        <f>"女"</f>
        <v>女</v>
      </c>
    </row>
    <row r="1649" spans="1:5" ht="30" customHeight="1">
      <c r="A1649" s="7">
        <v>1646</v>
      </c>
      <c r="B1649" s="7" t="str">
        <f>"38662022042204351630883"</f>
        <v>38662022042204351630883</v>
      </c>
      <c r="C1649" s="7" t="s">
        <v>17</v>
      </c>
      <c r="D1649" s="7" t="str">
        <f>"徐秋花"</f>
        <v>徐秋花</v>
      </c>
      <c r="E1649" s="7" t="str">
        <f>"女"</f>
        <v>女</v>
      </c>
    </row>
    <row r="1650" spans="1:5" ht="30" customHeight="1">
      <c r="A1650" s="7">
        <v>1647</v>
      </c>
      <c r="B1650" s="7" t="str">
        <f>"38662022042208033630946"</f>
        <v>38662022042208033630946</v>
      </c>
      <c r="C1650" s="7" t="s">
        <v>17</v>
      </c>
      <c r="D1650" s="7" t="str">
        <f>"汪春纹"</f>
        <v>汪春纹</v>
      </c>
      <c r="E1650" s="7" t="str">
        <f>"女"</f>
        <v>女</v>
      </c>
    </row>
    <row r="1651" spans="1:5" ht="30" customHeight="1">
      <c r="A1651" s="7">
        <v>1648</v>
      </c>
      <c r="B1651" s="7" t="str">
        <f>"38662022042208073130950"</f>
        <v>38662022042208073130950</v>
      </c>
      <c r="C1651" s="7" t="s">
        <v>17</v>
      </c>
      <c r="D1651" s="7" t="str">
        <f>"邓之山"</f>
        <v>邓之山</v>
      </c>
      <c r="E1651" s="7" t="str">
        <f>"男"</f>
        <v>男</v>
      </c>
    </row>
    <row r="1652" spans="1:5" ht="30" customHeight="1">
      <c r="A1652" s="7">
        <v>1649</v>
      </c>
      <c r="B1652" s="7" t="str">
        <f>"38662022042208310631006"</f>
        <v>38662022042208310631006</v>
      </c>
      <c r="C1652" s="7" t="s">
        <v>17</v>
      </c>
      <c r="D1652" s="7" t="str">
        <f>"韦彩丹"</f>
        <v>韦彩丹</v>
      </c>
      <c r="E1652" s="7" t="str">
        <f aca="true" t="shared" si="77" ref="E1652:E1658">"女"</f>
        <v>女</v>
      </c>
    </row>
    <row r="1653" spans="1:5" ht="30" customHeight="1">
      <c r="A1653" s="7">
        <v>1650</v>
      </c>
      <c r="B1653" s="7" t="str">
        <f>"38662022042209040631142"</f>
        <v>38662022042209040631142</v>
      </c>
      <c r="C1653" s="7" t="s">
        <v>17</v>
      </c>
      <c r="D1653" s="7" t="str">
        <f>"刘兰兰"</f>
        <v>刘兰兰</v>
      </c>
      <c r="E1653" s="7" t="str">
        <f t="shared" si="77"/>
        <v>女</v>
      </c>
    </row>
    <row r="1654" spans="1:5" ht="30" customHeight="1">
      <c r="A1654" s="7">
        <v>1651</v>
      </c>
      <c r="B1654" s="7" t="str">
        <f>"38662022042209121031177"</f>
        <v>38662022042209121031177</v>
      </c>
      <c r="C1654" s="7" t="s">
        <v>17</v>
      </c>
      <c r="D1654" s="7" t="str">
        <f>"王烨"</f>
        <v>王烨</v>
      </c>
      <c r="E1654" s="7" t="str">
        <f t="shared" si="77"/>
        <v>女</v>
      </c>
    </row>
    <row r="1655" spans="1:5" ht="30" customHeight="1">
      <c r="A1655" s="7">
        <v>1652</v>
      </c>
      <c r="B1655" s="7" t="str">
        <f>"38662022042209232431239"</f>
        <v>38662022042209232431239</v>
      </c>
      <c r="C1655" s="7" t="s">
        <v>17</v>
      </c>
      <c r="D1655" s="7" t="str">
        <f>"张玉珠"</f>
        <v>张玉珠</v>
      </c>
      <c r="E1655" s="7" t="str">
        <f t="shared" si="77"/>
        <v>女</v>
      </c>
    </row>
    <row r="1656" spans="1:5" ht="30" customHeight="1">
      <c r="A1656" s="7">
        <v>1653</v>
      </c>
      <c r="B1656" s="7" t="str">
        <f>"38662022042209402231326"</f>
        <v>38662022042209402231326</v>
      </c>
      <c r="C1656" s="7" t="s">
        <v>17</v>
      </c>
      <c r="D1656" s="7" t="str">
        <f>"符星夏"</f>
        <v>符星夏</v>
      </c>
      <c r="E1656" s="7" t="str">
        <f t="shared" si="77"/>
        <v>女</v>
      </c>
    </row>
    <row r="1657" spans="1:5" ht="30" customHeight="1">
      <c r="A1657" s="7">
        <v>1654</v>
      </c>
      <c r="B1657" s="7" t="str">
        <f>"38662022042210042431454"</f>
        <v>38662022042210042431454</v>
      </c>
      <c r="C1657" s="7" t="s">
        <v>17</v>
      </c>
      <c r="D1657" s="7" t="str">
        <f>"许国凤"</f>
        <v>许国凤</v>
      </c>
      <c r="E1657" s="7" t="str">
        <f t="shared" si="77"/>
        <v>女</v>
      </c>
    </row>
    <row r="1658" spans="1:5" ht="30" customHeight="1">
      <c r="A1658" s="7">
        <v>1655</v>
      </c>
      <c r="B1658" s="7" t="str">
        <f>"38662022042210102231492"</f>
        <v>38662022042210102231492</v>
      </c>
      <c r="C1658" s="7" t="s">
        <v>17</v>
      </c>
      <c r="D1658" s="7" t="str">
        <f>"程妹"</f>
        <v>程妹</v>
      </c>
      <c r="E1658" s="7" t="str">
        <f t="shared" si="77"/>
        <v>女</v>
      </c>
    </row>
    <row r="1659" spans="1:5" ht="30" customHeight="1">
      <c r="A1659" s="7">
        <v>1656</v>
      </c>
      <c r="B1659" s="7" t="str">
        <f>"38662022042210301331633"</f>
        <v>38662022042210301331633</v>
      </c>
      <c r="C1659" s="7" t="s">
        <v>17</v>
      </c>
      <c r="D1659" s="7" t="str">
        <f>"许保智"</f>
        <v>许保智</v>
      </c>
      <c r="E1659" s="7" t="str">
        <f>"男"</f>
        <v>男</v>
      </c>
    </row>
    <row r="1660" spans="1:5" ht="30" customHeight="1">
      <c r="A1660" s="7">
        <v>1657</v>
      </c>
      <c r="B1660" s="7" t="str">
        <f>"38662022042210430631713"</f>
        <v>38662022042210430631713</v>
      </c>
      <c r="C1660" s="7" t="s">
        <v>17</v>
      </c>
      <c r="D1660" s="7" t="str">
        <f>"邢莉花"</f>
        <v>邢莉花</v>
      </c>
      <c r="E1660" s="7" t="str">
        <f aca="true" t="shared" si="78" ref="E1660:E1672">"女"</f>
        <v>女</v>
      </c>
    </row>
    <row r="1661" spans="1:5" ht="30" customHeight="1">
      <c r="A1661" s="7">
        <v>1658</v>
      </c>
      <c r="B1661" s="7" t="str">
        <f>"38662022042211041731835"</f>
        <v>38662022042211041731835</v>
      </c>
      <c r="C1661" s="7" t="s">
        <v>17</v>
      </c>
      <c r="D1661" s="7" t="str">
        <f>"彭春美"</f>
        <v>彭春美</v>
      </c>
      <c r="E1661" s="7" t="str">
        <f t="shared" si="78"/>
        <v>女</v>
      </c>
    </row>
    <row r="1662" spans="1:5" ht="30" customHeight="1">
      <c r="A1662" s="7">
        <v>1659</v>
      </c>
      <c r="B1662" s="7" t="str">
        <f>"38662022042212092532482"</f>
        <v>38662022042212092532482</v>
      </c>
      <c r="C1662" s="7" t="s">
        <v>17</v>
      </c>
      <c r="D1662" s="7" t="str">
        <f>"符香川"</f>
        <v>符香川</v>
      </c>
      <c r="E1662" s="7" t="str">
        <f t="shared" si="78"/>
        <v>女</v>
      </c>
    </row>
    <row r="1663" spans="1:5" ht="30" customHeight="1">
      <c r="A1663" s="7">
        <v>1660</v>
      </c>
      <c r="B1663" s="7" t="str">
        <f>"38662022042212104232485"</f>
        <v>38662022042212104232485</v>
      </c>
      <c r="C1663" s="7" t="s">
        <v>17</v>
      </c>
      <c r="D1663" s="7" t="str">
        <f>"朱娟葵"</f>
        <v>朱娟葵</v>
      </c>
      <c r="E1663" s="7" t="str">
        <f t="shared" si="78"/>
        <v>女</v>
      </c>
    </row>
    <row r="1664" spans="1:5" ht="30" customHeight="1">
      <c r="A1664" s="7">
        <v>1661</v>
      </c>
      <c r="B1664" s="7" t="str">
        <f>"38662022042212284032560"</f>
        <v>38662022042212284032560</v>
      </c>
      <c r="C1664" s="7" t="s">
        <v>17</v>
      </c>
      <c r="D1664" s="7" t="str">
        <f>"李燕"</f>
        <v>李燕</v>
      </c>
      <c r="E1664" s="7" t="str">
        <f t="shared" si="78"/>
        <v>女</v>
      </c>
    </row>
    <row r="1665" spans="1:5" ht="30" customHeight="1">
      <c r="A1665" s="7">
        <v>1662</v>
      </c>
      <c r="B1665" s="7" t="str">
        <f>"38662022042212375532602"</f>
        <v>38662022042212375532602</v>
      </c>
      <c r="C1665" s="7" t="s">
        <v>17</v>
      </c>
      <c r="D1665" s="7" t="str">
        <f>"周教女"</f>
        <v>周教女</v>
      </c>
      <c r="E1665" s="7" t="str">
        <f t="shared" si="78"/>
        <v>女</v>
      </c>
    </row>
    <row r="1666" spans="1:5" ht="30" customHeight="1">
      <c r="A1666" s="7">
        <v>1663</v>
      </c>
      <c r="B1666" s="7" t="str">
        <f>"38662022042212505432648"</f>
        <v>38662022042212505432648</v>
      </c>
      <c r="C1666" s="7" t="s">
        <v>17</v>
      </c>
      <c r="D1666" s="7" t="str">
        <f>"林丽"</f>
        <v>林丽</v>
      </c>
      <c r="E1666" s="7" t="str">
        <f t="shared" si="78"/>
        <v>女</v>
      </c>
    </row>
    <row r="1667" spans="1:5" ht="30" customHeight="1">
      <c r="A1667" s="7">
        <v>1664</v>
      </c>
      <c r="B1667" s="7" t="str">
        <f>"38662022042213151632753"</f>
        <v>38662022042213151632753</v>
      </c>
      <c r="C1667" s="7" t="s">
        <v>17</v>
      </c>
      <c r="D1667" s="7" t="str">
        <f>"符丽苹"</f>
        <v>符丽苹</v>
      </c>
      <c r="E1667" s="7" t="str">
        <f t="shared" si="78"/>
        <v>女</v>
      </c>
    </row>
    <row r="1668" spans="1:5" ht="30" customHeight="1">
      <c r="A1668" s="7">
        <v>1665</v>
      </c>
      <c r="B1668" s="7" t="str">
        <f>"38662022042213161632758"</f>
        <v>38662022042213161632758</v>
      </c>
      <c r="C1668" s="7" t="s">
        <v>17</v>
      </c>
      <c r="D1668" s="7" t="str">
        <f>"刘一蓉"</f>
        <v>刘一蓉</v>
      </c>
      <c r="E1668" s="7" t="str">
        <f t="shared" si="78"/>
        <v>女</v>
      </c>
    </row>
    <row r="1669" spans="1:5" ht="30" customHeight="1">
      <c r="A1669" s="7">
        <v>1666</v>
      </c>
      <c r="B1669" s="7" t="str">
        <f>"38662022042213250032792"</f>
        <v>38662022042213250032792</v>
      </c>
      <c r="C1669" s="7" t="s">
        <v>17</v>
      </c>
      <c r="D1669" s="7" t="str">
        <f>"梁秀美"</f>
        <v>梁秀美</v>
      </c>
      <c r="E1669" s="7" t="str">
        <f t="shared" si="78"/>
        <v>女</v>
      </c>
    </row>
    <row r="1670" spans="1:5" ht="30" customHeight="1">
      <c r="A1670" s="7">
        <v>1667</v>
      </c>
      <c r="B1670" s="7" t="str">
        <f>"38662022042214445133087"</f>
        <v>38662022042214445133087</v>
      </c>
      <c r="C1670" s="7" t="s">
        <v>17</v>
      </c>
      <c r="D1670" s="7" t="str">
        <f>"符万方"</f>
        <v>符万方</v>
      </c>
      <c r="E1670" s="7" t="str">
        <f t="shared" si="78"/>
        <v>女</v>
      </c>
    </row>
    <row r="1671" spans="1:5" ht="30" customHeight="1">
      <c r="A1671" s="7">
        <v>1668</v>
      </c>
      <c r="B1671" s="7" t="str">
        <f>"38662022042215170733257"</f>
        <v>38662022042215170733257</v>
      </c>
      <c r="C1671" s="7" t="s">
        <v>17</v>
      </c>
      <c r="D1671" s="7" t="str">
        <f>"林雪莉"</f>
        <v>林雪莉</v>
      </c>
      <c r="E1671" s="7" t="str">
        <f t="shared" si="78"/>
        <v>女</v>
      </c>
    </row>
    <row r="1672" spans="1:5" ht="30" customHeight="1">
      <c r="A1672" s="7">
        <v>1669</v>
      </c>
      <c r="B1672" s="7" t="str">
        <f>"38662022042215175933260"</f>
        <v>38662022042215175933260</v>
      </c>
      <c r="C1672" s="7" t="s">
        <v>17</v>
      </c>
      <c r="D1672" s="7" t="str">
        <f>"王伟"</f>
        <v>王伟</v>
      </c>
      <c r="E1672" s="7" t="str">
        <f t="shared" si="78"/>
        <v>女</v>
      </c>
    </row>
    <row r="1673" spans="1:5" ht="30" customHeight="1">
      <c r="A1673" s="7">
        <v>1670</v>
      </c>
      <c r="B1673" s="7" t="str">
        <f>"38662022042215250833317"</f>
        <v>38662022042215250833317</v>
      </c>
      <c r="C1673" s="7" t="s">
        <v>17</v>
      </c>
      <c r="D1673" s="7" t="str">
        <f>"周德志"</f>
        <v>周德志</v>
      </c>
      <c r="E1673" s="7" t="str">
        <f>"男"</f>
        <v>男</v>
      </c>
    </row>
    <row r="1674" spans="1:5" ht="30" customHeight="1">
      <c r="A1674" s="7">
        <v>1671</v>
      </c>
      <c r="B1674" s="7" t="str">
        <f>"38662022042216121433621"</f>
        <v>38662022042216121433621</v>
      </c>
      <c r="C1674" s="7" t="s">
        <v>17</v>
      </c>
      <c r="D1674" s="7" t="str">
        <f>"李兴乾"</f>
        <v>李兴乾</v>
      </c>
      <c r="E1674" s="7" t="str">
        <f>"女"</f>
        <v>女</v>
      </c>
    </row>
    <row r="1675" spans="1:5" ht="30" customHeight="1">
      <c r="A1675" s="7">
        <v>1672</v>
      </c>
      <c r="B1675" s="7" t="str">
        <f>"38662022042216184833657"</f>
        <v>38662022042216184833657</v>
      </c>
      <c r="C1675" s="7" t="s">
        <v>17</v>
      </c>
      <c r="D1675" s="7" t="str">
        <f>"杜传国"</f>
        <v>杜传国</v>
      </c>
      <c r="E1675" s="7" t="str">
        <f>"男"</f>
        <v>男</v>
      </c>
    </row>
    <row r="1676" spans="1:5" ht="30" customHeight="1">
      <c r="A1676" s="7">
        <v>1673</v>
      </c>
      <c r="B1676" s="7" t="str">
        <f>"38662022042216224233680"</f>
        <v>38662022042216224233680</v>
      </c>
      <c r="C1676" s="7" t="s">
        <v>17</v>
      </c>
      <c r="D1676" s="7" t="str">
        <f>"陈方雄"</f>
        <v>陈方雄</v>
      </c>
      <c r="E1676" s="7" t="str">
        <f>"男"</f>
        <v>男</v>
      </c>
    </row>
    <row r="1677" spans="1:5" ht="30" customHeight="1">
      <c r="A1677" s="7">
        <v>1674</v>
      </c>
      <c r="B1677" s="7" t="str">
        <f>"38662022042216372433775"</f>
        <v>38662022042216372433775</v>
      </c>
      <c r="C1677" s="7" t="s">
        <v>17</v>
      </c>
      <c r="D1677" s="7" t="str">
        <f>"廖思思"</f>
        <v>廖思思</v>
      </c>
      <c r="E1677" s="7" t="str">
        <f>"女"</f>
        <v>女</v>
      </c>
    </row>
    <row r="1678" spans="1:5" ht="30" customHeight="1">
      <c r="A1678" s="7">
        <v>1675</v>
      </c>
      <c r="B1678" s="7" t="str">
        <f>"38662022042216402933799"</f>
        <v>38662022042216402933799</v>
      </c>
      <c r="C1678" s="7" t="s">
        <v>17</v>
      </c>
      <c r="D1678" s="7" t="str">
        <f>"余守暖"</f>
        <v>余守暖</v>
      </c>
      <c r="E1678" s="7" t="str">
        <f>"女"</f>
        <v>女</v>
      </c>
    </row>
    <row r="1679" spans="1:5" ht="30" customHeight="1">
      <c r="A1679" s="7">
        <v>1676</v>
      </c>
      <c r="B1679" s="7" t="str">
        <f>"38662022042216421533813"</f>
        <v>38662022042216421533813</v>
      </c>
      <c r="C1679" s="7" t="s">
        <v>17</v>
      </c>
      <c r="D1679" s="7" t="str">
        <f>"陈婆梅"</f>
        <v>陈婆梅</v>
      </c>
      <c r="E1679" s="7" t="str">
        <f>"女"</f>
        <v>女</v>
      </c>
    </row>
    <row r="1680" spans="1:5" ht="30" customHeight="1">
      <c r="A1680" s="7">
        <v>1677</v>
      </c>
      <c r="B1680" s="7" t="str">
        <f>"38662022042216465533840"</f>
        <v>38662022042216465533840</v>
      </c>
      <c r="C1680" s="7" t="s">
        <v>17</v>
      </c>
      <c r="D1680" s="7" t="str">
        <f>"高秀皇"</f>
        <v>高秀皇</v>
      </c>
      <c r="E1680" s="7" t="str">
        <f>"女"</f>
        <v>女</v>
      </c>
    </row>
    <row r="1681" spans="1:5" ht="30" customHeight="1">
      <c r="A1681" s="7">
        <v>1678</v>
      </c>
      <c r="B1681" s="7" t="str">
        <f>"38662022042217351134115"</f>
        <v>38662022042217351134115</v>
      </c>
      <c r="C1681" s="7" t="s">
        <v>17</v>
      </c>
      <c r="D1681" s="7" t="str">
        <f>"陈应美"</f>
        <v>陈应美</v>
      </c>
      <c r="E1681" s="7" t="str">
        <f>"女"</f>
        <v>女</v>
      </c>
    </row>
    <row r="1682" spans="1:5" ht="30" customHeight="1">
      <c r="A1682" s="7">
        <v>1679</v>
      </c>
      <c r="B1682" s="7" t="str">
        <f>"38662022042217455634154"</f>
        <v>38662022042217455634154</v>
      </c>
      <c r="C1682" s="7" t="s">
        <v>17</v>
      </c>
      <c r="D1682" s="7" t="str">
        <f>"吴泰彬"</f>
        <v>吴泰彬</v>
      </c>
      <c r="E1682" s="7" t="str">
        <f>"男"</f>
        <v>男</v>
      </c>
    </row>
    <row r="1683" spans="1:5" ht="30" customHeight="1">
      <c r="A1683" s="7">
        <v>1680</v>
      </c>
      <c r="B1683" s="7" t="str">
        <f>"38662022042217461634155"</f>
        <v>38662022042217461634155</v>
      </c>
      <c r="C1683" s="7" t="s">
        <v>17</v>
      </c>
      <c r="D1683" s="7" t="str">
        <f>"李可伟"</f>
        <v>李可伟</v>
      </c>
      <c r="E1683" s="7" t="str">
        <f>"男"</f>
        <v>男</v>
      </c>
    </row>
    <row r="1684" spans="1:5" ht="30" customHeight="1">
      <c r="A1684" s="7">
        <v>1681</v>
      </c>
      <c r="B1684" s="7" t="str">
        <f>"38662022042218105934242"</f>
        <v>38662022042218105934242</v>
      </c>
      <c r="C1684" s="7" t="s">
        <v>17</v>
      </c>
      <c r="D1684" s="7" t="str">
        <f>"吉小亲"</f>
        <v>吉小亲</v>
      </c>
      <c r="E1684" s="7" t="str">
        <f aca="true" t="shared" si="79" ref="E1684:E1696">"女"</f>
        <v>女</v>
      </c>
    </row>
    <row r="1685" spans="1:5" ht="30" customHeight="1">
      <c r="A1685" s="7">
        <v>1682</v>
      </c>
      <c r="B1685" s="7" t="str">
        <f>"38662022042218562934341"</f>
        <v>38662022042218562934341</v>
      </c>
      <c r="C1685" s="7" t="s">
        <v>17</v>
      </c>
      <c r="D1685" s="7" t="str">
        <f>"林雪慧"</f>
        <v>林雪慧</v>
      </c>
      <c r="E1685" s="7" t="str">
        <f t="shared" si="79"/>
        <v>女</v>
      </c>
    </row>
    <row r="1686" spans="1:5" ht="30" customHeight="1">
      <c r="A1686" s="7">
        <v>1683</v>
      </c>
      <c r="B1686" s="7" t="str">
        <f>"38662022042219022334350"</f>
        <v>38662022042219022334350</v>
      </c>
      <c r="C1686" s="7" t="s">
        <v>17</v>
      </c>
      <c r="D1686" s="7" t="str">
        <f>"钟家芬"</f>
        <v>钟家芬</v>
      </c>
      <c r="E1686" s="7" t="str">
        <f t="shared" si="79"/>
        <v>女</v>
      </c>
    </row>
    <row r="1687" spans="1:5" ht="30" customHeight="1">
      <c r="A1687" s="7">
        <v>1684</v>
      </c>
      <c r="B1687" s="7" t="str">
        <f>"38662022042219401434431"</f>
        <v>38662022042219401434431</v>
      </c>
      <c r="C1687" s="7" t="s">
        <v>17</v>
      </c>
      <c r="D1687" s="7" t="str">
        <f>"冯蕾"</f>
        <v>冯蕾</v>
      </c>
      <c r="E1687" s="7" t="str">
        <f t="shared" si="79"/>
        <v>女</v>
      </c>
    </row>
    <row r="1688" spans="1:5" ht="30" customHeight="1">
      <c r="A1688" s="7">
        <v>1685</v>
      </c>
      <c r="B1688" s="7" t="str">
        <f>"38662022042220535534567"</f>
        <v>38662022042220535534567</v>
      </c>
      <c r="C1688" s="7" t="s">
        <v>17</v>
      </c>
      <c r="D1688" s="7" t="str">
        <f>"陈丹"</f>
        <v>陈丹</v>
      </c>
      <c r="E1688" s="7" t="str">
        <f t="shared" si="79"/>
        <v>女</v>
      </c>
    </row>
    <row r="1689" spans="1:5" ht="30" customHeight="1">
      <c r="A1689" s="7">
        <v>1686</v>
      </c>
      <c r="B1689" s="7" t="str">
        <f>"38662022042221365134645"</f>
        <v>38662022042221365134645</v>
      </c>
      <c r="C1689" s="7" t="s">
        <v>17</v>
      </c>
      <c r="D1689" s="7" t="str">
        <f>"王丹彤"</f>
        <v>王丹彤</v>
      </c>
      <c r="E1689" s="7" t="str">
        <f t="shared" si="79"/>
        <v>女</v>
      </c>
    </row>
    <row r="1690" spans="1:5" ht="30" customHeight="1">
      <c r="A1690" s="7">
        <v>1687</v>
      </c>
      <c r="B1690" s="7" t="str">
        <f>"38662022042221413634656"</f>
        <v>38662022042221413634656</v>
      </c>
      <c r="C1690" s="7" t="s">
        <v>17</v>
      </c>
      <c r="D1690" s="7" t="str">
        <f>"李业玲"</f>
        <v>李业玲</v>
      </c>
      <c r="E1690" s="7" t="str">
        <f t="shared" si="79"/>
        <v>女</v>
      </c>
    </row>
    <row r="1691" spans="1:5" ht="30" customHeight="1">
      <c r="A1691" s="7">
        <v>1688</v>
      </c>
      <c r="B1691" s="7" t="str">
        <f>"38662022042221440534665"</f>
        <v>38662022042221440534665</v>
      </c>
      <c r="C1691" s="7" t="s">
        <v>17</v>
      </c>
      <c r="D1691" s="7" t="str">
        <f>"孔芙先"</f>
        <v>孔芙先</v>
      </c>
      <c r="E1691" s="7" t="str">
        <f t="shared" si="79"/>
        <v>女</v>
      </c>
    </row>
    <row r="1692" spans="1:5" ht="30" customHeight="1">
      <c r="A1692" s="7">
        <v>1689</v>
      </c>
      <c r="B1692" s="7" t="str">
        <f>"38662022042221461634669"</f>
        <v>38662022042221461634669</v>
      </c>
      <c r="C1692" s="7" t="s">
        <v>17</v>
      </c>
      <c r="D1692" s="7" t="str">
        <f>"薛桃花"</f>
        <v>薛桃花</v>
      </c>
      <c r="E1692" s="7" t="str">
        <f t="shared" si="79"/>
        <v>女</v>
      </c>
    </row>
    <row r="1693" spans="1:5" ht="30" customHeight="1">
      <c r="A1693" s="7">
        <v>1690</v>
      </c>
      <c r="B1693" s="7" t="str">
        <f>"38662022042221505734676"</f>
        <v>38662022042221505734676</v>
      </c>
      <c r="C1693" s="7" t="s">
        <v>17</v>
      </c>
      <c r="D1693" s="7" t="str">
        <f>"吴壮娜"</f>
        <v>吴壮娜</v>
      </c>
      <c r="E1693" s="7" t="str">
        <f t="shared" si="79"/>
        <v>女</v>
      </c>
    </row>
    <row r="1694" spans="1:5" ht="30" customHeight="1">
      <c r="A1694" s="7">
        <v>1691</v>
      </c>
      <c r="B1694" s="7" t="str">
        <f>"38662022042222080134707"</f>
        <v>38662022042222080134707</v>
      </c>
      <c r="C1694" s="7" t="s">
        <v>17</v>
      </c>
      <c r="D1694" s="7" t="str">
        <f>"孙翠"</f>
        <v>孙翠</v>
      </c>
      <c r="E1694" s="7" t="str">
        <f t="shared" si="79"/>
        <v>女</v>
      </c>
    </row>
    <row r="1695" spans="1:5" ht="30" customHeight="1">
      <c r="A1695" s="7">
        <v>1692</v>
      </c>
      <c r="B1695" s="7" t="str">
        <f>"38662022042222314934747"</f>
        <v>38662022042222314934747</v>
      </c>
      <c r="C1695" s="7" t="s">
        <v>17</v>
      </c>
      <c r="D1695" s="7" t="str">
        <f>"李玉岚"</f>
        <v>李玉岚</v>
      </c>
      <c r="E1695" s="7" t="str">
        <f t="shared" si="79"/>
        <v>女</v>
      </c>
    </row>
    <row r="1696" spans="1:5" ht="30" customHeight="1">
      <c r="A1696" s="7">
        <v>1693</v>
      </c>
      <c r="B1696" s="7" t="str">
        <f>"38662022042222471434767"</f>
        <v>38662022042222471434767</v>
      </c>
      <c r="C1696" s="7" t="s">
        <v>17</v>
      </c>
      <c r="D1696" s="7" t="str">
        <f>"王静宝"</f>
        <v>王静宝</v>
      </c>
      <c r="E1696" s="7" t="str">
        <f t="shared" si="79"/>
        <v>女</v>
      </c>
    </row>
    <row r="1697" spans="1:5" ht="30" customHeight="1">
      <c r="A1697" s="7">
        <v>1694</v>
      </c>
      <c r="B1697" s="7" t="str">
        <f>"38662022042309413034973"</f>
        <v>38662022042309413034973</v>
      </c>
      <c r="C1697" s="7" t="s">
        <v>17</v>
      </c>
      <c r="D1697" s="7" t="str">
        <f>"吴世雍"</f>
        <v>吴世雍</v>
      </c>
      <c r="E1697" s="7" t="str">
        <f>"男"</f>
        <v>男</v>
      </c>
    </row>
    <row r="1698" spans="1:5" ht="30" customHeight="1">
      <c r="A1698" s="7">
        <v>1695</v>
      </c>
      <c r="B1698" s="7" t="str">
        <f>"38662022042309572634997"</f>
        <v>38662022042309572634997</v>
      </c>
      <c r="C1698" s="7" t="s">
        <v>17</v>
      </c>
      <c r="D1698" s="7" t="str">
        <f>"李国柳"</f>
        <v>李国柳</v>
      </c>
      <c r="E1698" s="7" t="str">
        <f aca="true" t="shared" si="80" ref="E1698:E1703">"女"</f>
        <v>女</v>
      </c>
    </row>
    <row r="1699" spans="1:5" ht="30" customHeight="1">
      <c r="A1699" s="7">
        <v>1696</v>
      </c>
      <c r="B1699" s="7" t="str">
        <f>"38662022042310241735029"</f>
        <v>38662022042310241735029</v>
      </c>
      <c r="C1699" s="7" t="s">
        <v>17</v>
      </c>
      <c r="D1699" s="7" t="str">
        <f>"王丽文"</f>
        <v>王丽文</v>
      </c>
      <c r="E1699" s="7" t="str">
        <f t="shared" si="80"/>
        <v>女</v>
      </c>
    </row>
    <row r="1700" spans="1:5" ht="30" customHeight="1">
      <c r="A1700" s="7">
        <v>1697</v>
      </c>
      <c r="B1700" s="7" t="str">
        <f>"38662022042311105535093"</f>
        <v>38662022042311105535093</v>
      </c>
      <c r="C1700" s="7" t="s">
        <v>17</v>
      </c>
      <c r="D1700" s="7" t="str">
        <f>"李玉君"</f>
        <v>李玉君</v>
      </c>
      <c r="E1700" s="7" t="str">
        <f t="shared" si="80"/>
        <v>女</v>
      </c>
    </row>
    <row r="1701" spans="1:5" ht="30" customHeight="1">
      <c r="A1701" s="7">
        <v>1698</v>
      </c>
      <c r="B1701" s="7" t="str">
        <f>"38662022042311152335101"</f>
        <v>38662022042311152335101</v>
      </c>
      <c r="C1701" s="7" t="s">
        <v>17</v>
      </c>
      <c r="D1701" s="7" t="str">
        <f>"麦喜映"</f>
        <v>麦喜映</v>
      </c>
      <c r="E1701" s="7" t="str">
        <f t="shared" si="80"/>
        <v>女</v>
      </c>
    </row>
    <row r="1702" spans="1:5" ht="30" customHeight="1">
      <c r="A1702" s="7">
        <v>1699</v>
      </c>
      <c r="B1702" s="7" t="str">
        <f>"38662022042311173135105"</f>
        <v>38662022042311173135105</v>
      </c>
      <c r="C1702" s="7" t="s">
        <v>17</v>
      </c>
      <c r="D1702" s="7" t="str">
        <f>"王雅婷"</f>
        <v>王雅婷</v>
      </c>
      <c r="E1702" s="7" t="str">
        <f t="shared" si="80"/>
        <v>女</v>
      </c>
    </row>
    <row r="1703" spans="1:5" ht="30" customHeight="1">
      <c r="A1703" s="7">
        <v>1700</v>
      </c>
      <c r="B1703" s="7" t="str">
        <f>"38662022042311313135122"</f>
        <v>38662022042311313135122</v>
      </c>
      <c r="C1703" s="7" t="s">
        <v>17</v>
      </c>
      <c r="D1703" s="7" t="str">
        <f>"符迎春"</f>
        <v>符迎春</v>
      </c>
      <c r="E1703" s="7" t="str">
        <f t="shared" si="80"/>
        <v>女</v>
      </c>
    </row>
    <row r="1704" spans="1:5" ht="30" customHeight="1">
      <c r="A1704" s="7">
        <v>1701</v>
      </c>
      <c r="B1704" s="7" t="str">
        <f>"38662022042312003735173"</f>
        <v>38662022042312003735173</v>
      </c>
      <c r="C1704" s="7" t="s">
        <v>17</v>
      </c>
      <c r="D1704" s="7" t="str">
        <f>"肖强"</f>
        <v>肖强</v>
      </c>
      <c r="E1704" s="7" t="str">
        <f>"男"</f>
        <v>男</v>
      </c>
    </row>
    <row r="1705" spans="1:5" ht="30" customHeight="1">
      <c r="A1705" s="7">
        <v>1702</v>
      </c>
      <c r="B1705" s="7" t="str">
        <f>"38662022042312400635211"</f>
        <v>38662022042312400635211</v>
      </c>
      <c r="C1705" s="7" t="s">
        <v>17</v>
      </c>
      <c r="D1705" s="7" t="str">
        <f>"符彩丽"</f>
        <v>符彩丽</v>
      </c>
      <c r="E1705" s="7" t="str">
        <f>"女"</f>
        <v>女</v>
      </c>
    </row>
    <row r="1706" spans="1:5" ht="30" customHeight="1">
      <c r="A1706" s="7">
        <v>1703</v>
      </c>
      <c r="B1706" s="7" t="str">
        <f>"38662022042313003035238"</f>
        <v>38662022042313003035238</v>
      </c>
      <c r="C1706" s="7" t="s">
        <v>17</v>
      </c>
      <c r="D1706" s="7" t="str">
        <f>"郭枝茂"</f>
        <v>郭枝茂</v>
      </c>
      <c r="E1706" s="7" t="str">
        <f>"男"</f>
        <v>男</v>
      </c>
    </row>
    <row r="1707" spans="1:5" ht="30" customHeight="1">
      <c r="A1707" s="7">
        <v>1704</v>
      </c>
      <c r="B1707" s="7" t="str">
        <f>"38662022042313301735266"</f>
        <v>38662022042313301735266</v>
      </c>
      <c r="C1707" s="7" t="s">
        <v>17</v>
      </c>
      <c r="D1707" s="7" t="str">
        <f>"吴小红"</f>
        <v>吴小红</v>
      </c>
      <c r="E1707" s="7" t="str">
        <f>"女"</f>
        <v>女</v>
      </c>
    </row>
    <row r="1708" spans="1:5" ht="30" customHeight="1">
      <c r="A1708" s="7">
        <v>1705</v>
      </c>
      <c r="B1708" s="7" t="str">
        <f>"38662022042313573235303"</f>
        <v>38662022042313573235303</v>
      </c>
      <c r="C1708" s="7" t="s">
        <v>17</v>
      </c>
      <c r="D1708" s="7" t="str">
        <f>"杨观华"</f>
        <v>杨观华</v>
      </c>
      <c r="E1708" s="7" t="str">
        <f>"女"</f>
        <v>女</v>
      </c>
    </row>
    <row r="1709" spans="1:5" ht="30" customHeight="1">
      <c r="A1709" s="7">
        <v>1706</v>
      </c>
      <c r="B1709" s="7" t="str">
        <f>"38662022042314015735309"</f>
        <v>38662022042314015735309</v>
      </c>
      <c r="C1709" s="7" t="s">
        <v>17</v>
      </c>
      <c r="D1709" s="7" t="str">
        <f>"韩伟伟"</f>
        <v>韩伟伟</v>
      </c>
      <c r="E1709" s="7" t="str">
        <f>"男"</f>
        <v>男</v>
      </c>
    </row>
    <row r="1710" spans="1:5" ht="30" customHeight="1">
      <c r="A1710" s="7">
        <v>1707</v>
      </c>
      <c r="B1710" s="7" t="str">
        <f>"38662022042314020435310"</f>
        <v>38662022042314020435310</v>
      </c>
      <c r="C1710" s="7" t="s">
        <v>17</v>
      </c>
      <c r="D1710" s="7" t="str">
        <f>"朱秋梅"</f>
        <v>朱秋梅</v>
      </c>
      <c r="E1710" s="7" t="str">
        <f aca="true" t="shared" si="81" ref="E1710:E1723">"女"</f>
        <v>女</v>
      </c>
    </row>
    <row r="1711" spans="1:5" ht="30" customHeight="1">
      <c r="A1711" s="7">
        <v>1708</v>
      </c>
      <c r="B1711" s="7" t="str">
        <f>"38662022042314081035320"</f>
        <v>38662022042314081035320</v>
      </c>
      <c r="C1711" s="7" t="s">
        <v>17</v>
      </c>
      <c r="D1711" s="7" t="str">
        <f>"羊美萍"</f>
        <v>羊美萍</v>
      </c>
      <c r="E1711" s="7" t="str">
        <f t="shared" si="81"/>
        <v>女</v>
      </c>
    </row>
    <row r="1712" spans="1:5" ht="30" customHeight="1">
      <c r="A1712" s="7">
        <v>1709</v>
      </c>
      <c r="B1712" s="7" t="str">
        <f>"38662022042314123035329"</f>
        <v>38662022042314123035329</v>
      </c>
      <c r="C1712" s="7" t="s">
        <v>17</v>
      </c>
      <c r="D1712" s="7" t="str">
        <f>"王庆飞"</f>
        <v>王庆飞</v>
      </c>
      <c r="E1712" s="7" t="str">
        <f t="shared" si="81"/>
        <v>女</v>
      </c>
    </row>
    <row r="1713" spans="1:5" ht="30" customHeight="1">
      <c r="A1713" s="7">
        <v>1710</v>
      </c>
      <c r="B1713" s="7" t="str">
        <f>"38662022042314304735347"</f>
        <v>38662022042314304735347</v>
      </c>
      <c r="C1713" s="7" t="s">
        <v>17</v>
      </c>
      <c r="D1713" s="7" t="str">
        <f>"莫兰玉"</f>
        <v>莫兰玉</v>
      </c>
      <c r="E1713" s="7" t="str">
        <f t="shared" si="81"/>
        <v>女</v>
      </c>
    </row>
    <row r="1714" spans="1:5" ht="30" customHeight="1">
      <c r="A1714" s="7">
        <v>1711</v>
      </c>
      <c r="B1714" s="7" t="str">
        <f>"38662022042315033635381"</f>
        <v>38662022042315033635381</v>
      </c>
      <c r="C1714" s="7" t="s">
        <v>17</v>
      </c>
      <c r="D1714" s="7" t="str">
        <f>"王茹倩"</f>
        <v>王茹倩</v>
      </c>
      <c r="E1714" s="7" t="str">
        <f t="shared" si="81"/>
        <v>女</v>
      </c>
    </row>
    <row r="1715" spans="1:5" ht="30" customHeight="1">
      <c r="A1715" s="7">
        <v>1712</v>
      </c>
      <c r="B1715" s="7" t="str">
        <f>"38662022042315042235382"</f>
        <v>38662022042315042235382</v>
      </c>
      <c r="C1715" s="7" t="s">
        <v>17</v>
      </c>
      <c r="D1715" s="7" t="str">
        <f>"王育新"</f>
        <v>王育新</v>
      </c>
      <c r="E1715" s="7" t="str">
        <f t="shared" si="81"/>
        <v>女</v>
      </c>
    </row>
    <row r="1716" spans="1:5" ht="30" customHeight="1">
      <c r="A1716" s="7">
        <v>1713</v>
      </c>
      <c r="B1716" s="7" t="str">
        <f>"38662022042315383435438"</f>
        <v>38662022042315383435438</v>
      </c>
      <c r="C1716" s="7" t="s">
        <v>17</v>
      </c>
      <c r="D1716" s="7" t="str">
        <f>"陈申丽"</f>
        <v>陈申丽</v>
      </c>
      <c r="E1716" s="7" t="str">
        <f t="shared" si="81"/>
        <v>女</v>
      </c>
    </row>
    <row r="1717" spans="1:5" ht="30" customHeight="1">
      <c r="A1717" s="7">
        <v>1714</v>
      </c>
      <c r="B1717" s="7" t="str">
        <f>"38662022042316173235502"</f>
        <v>38662022042316173235502</v>
      </c>
      <c r="C1717" s="7" t="s">
        <v>17</v>
      </c>
      <c r="D1717" s="7" t="str">
        <f>"倪慧"</f>
        <v>倪慧</v>
      </c>
      <c r="E1717" s="7" t="str">
        <f t="shared" si="81"/>
        <v>女</v>
      </c>
    </row>
    <row r="1718" spans="1:5" ht="30" customHeight="1">
      <c r="A1718" s="7">
        <v>1715</v>
      </c>
      <c r="B1718" s="7" t="str">
        <f>"38662022042316542935555"</f>
        <v>38662022042316542935555</v>
      </c>
      <c r="C1718" s="7" t="s">
        <v>17</v>
      </c>
      <c r="D1718" s="7" t="str">
        <f>"符焕媚"</f>
        <v>符焕媚</v>
      </c>
      <c r="E1718" s="7" t="str">
        <f t="shared" si="81"/>
        <v>女</v>
      </c>
    </row>
    <row r="1719" spans="1:5" ht="30" customHeight="1">
      <c r="A1719" s="7">
        <v>1716</v>
      </c>
      <c r="B1719" s="7" t="str">
        <f>"38662022042317552535623"</f>
        <v>38662022042317552535623</v>
      </c>
      <c r="C1719" s="7" t="s">
        <v>17</v>
      </c>
      <c r="D1719" s="7" t="str">
        <f>"李振英"</f>
        <v>李振英</v>
      </c>
      <c r="E1719" s="7" t="str">
        <f t="shared" si="81"/>
        <v>女</v>
      </c>
    </row>
    <row r="1720" spans="1:5" ht="30" customHeight="1">
      <c r="A1720" s="7">
        <v>1717</v>
      </c>
      <c r="B1720" s="7" t="str">
        <f>"38662022042318223335644"</f>
        <v>38662022042318223335644</v>
      </c>
      <c r="C1720" s="7" t="s">
        <v>17</v>
      </c>
      <c r="D1720" s="7" t="str">
        <f>"黄海琳"</f>
        <v>黄海琳</v>
      </c>
      <c r="E1720" s="7" t="str">
        <f t="shared" si="81"/>
        <v>女</v>
      </c>
    </row>
    <row r="1721" spans="1:5" ht="30" customHeight="1">
      <c r="A1721" s="7">
        <v>1718</v>
      </c>
      <c r="B1721" s="7" t="str">
        <f>"38662022042318284135651"</f>
        <v>38662022042318284135651</v>
      </c>
      <c r="C1721" s="7" t="s">
        <v>17</v>
      </c>
      <c r="D1721" s="7" t="str">
        <f>"任琳琳"</f>
        <v>任琳琳</v>
      </c>
      <c r="E1721" s="7" t="str">
        <f t="shared" si="81"/>
        <v>女</v>
      </c>
    </row>
    <row r="1722" spans="1:5" ht="30" customHeight="1">
      <c r="A1722" s="7">
        <v>1719</v>
      </c>
      <c r="B1722" s="7" t="str">
        <f>"38662022042319152635687"</f>
        <v>38662022042319152635687</v>
      </c>
      <c r="C1722" s="7" t="s">
        <v>17</v>
      </c>
      <c r="D1722" s="7" t="str">
        <f>"钟杰玲"</f>
        <v>钟杰玲</v>
      </c>
      <c r="E1722" s="7" t="str">
        <f t="shared" si="81"/>
        <v>女</v>
      </c>
    </row>
    <row r="1723" spans="1:5" ht="30" customHeight="1">
      <c r="A1723" s="7">
        <v>1720</v>
      </c>
      <c r="B1723" s="7" t="str">
        <f>"38662022042319480635725"</f>
        <v>38662022042319480635725</v>
      </c>
      <c r="C1723" s="7" t="s">
        <v>17</v>
      </c>
      <c r="D1723" s="7" t="str">
        <f>"陈琳"</f>
        <v>陈琳</v>
      </c>
      <c r="E1723" s="7" t="str">
        <f t="shared" si="81"/>
        <v>女</v>
      </c>
    </row>
    <row r="1724" spans="1:5" ht="30" customHeight="1">
      <c r="A1724" s="7">
        <v>1721</v>
      </c>
      <c r="B1724" s="7" t="str">
        <f>"38662022042320253935770"</f>
        <v>38662022042320253935770</v>
      </c>
      <c r="C1724" s="7" t="s">
        <v>17</v>
      </c>
      <c r="D1724" s="7" t="str">
        <f>"杨兴"</f>
        <v>杨兴</v>
      </c>
      <c r="E1724" s="7" t="str">
        <f>"男"</f>
        <v>男</v>
      </c>
    </row>
    <row r="1725" spans="1:5" ht="30" customHeight="1">
      <c r="A1725" s="7">
        <v>1722</v>
      </c>
      <c r="B1725" s="7" t="str">
        <f>"38662022042320315235786"</f>
        <v>38662022042320315235786</v>
      </c>
      <c r="C1725" s="7" t="s">
        <v>17</v>
      </c>
      <c r="D1725" s="7" t="str">
        <f>"范钰雪"</f>
        <v>范钰雪</v>
      </c>
      <c r="E1725" s="7" t="str">
        <f aca="true" t="shared" si="82" ref="E1725:E1734">"女"</f>
        <v>女</v>
      </c>
    </row>
    <row r="1726" spans="1:5" ht="30" customHeight="1">
      <c r="A1726" s="7">
        <v>1723</v>
      </c>
      <c r="B1726" s="7" t="str">
        <f>"38662022042320554735828"</f>
        <v>38662022042320554735828</v>
      </c>
      <c r="C1726" s="7" t="s">
        <v>17</v>
      </c>
      <c r="D1726" s="7" t="str">
        <f>"薛乾妃"</f>
        <v>薛乾妃</v>
      </c>
      <c r="E1726" s="7" t="str">
        <f t="shared" si="82"/>
        <v>女</v>
      </c>
    </row>
    <row r="1727" spans="1:5" ht="30" customHeight="1">
      <c r="A1727" s="7">
        <v>1724</v>
      </c>
      <c r="B1727" s="7" t="str">
        <f>"38662022042321424235910"</f>
        <v>38662022042321424235910</v>
      </c>
      <c r="C1727" s="7" t="s">
        <v>17</v>
      </c>
      <c r="D1727" s="7" t="str">
        <f>"陈菲菲"</f>
        <v>陈菲菲</v>
      </c>
      <c r="E1727" s="7" t="str">
        <f t="shared" si="82"/>
        <v>女</v>
      </c>
    </row>
    <row r="1728" spans="1:5" ht="30" customHeight="1">
      <c r="A1728" s="7">
        <v>1725</v>
      </c>
      <c r="B1728" s="7" t="str">
        <f>"38662022042321475635923"</f>
        <v>38662022042321475635923</v>
      </c>
      <c r="C1728" s="7" t="s">
        <v>17</v>
      </c>
      <c r="D1728" s="7" t="str">
        <f>"梁小叶"</f>
        <v>梁小叶</v>
      </c>
      <c r="E1728" s="7" t="str">
        <f t="shared" si="82"/>
        <v>女</v>
      </c>
    </row>
    <row r="1729" spans="1:5" ht="30" customHeight="1">
      <c r="A1729" s="7">
        <v>1726</v>
      </c>
      <c r="B1729" s="7" t="str">
        <f>"38662022042322131635958"</f>
        <v>38662022042322131635958</v>
      </c>
      <c r="C1729" s="7" t="s">
        <v>17</v>
      </c>
      <c r="D1729" s="7" t="str">
        <f>"陈孟紫"</f>
        <v>陈孟紫</v>
      </c>
      <c r="E1729" s="7" t="str">
        <f t="shared" si="82"/>
        <v>女</v>
      </c>
    </row>
    <row r="1730" spans="1:5" ht="30" customHeight="1">
      <c r="A1730" s="7">
        <v>1727</v>
      </c>
      <c r="B1730" s="7" t="str">
        <f>"38662022042322225735971"</f>
        <v>38662022042322225735971</v>
      </c>
      <c r="C1730" s="7" t="s">
        <v>17</v>
      </c>
      <c r="D1730" s="7" t="str">
        <f>"王苏惠"</f>
        <v>王苏惠</v>
      </c>
      <c r="E1730" s="7" t="str">
        <f t="shared" si="82"/>
        <v>女</v>
      </c>
    </row>
    <row r="1731" spans="1:5" ht="30" customHeight="1">
      <c r="A1731" s="7">
        <v>1728</v>
      </c>
      <c r="B1731" s="7" t="str">
        <f>"38662022042322242335976"</f>
        <v>38662022042322242335976</v>
      </c>
      <c r="C1731" s="7" t="s">
        <v>17</v>
      </c>
      <c r="D1731" s="7" t="str">
        <f>"符海妹"</f>
        <v>符海妹</v>
      </c>
      <c r="E1731" s="7" t="str">
        <f t="shared" si="82"/>
        <v>女</v>
      </c>
    </row>
    <row r="1732" spans="1:5" ht="30" customHeight="1">
      <c r="A1732" s="7">
        <v>1729</v>
      </c>
      <c r="B1732" s="7" t="str">
        <f>"38662022042322295835983"</f>
        <v>38662022042322295835983</v>
      </c>
      <c r="C1732" s="7" t="s">
        <v>17</v>
      </c>
      <c r="D1732" s="7" t="str">
        <f>"林万燕"</f>
        <v>林万燕</v>
      </c>
      <c r="E1732" s="7" t="str">
        <f t="shared" si="82"/>
        <v>女</v>
      </c>
    </row>
    <row r="1733" spans="1:5" ht="30" customHeight="1">
      <c r="A1733" s="7">
        <v>1730</v>
      </c>
      <c r="B1733" s="7" t="str">
        <f>"38662022042322414536012"</f>
        <v>38662022042322414536012</v>
      </c>
      <c r="C1733" s="7" t="s">
        <v>17</v>
      </c>
      <c r="D1733" s="7" t="str">
        <f>"关义侠"</f>
        <v>关义侠</v>
      </c>
      <c r="E1733" s="7" t="str">
        <f t="shared" si="82"/>
        <v>女</v>
      </c>
    </row>
    <row r="1734" spans="1:5" ht="30" customHeight="1">
      <c r="A1734" s="7">
        <v>1731</v>
      </c>
      <c r="B1734" s="7" t="str">
        <f>"38662022042322445736018"</f>
        <v>38662022042322445736018</v>
      </c>
      <c r="C1734" s="7" t="s">
        <v>17</v>
      </c>
      <c r="D1734" s="7" t="str">
        <f>"曾永秀"</f>
        <v>曾永秀</v>
      </c>
      <c r="E1734" s="7" t="str">
        <f t="shared" si="82"/>
        <v>女</v>
      </c>
    </row>
    <row r="1735" spans="1:5" ht="30" customHeight="1">
      <c r="A1735" s="7">
        <v>1732</v>
      </c>
      <c r="B1735" s="7" t="str">
        <f>"38662022042323215436075"</f>
        <v>38662022042323215436075</v>
      </c>
      <c r="C1735" s="7" t="s">
        <v>17</v>
      </c>
      <c r="D1735" s="7" t="str">
        <f>"李光祥"</f>
        <v>李光祥</v>
      </c>
      <c r="E1735" s="7" t="str">
        <f>"男"</f>
        <v>男</v>
      </c>
    </row>
    <row r="1736" spans="1:5" ht="30" customHeight="1">
      <c r="A1736" s="7">
        <v>1733</v>
      </c>
      <c r="B1736" s="7" t="str">
        <f>"38662022042400001036109"</f>
        <v>38662022042400001036109</v>
      </c>
      <c r="C1736" s="7" t="s">
        <v>17</v>
      </c>
      <c r="D1736" s="7" t="str">
        <f>"林志学"</f>
        <v>林志学</v>
      </c>
      <c r="E1736" s="7" t="str">
        <f>"男"</f>
        <v>男</v>
      </c>
    </row>
    <row r="1737" spans="1:5" ht="30" customHeight="1">
      <c r="A1737" s="7">
        <v>1734</v>
      </c>
      <c r="B1737" s="7" t="str">
        <f>"38662022042407562136154"</f>
        <v>38662022042407562136154</v>
      </c>
      <c r="C1737" s="7" t="s">
        <v>17</v>
      </c>
      <c r="D1737" s="7" t="str">
        <f>"杨紫环"</f>
        <v>杨紫环</v>
      </c>
      <c r="E1737" s="7" t="str">
        <f aca="true" t="shared" si="83" ref="E1737:E1753">"女"</f>
        <v>女</v>
      </c>
    </row>
    <row r="1738" spans="1:5" ht="30" customHeight="1">
      <c r="A1738" s="7">
        <v>1735</v>
      </c>
      <c r="B1738" s="7" t="str">
        <f>"38662022042407581236156"</f>
        <v>38662022042407581236156</v>
      </c>
      <c r="C1738" s="7" t="s">
        <v>17</v>
      </c>
      <c r="D1738" s="7" t="str">
        <f>"黄晓彤"</f>
        <v>黄晓彤</v>
      </c>
      <c r="E1738" s="7" t="str">
        <f t="shared" si="83"/>
        <v>女</v>
      </c>
    </row>
    <row r="1739" spans="1:5" ht="30" customHeight="1">
      <c r="A1739" s="7">
        <v>1736</v>
      </c>
      <c r="B1739" s="7" t="str">
        <f>"38662022042408433036209"</f>
        <v>38662022042408433036209</v>
      </c>
      <c r="C1739" s="7" t="s">
        <v>17</v>
      </c>
      <c r="D1739" s="7" t="str">
        <f>"符桃恋"</f>
        <v>符桃恋</v>
      </c>
      <c r="E1739" s="7" t="str">
        <f t="shared" si="83"/>
        <v>女</v>
      </c>
    </row>
    <row r="1740" spans="1:5" ht="30" customHeight="1">
      <c r="A1740" s="7">
        <v>1737</v>
      </c>
      <c r="B1740" s="7" t="str">
        <f>"38662022042408570536233"</f>
        <v>38662022042408570536233</v>
      </c>
      <c r="C1740" s="7" t="s">
        <v>17</v>
      </c>
      <c r="D1740" s="7" t="str">
        <f>"陈川蕊"</f>
        <v>陈川蕊</v>
      </c>
      <c r="E1740" s="7" t="str">
        <f t="shared" si="83"/>
        <v>女</v>
      </c>
    </row>
    <row r="1741" spans="1:5" ht="30" customHeight="1">
      <c r="A1741" s="7">
        <v>1738</v>
      </c>
      <c r="B1741" s="7" t="str">
        <f>"38662022042408595236237"</f>
        <v>38662022042408595236237</v>
      </c>
      <c r="C1741" s="7" t="s">
        <v>17</v>
      </c>
      <c r="D1741" s="7" t="str">
        <f>"王丹"</f>
        <v>王丹</v>
      </c>
      <c r="E1741" s="7" t="str">
        <f t="shared" si="83"/>
        <v>女</v>
      </c>
    </row>
    <row r="1742" spans="1:5" ht="30" customHeight="1">
      <c r="A1742" s="7">
        <v>1739</v>
      </c>
      <c r="B1742" s="7" t="str">
        <f>"38662022042409013336239"</f>
        <v>38662022042409013336239</v>
      </c>
      <c r="C1742" s="7" t="s">
        <v>17</v>
      </c>
      <c r="D1742" s="7" t="str">
        <f>"彭秋云"</f>
        <v>彭秋云</v>
      </c>
      <c r="E1742" s="7" t="str">
        <f t="shared" si="83"/>
        <v>女</v>
      </c>
    </row>
    <row r="1743" spans="1:5" ht="30" customHeight="1">
      <c r="A1743" s="7">
        <v>1740</v>
      </c>
      <c r="B1743" s="7" t="str">
        <f>"38662022042410062736380"</f>
        <v>38662022042410062736380</v>
      </c>
      <c r="C1743" s="7" t="s">
        <v>17</v>
      </c>
      <c r="D1743" s="7" t="str">
        <f>"符丽芳"</f>
        <v>符丽芳</v>
      </c>
      <c r="E1743" s="7" t="str">
        <f t="shared" si="83"/>
        <v>女</v>
      </c>
    </row>
    <row r="1744" spans="1:5" ht="30" customHeight="1">
      <c r="A1744" s="7">
        <v>1741</v>
      </c>
      <c r="B1744" s="7" t="str">
        <f>"38662022042410331636432"</f>
        <v>38662022042410331636432</v>
      </c>
      <c r="C1744" s="7" t="s">
        <v>17</v>
      </c>
      <c r="D1744" s="7" t="str">
        <f>"陈巧敏"</f>
        <v>陈巧敏</v>
      </c>
      <c r="E1744" s="7" t="str">
        <f t="shared" si="83"/>
        <v>女</v>
      </c>
    </row>
    <row r="1745" spans="1:5" ht="30" customHeight="1">
      <c r="A1745" s="7">
        <v>1742</v>
      </c>
      <c r="B1745" s="7" t="str">
        <f>"38662022042410482936462"</f>
        <v>38662022042410482936462</v>
      </c>
      <c r="C1745" s="7" t="s">
        <v>17</v>
      </c>
      <c r="D1745" s="7" t="str">
        <f>"刘汉丽"</f>
        <v>刘汉丽</v>
      </c>
      <c r="E1745" s="7" t="str">
        <f t="shared" si="83"/>
        <v>女</v>
      </c>
    </row>
    <row r="1746" spans="1:5" ht="30" customHeight="1">
      <c r="A1746" s="7">
        <v>1743</v>
      </c>
      <c r="B1746" s="7" t="str">
        <f>"38662022042411003236486"</f>
        <v>38662022042411003236486</v>
      </c>
      <c r="C1746" s="7" t="s">
        <v>17</v>
      </c>
      <c r="D1746" s="7" t="str">
        <f>"李小儒"</f>
        <v>李小儒</v>
      </c>
      <c r="E1746" s="7" t="str">
        <f t="shared" si="83"/>
        <v>女</v>
      </c>
    </row>
    <row r="1747" spans="1:5" ht="30" customHeight="1">
      <c r="A1747" s="7">
        <v>1744</v>
      </c>
      <c r="B1747" s="7" t="str">
        <f>"38662022042411050136498"</f>
        <v>38662022042411050136498</v>
      </c>
      <c r="C1747" s="7" t="s">
        <v>17</v>
      </c>
      <c r="D1747" s="7" t="str">
        <f>"胡肖颜"</f>
        <v>胡肖颜</v>
      </c>
      <c r="E1747" s="7" t="str">
        <f t="shared" si="83"/>
        <v>女</v>
      </c>
    </row>
    <row r="1748" spans="1:5" ht="30" customHeight="1">
      <c r="A1748" s="7">
        <v>1745</v>
      </c>
      <c r="B1748" s="7" t="str">
        <f>"38662022042411091136504"</f>
        <v>38662022042411091136504</v>
      </c>
      <c r="C1748" s="7" t="s">
        <v>17</v>
      </c>
      <c r="D1748" s="7" t="str">
        <f>"许春玲"</f>
        <v>许春玲</v>
      </c>
      <c r="E1748" s="7" t="str">
        <f t="shared" si="83"/>
        <v>女</v>
      </c>
    </row>
    <row r="1749" spans="1:5" ht="30" customHeight="1">
      <c r="A1749" s="7">
        <v>1746</v>
      </c>
      <c r="B1749" s="7" t="str">
        <f>"38662022042411251036528"</f>
        <v>38662022042411251036528</v>
      </c>
      <c r="C1749" s="7" t="s">
        <v>17</v>
      </c>
      <c r="D1749" s="7" t="str">
        <f>"徐晴晴"</f>
        <v>徐晴晴</v>
      </c>
      <c r="E1749" s="7" t="str">
        <f t="shared" si="83"/>
        <v>女</v>
      </c>
    </row>
    <row r="1750" spans="1:5" ht="30" customHeight="1">
      <c r="A1750" s="7">
        <v>1747</v>
      </c>
      <c r="B1750" s="7" t="str">
        <f>"38662022042411274536538"</f>
        <v>38662022042411274536538</v>
      </c>
      <c r="C1750" s="7" t="s">
        <v>17</v>
      </c>
      <c r="D1750" s="7" t="str">
        <f>"周尹茹"</f>
        <v>周尹茹</v>
      </c>
      <c r="E1750" s="7" t="str">
        <f t="shared" si="83"/>
        <v>女</v>
      </c>
    </row>
    <row r="1751" spans="1:5" ht="30" customHeight="1">
      <c r="A1751" s="7">
        <v>1748</v>
      </c>
      <c r="B1751" s="7" t="str">
        <f>"38662022042411294236542"</f>
        <v>38662022042411294236542</v>
      </c>
      <c r="C1751" s="7" t="s">
        <v>17</v>
      </c>
      <c r="D1751" s="7" t="str">
        <f>"黄艳"</f>
        <v>黄艳</v>
      </c>
      <c r="E1751" s="7" t="str">
        <f t="shared" si="83"/>
        <v>女</v>
      </c>
    </row>
    <row r="1752" spans="1:5" ht="30" customHeight="1">
      <c r="A1752" s="7">
        <v>1749</v>
      </c>
      <c r="B1752" s="7" t="str">
        <f>"38662022042411360836552"</f>
        <v>38662022042411360836552</v>
      </c>
      <c r="C1752" s="7" t="s">
        <v>17</v>
      </c>
      <c r="D1752" s="7" t="str">
        <f>"刘丹妮"</f>
        <v>刘丹妮</v>
      </c>
      <c r="E1752" s="7" t="str">
        <f t="shared" si="83"/>
        <v>女</v>
      </c>
    </row>
    <row r="1753" spans="1:5" ht="30" customHeight="1">
      <c r="A1753" s="7">
        <v>1750</v>
      </c>
      <c r="B1753" s="7" t="str">
        <f>"38662022042411391336564"</f>
        <v>38662022042411391336564</v>
      </c>
      <c r="C1753" s="7" t="s">
        <v>17</v>
      </c>
      <c r="D1753" s="7" t="str">
        <f>"王槐微"</f>
        <v>王槐微</v>
      </c>
      <c r="E1753" s="7" t="str">
        <f t="shared" si="83"/>
        <v>女</v>
      </c>
    </row>
    <row r="1754" spans="1:5" ht="30" customHeight="1">
      <c r="A1754" s="7">
        <v>1751</v>
      </c>
      <c r="B1754" s="7" t="str">
        <f>"38662022042411481136580"</f>
        <v>38662022042411481136580</v>
      </c>
      <c r="C1754" s="7" t="s">
        <v>17</v>
      </c>
      <c r="D1754" s="7" t="str">
        <f>"黄锦"</f>
        <v>黄锦</v>
      </c>
      <c r="E1754" s="7" t="str">
        <f>"男"</f>
        <v>男</v>
      </c>
    </row>
    <row r="1755" spans="1:5" ht="30" customHeight="1">
      <c r="A1755" s="7">
        <v>1752</v>
      </c>
      <c r="B1755" s="7" t="str">
        <f>"38662022042412461136671"</f>
        <v>38662022042412461136671</v>
      </c>
      <c r="C1755" s="7" t="s">
        <v>17</v>
      </c>
      <c r="D1755" s="7" t="str">
        <f>"罗文晴"</f>
        <v>罗文晴</v>
      </c>
      <c r="E1755" s="7" t="str">
        <f>"女"</f>
        <v>女</v>
      </c>
    </row>
    <row r="1756" spans="1:5" ht="30" customHeight="1">
      <c r="A1756" s="7">
        <v>1753</v>
      </c>
      <c r="B1756" s="7" t="str">
        <f>"38662022042412524936685"</f>
        <v>38662022042412524936685</v>
      </c>
      <c r="C1756" s="7" t="s">
        <v>17</v>
      </c>
      <c r="D1756" s="7" t="str">
        <f>"彭园园"</f>
        <v>彭园园</v>
      </c>
      <c r="E1756" s="7" t="str">
        <f>"女"</f>
        <v>女</v>
      </c>
    </row>
    <row r="1757" spans="1:5" ht="30" customHeight="1">
      <c r="A1757" s="7">
        <v>1754</v>
      </c>
      <c r="B1757" s="7" t="str">
        <f>"38662022042412541636690"</f>
        <v>38662022042412541636690</v>
      </c>
      <c r="C1757" s="7" t="s">
        <v>17</v>
      </c>
      <c r="D1757" s="7" t="str">
        <f>"徐丽娜"</f>
        <v>徐丽娜</v>
      </c>
      <c r="E1757" s="7" t="str">
        <f>"女"</f>
        <v>女</v>
      </c>
    </row>
    <row r="1758" spans="1:5" ht="30" customHeight="1">
      <c r="A1758" s="7">
        <v>1755</v>
      </c>
      <c r="B1758" s="7" t="str">
        <f>"38662022042413061736711"</f>
        <v>38662022042413061736711</v>
      </c>
      <c r="C1758" s="7" t="s">
        <v>17</v>
      </c>
      <c r="D1758" s="7" t="str">
        <f>"李丽君"</f>
        <v>李丽君</v>
      </c>
      <c r="E1758" s="7" t="str">
        <f>"女"</f>
        <v>女</v>
      </c>
    </row>
    <row r="1759" spans="1:5" ht="30" customHeight="1">
      <c r="A1759" s="7">
        <v>1756</v>
      </c>
      <c r="B1759" s="7" t="str">
        <f>"38662022042414031736775"</f>
        <v>38662022042414031736775</v>
      </c>
      <c r="C1759" s="7" t="s">
        <v>17</v>
      </c>
      <c r="D1759" s="7" t="str">
        <f>"袁涌航"</f>
        <v>袁涌航</v>
      </c>
      <c r="E1759" s="7" t="str">
        <f>"男"</f>
        <v>男</v>
      </c>
    </row>
    <row r="1760" spans="1:5" ht="30" customHeight="1">
      <c r="A1760" s="7">
        <v>1757</v>
      </c>
      <c r="B1760" s="7" t="str">
        <f>"38662022042414234536794"</f>
        <v>38662022042414234536794</v>
      </c>
      <c r="C1760" s="7" t="s">
        <v>17</v>
      </c>
      <c r="D1760" s="7" t="str">
        <f>"于文娟"</f>
        <v>于文娟</v>
      </c>
      <c r="E1760" s="7" t="str">
        <f aca="true" t="shared" si="84" ref="E1760:E1767">"女"</f>
        <v>女</v>
      </c>
    </row>
    <row r="1761" spans="1:5" ht="30" customHeight="1">
      <c r="A1761" s="7">
        <v>1758</v>
      </c>
      <c r="B1761" s="7" t="str">
        <f>"38662022042414594136853"</f>
        <v>38662022042414594136853</v>
      </c>
      <c r="C1761" s="7" t="s">
        <v>17</v>
      </c>
      <c r="D1761" s="7" t="str">
        <f>"许淑纪"</f>
        <v>许淑纪</v>
      </c>
      <c r="E1761" s="7" t="str">
        <f t="shared" si="84"/>
        <v>女</v>
      </c>
    </row>
    <row r="1762" spans="1:5" ht="30" customHeight="1">
      <c r="A1762" s="7">
        <v>1759</v>
      </c>
      <c r="B1762" s="7" t="str">
        <f>"38662022042415042636862"</f>
        <v>38662022042415042636862</v>
      </c>
      <c r="C1762" s="7" t="s">
        <v>17</v>
      </c>
      <c r="D1762" s="7" t="str">
        <f>"麦汉彬"</f>
        <v>麦汉彬</v>
      </c>
      <c r="E1762" s="7" t="str">
        <f t="shared" si="84"/>
        <v>女</v>
      </c>
    </row>
    <row r="1763" spans="1:5" ht="30" customHeight="1">
      <c r="A1763" s="7">
        <v>1760</v>
      </c>
      <c r="B1763" s="7" t="str">
        <f>"38662022042415392536943"</f>
        <v>38662022042415392536943</v>
      </c>
      <c r="C1763" s="7" t="s">
        <v>17</v>
      </c>
      <c r="D1763" s="7" t="str">
        <f>"徐莉莉"</f>
        <v>徐莉莉</v>
      </c>
      <c r="E1763" s="7" t="str">
        <f t="shared" si="84"/>
        <v>女</v>
      </c>
    </row>
    <row r="1764" spans="1:5" ht="30" customHeight="1">
      <c r="A1764" s="7">
        <v>1761</v>
      </c>
      <c r="B1764" s="7" t="str">
        <f>"38662022042415423736950"</f>
        <v>38662022042415423736950</v>
      </c>
      <c r="C1764" s="7" t="s">
        <v>17</v>
      </c>
      <c r="D1764" s="7" t="str">
        <f>"陈文丽"</f>
        <v>陈文丽</v>
      </c>
      <c r="E1764" s="7" t="str">
        <f t="shared" si="84"/>
        <v>女</v>
      </c>
    </row>
    <row r="1765" spans="1:5" ht="30" customHeight="1">
      <c r="A1765" s="7">
        <v>1762</v>
      </c>
      <c r="B1765" s="7" t="str">
        <f>"38662022042416190837034"</f>
        <v>38662022042416190837034</v>
      </c>
      <c r="C1765" s="7" t="s">
        <v>17</v>
      </c>
      <c r="D1765" s="7" t="str">
        <f>"梁雪君"</f>
        <v>梁雪君</v>
      </c>
      <c r="E1765" s="7" t="str">
        <f t="shared" si="84"/>
        <v>女</v>
      </c>
    </row>
    <row r="1766" spans="1:5" ht="30" customHeight="1">
      <c r="A1766" s="7">
        <v>1763</v>
      </c>
      <c r="B1766" s="7" t="str">
        <f>"38662022042416510037114"</f>
        <v>38662022042416510037114</v>
      </c>
      <c r="C1766" s="7" t="s">
        <v>17</v>
      </c>
      <c r="D1766" s="7" t="str">
        <f>"朱春穗"</f>
        <v>朱春穗</v>
      </c>
      <c r="E1766" s="7" t="str">
        <f t="shared" si="84"/>
        <v>女</v>
      </c>
    </row>
    <row r="1767" spans="1:5" ht="30" customHeight="1">
      <c r="A1767" s="7">
        <v>1764</v>
      </c>
      <c r="B1767" s="7" t="str">
        <f>"38662022042417535637218"</f>
        <v>38662022042417535637218</v>
      </c>
      <c r="C1767" s="7" t="s">
        <v>17</v>
      </c>
      <c r="D1767" s="7" t="str">
        <f>"李春月"</f>
        <v>李春月</v>
      </c>
      <c r="E1767" s="7" t="str">
        <f t="shared" si="84"/>
        <v>女</v>
      </c>
    </row>
    <row r="1768" spans="1:5" ht="30" customHeight="1">
      <c r="A1768" s="7">
        <v>1765</v>
      </c>
      <c r="B1768" s="7" t="str">
        <f>"38662022042417551237222"</f>
        <v>38662022042417551237222</v>
      </c>
      <c r="C1768" s="7" t="s">
        <v>17</v>
      </c>
      <c r="D1768" s="7" t="str">
        <f>"刘红晨"</f>
        <v>刘红晨</v>
      </c>
      <c r="E1768" s="7" t="str">
        <f>"男"</f>
        <v>男</v>
      </c>
    </row>
    <row r="1769" spans="1:5" ht="30" customHeight="1">
      <c r="A1769" s="7">
        <v>1766</v>
      </c>
      <c r="B1769" s="7" t="str">
        <f>"38662022042418111737250"</f>
        <v>38662022042418111737250</v>
      </c>
      <c r="C1769" s="7" t="s">
        <v>17</v>
      </c>
      <c r="D1769" s="7" t="str">
        <f>"王娟"</f>
        <v>王娟</v>
      </c>
      <c r="E1769" s="7" t="str">
        <f>"女"</f>
        <v>女</v>
      </c>
    </row>
    <row r="1770" spans="1:5" ht="30" customHeight="1">
      <c r="A1770" s="7">
        <v>1767</v>
      </c>
      <c r="B1770" s="7" t="str">
        <f>"38662022042419325537361"</f>
        <v>38662022042419325537361</v>
      </c>
      <c r="C1770" s="7" t="s">
        <v>17</v>
      </c>
      <c r="D1770" s="7" t="str">
        <f>"欧阳柳"</f>
        <v>欧阳柳</v>
      </c>
      <c r="E1770" s="7" t="str">
        <f>"女"</f>
        <v>女</v>
      </c>
    </row>
    <row r="1771" spans="1:5" ht="30" customHeight="1">
      <c r="A1771" s="7">
        <v>1768</v>
      </c>
      <c r="B1771" s="7" t="str">
        <f>"38662022042420031137398"</f>
        <v>38662022042420031137398</v>
      </c>
      <c r="C1771" s="7" t="s">
        <v>17</v>
      </c>
      <c r="D1771" s="7" t="str">
        <f>"吕晓东"</f>
        <v>吕晓东</v>
      </c>
      <c r="E1771" s="7" t="str">
        <f>"男"</f>
        <v>男</v>
      </c>
    </row>
    <row r="1772" spans="1:5" ht="30" customHeight="1">
      <c r="A1772" s="7">
        <v>1769</v>
      </c>
      <c r="B1772" s="7" t="str">
        <f>"38662022042420130137414"</f>
        <v>38662022042420130137414</v>
      </c>
      <c r="C1772" s="7" t="s">
        <v>17</v>
      </c>
      <c r="D1772" s="7" t="str">
        <f>"王方浪"</f>
        <v>王方浪</v>
      </c>
      <c r="E1772" s="7" t="str">
        <f>"女"</f>
        <v>女</v>
      </c>
    </row>
    <row r="1773" spans="1:5" ht="30" customHeight="1">
      <c r="A1773" s="7">
        <v>1770</v>
      </c>
      <c r="B1773" s="7" t="str">
        <f>"38662022042420364137458"</f>
        <v>38662022042420364137458</v>
      </c>
      <c r="C1773" s="7" t="s">
        <v>17</v>
      </c>
      <c r="D1773" s="7" t="str">
        <f>"吴维雅"</f>
        <v>吴维雅</v>
      </c>
      <c r="E1773" s="7" t="str">
        <f>"男"</f>
        <v>男</v>
      </c>
    </row>
    <row r="1774" spans="1:5" ht="30" customHeight="1">
      <c r="A1774" s="7">
        <v>1771</v>
      </c>
      <c r="B1774" s="7" t="str">
        <f>"38662022042420555237492"</f>
        <v>38662022042420555237492</v>
      </c>
      <c r="C1774" s="7" t="s">
        <v>17</v>
      </c>
      <c r="D1774" s="7" t="str">
        <f>"王正照"</f>
        <v>王正照</v>
      </c>
      <c r="E1774" s="7" t="str">
        <f>"男"</f>
        <v>男</v>
      </c>
    </row>
    <row r="1775" spans="1:5" ht="30" customHeight="1">
      <c r="A1775" s="7">
        <v>1772</v>
      </c>
      <c r="B1775" s="7" t="str">
        <f>"38662022042420572537499"</f>
        <v>38662022042420572537499</v>
      </c>
      <c r="C1775" s="7" t="s">
        <v>17</v>
      </c>
      <c r="D1775" s="7" t="str">
        <f>"张小梅"</f>
        <v>张小梅</v>
      </c>
      <c r="E1775" s="7" t="str">
        <f>"女"</f>
        <v>女</v>
      </c>
    </row>
    <row r="1776" spans="1:5" ht="30" customHeight="1">
      <c r="A1776" s="7">
        <v>1773</v>
      </c>
      <c r="B1776" s="7" t="str">
        <f>"38662022042421093437520"</f>
        <v>38662022042421093437520</v>
      </c>
      <c r="C1776" s="7" t="s">
        <v>17</v>
      </c>
      <c r="D1776" s="7" t="str">
        <f>"梁冬苗"</f>
        <v>梁冬苗</v>
      </c>
      <c r="E1776" s="7" t="str">
        <f>"女"</f>
        <v>女</v>
      </c>
    </row>
    <row r="1777" spans="1:5" ht="30" customHeight="1">
      <c r="A1777" s="7">
        <v>1774</v>
      </c>
      <c r="B1777" s="7" t="str">
        <f>"38662022042421123437527"</f>
        <v>38662022042421123437527</v>
      </c>
      <c r="C1777" s="7" t="s">
        <v>17</v>
      </c>
      <c r="D1777" s="7" t="str">
        <f>"杨一明"</f>
        <v>杨一明</v>
      </c>
      <c r="E1777" s="7" t="str">
        <f>"男"</f>
        <v>男</v>
      </c>
    </row>
    <row r="1778" spans="1:5" ht="30" customHeight="1">
      <c r="A1778" s="7">
        <v>1775</v>
      </c>
      <c r="B1778" s="7" t="str">
        <f>"38662022042421305937557"</f>
        <v>38662022042421305937557</v>
      </c>
      <c r="C1778" s="7" t="s">
        <v>17</v>
      </c>
      <c r="D1778" s="7" t="str">
        <f>"王盈"</f>
        <v>王盈</v>
      </c>
      <c r="E1778" s="7" t="str">
        <f aca="true" t="shared" si="85" ref="E1778:E1785">"女"</f>
        <v>女</v>
      </c>
    </row>
    <row r="1779" spans="1:5" ht="30" customHeight="1">
      <c r="A1779" s="7">
        <v>1776</v>
      </c>
      <c r="B1779" s="7" t="str">
        <f>"38662022042421515537583"</f>
        <v>38662022042421515537583</v>
      </c>
      <c r="C1779" s="7" t="s">
        <v>17</v>
      </c>
      <c r="D1779" s="7" t="str">
        <f>"庄惠云"</f>
        <v>庄惠云</v>
      </c>
      <c r="E1779" s="7" t="str">
        <f t="shared" si="85"/>
        <v>女</v>
      </c>
    </row>
    <row r="1780" spans="1:5" ht="30" customHeight="1">
      <c r="A1780" s="7">
        <v>1777</v>
      </c>
      <c r="B1780" s="7" t="str">
        <f>"38662022042422224337628"</f>
        <v>38662022042422224337628</v>
      </c>
      <c r="C1780" s="7" t="s">
        <v>17</v>
      </c>
      <c r="D1780" s="7" t="str">
        <f>"王月燕"</f>
        <v>王月燕</v>
      </c>
      <c r="E1780" s="7" t="str">
        <f t="shared" si="85"/>
        <v>女</v>
      </c>
    </row>
    <row r="1781" spans="1:5" ht="30" customHeight="1">
      <c r="A1781" s="7">
        <v>1778</v>
      </c>
      <c r="B1781" s="7" t="str">
        <f>"38662022042422493837672"</f>
        <v>38662022042422493837672</v>
      </c>
      <c r="C1781" s="7" t="s">
        <v>17</v>
      </c>
      <c r="D1781" s="7" t="str">
        <f>"李娇玉"</f>
        <v>李娇玉</v>
      </c>
      <c r="E1781" s="7" t="str">
        <f t="shared" si="85"/>
        <v>女</v>
      </c>
    </row>
    <row r="1782" spans="1:5" ht="30" customHeight="1">
      <c r="A1782" s="7">
        <v>1779</v>
      </c>
      <c r="B1782" s="7" t="str">
        <f>"38662022042423101037708"</f>
        <v>38662022042423101037708</v>
      </c>
      <c r="C1782" s="7" t="s">
        <v>17</v>
      </c>
      <c r="D1782" s="7" t="str">
        <f>"曾巧荣"</f>
        <v>曾巧荣</v>
      </c>
      <c r="E1782" s="7" t="str">
        <f t="shared" si="85"/>
        <v>女</v>
      </c>
    </row>
    <row r="1783" spans="1:5" ht="30" customHeight="1">
      <c r="A1783" s="7">
        <v>1780</v>
      </c>
      <c r="B1783" s="7" t="str">
        <f>"38662022042423594837753"</f>
        <v>38662022042423594837753</v>
      </c>
      <c r="C1783" s="7" t="s">
        <v>17</v>
      </c>
      <c r="D1783" s="7" t="str">
        <f>"周影"</f>
        <v>周影</v>
      </c>
      <c r="E1783" s="7" t="str">
        <f t="shared" si="85"/>
        <v>女</v>
      </c>
    </row>
    <row r="1784" spans="1:5" ht="30" customHeight="1">
      <c r="A1784" s="7">
        <v>1781</v>
      </c>
      <c r="B1784" s="7" t="str">
        <f>"38662022042500065037759"</f>
        <v>38662022042500065037759</v>
      </c>
      <c r="C1784" s="7" t="s">
        <v>17</v>
      </c>
      <c r="D1784" s="7" t="str">
        <f>"李佳珍"</f>
        <v>李佳珍</v>
      </c>
      <c r="E1784" s="7" t="str">
        <f t="shared" si="85"/>
        <v>女</v>
      </c>
    </row>
    <row r="1785" spans="1:5" ht="30" customHeight="1">
      <c r="A1785" s="7">
        <v>1782</v>
      </c>
      <c r="B1785" s="7" t="str">
        <f>"38662022042508394237833"</f>
        <v>38662022042508394237833</v>
      </c>
      <c r="C1785" s="7" t="s">
        <v>17</v>
      </c>
      <c r="D1785" s="7" t="str">
        <f>"符广媛"</f>
        <v>符广媛</v>
      </c>
      <c r="E1785" s="7" t="str">
        <f t="shared" si="85"/>
        <v>女</v>
      </c>
    </row>
    <row r="1786" spans="1:5" ht="30" customHeight="1">
      <c r="A1786" s="7">
        <v>1783</v>
      </c>
      <c r="B1786" s="7" t="str">
        <f>"38662022042510292037995"</f>
        <v>38662022042510292037995</v>
      </c>
      <c r="C1786" s="7" t="s">
        <v>17</v>
      </c>
      <c r="D1786" s="7" t="str">
        <f>"刘卫健"</f>
        <v>刘卫健</v>
      </c>
      <c r="E1786" s="7" t="str">
        <f>"男"</f>
        <v>男</v>
      </c>
    </row>
    <row r="1787" spans="1:5" ht="30" customHeight="1">
      <c r="A1787" s="7">
        <v>1784</v>
      </c>
      <c r="B1787" s="7" t="str">
        <f>"38662022042510373238017"</f>
        <v>38662022042510373238017</v>
      </c>
      <c r="C1787" s="7" t="s">
        <v>17</v>
      </c>
      <c r="D1787" s="7" t="str">
        <f>"周宇萧"</f>
        <v>周宇萧</v>
      </c>
      <c r="E1787" s="7" t="str">
        <f>"女"</f>
        <v>女</v>
      </c>
    </row>
    <row r="1788" spans="1:5" ht="30" customHeight="1">
      <c r="A1788" s="7">
        <v>1785</v>
      </c>
      <c r="B1788" s="7" t="str">
        <f>"38662022042510473938039"</f>
        <v>38662022042510473938039</v>
      </c>
      <c r="C1788" s="7" t="s">
        <v>17</v>
      </c>
      <c r="D1788" s="7" t="str">
        <f>"吴司南"</f>
        <v>吴司南</v>
      </c>
      <c r="E1788" s="7" t="str">
        <f>"女"</f>
        <v>女</v>
      </c>
    </row>
    <row r="1789" spans="1:5" ht="30" customHeight="1">
      <c r="A1789" s="7">
        <v>1786</v>
      </c>
      <c r="B1789" s="7" t="str">
        <f>"38662022042511253538113"</f>
        <v>38662022042511253538113</v>
      </c>
      <c r="C1789" s="7" t="s">
        <v>17</v>
      </c>
      <c r="D1789" s="7" t="str">
        <f>"文兴曼"</f>
        <v>文兴曼</v>
      </c>
      <c r="E1789" s="7" t="str">
        <f>"女"</f>
        <v>女</v>
      </c>
    </row>
    <row r="1790" spans="1:5" ht="30" customHeight="1">
      <c r="A1790" s="7">
        <v>1787</v>
      </c>
      <c r="B1790" s="7" t="str">
        <f>"38662022042512213638164"</f>
        <v>38662022042512213638164</v>
      </c>
      <c r="C1790" s="7" t="s">
        <v>17</v>
      </c>
      <c r="D1790" s="7" t="str">
        <f>"吴生武"</f>
        <v>吴生武</v>
      </c>
      <c r="E1790" s="7" t="str">
        <f>"男"</f>
        <v>男</v>
      </c>
    </row>
    <row r="1791" spans="1:5" ht="30" customHeight="1">
      <c r="A1791" s="7">
        <v>1788</v>
      </c>
      <c r="B1791" s="7" t="str">
        <f>"38662022042513505338248"</f>
        <v>38662022042513505338248</v>
      </c>
      <c r="C1791" s="7" t="s">
        <v>17</v>
      </c>
      <c r="D1791" s="7" t="str">
        <f>"李正一"</f>
        <v>李正一</v>
      </c>
      <c r="E1791" s="7" t="str">
        <f aca="true" t="shared" si="86" ref="E1791:E1802">"女"</f>
        <v>女</v>
      </c>
    </row>
    <row r="1792" spans="1:5" ht="30" customHeight="1">
      <c r="A1792" s="7">
        <v>1789</v>
      </c>
      <c r="B1792" s="7" t="str">
        <f>"38662022042513593238255"</f>
        <v>38662022042513593238255</v>
      </c>
      <c r="C1792" s="7" t="s">
        <v>17</v>
      </c>
      <c r="D1792" s="7" t="str">
        <f>"符小燕"</f>
        <v>符小燕</v>
      </c>
      <c r="E1792" s="7" t="str">
        <f t="shared" si="86"/>
        <v>女</v>
      </c>
    </row>
    <row r="1793" spans="1:5" ht="30" customHeight="1">
      <c r="A1793" s="7">
        <v>1790</v>
      </c>
      <c r="B1793" s="7" t="str">
        <f>"38662022042514221638272"</f>
        <v>38662022042514221638272</v>
      </c>
      <c r="C1793" s="7" t="s">
        <v>17</v>
      </c>
      <c r="D1793" s="7" t="str">
        <f>"迟梦洋"</f>
        <v>迟梦洋</v>
      </c>
      <c r="E1793" s="7" t="str">
        <f t="shared" si="86"/>
        <v>女</v>
      </c>
    </row>
    <row r="1794" spans="1:5" ht="30" customHeight="1">
      <c r="A1794" s="7">
        <v>1791</v>
      </c>
      <c r="B1794" s="7" t="str">
        <f>"38662022042515182638357"</f>
        <v>38662022042515182638357</v>
      </c>
      <c r="C1794" s="7" t="s">
        <v>17</v>
      </c>
      <c r="D1794" s="7" t="str">
        <f>"许琳"</f>
        <v>许琳</v>
      </c>
      <c r="E1794" s="7" t="str">
        <f t="shared" si="86"/>
        <v>女</v>
      </c>
    </row>
    <row r="1795" spans="1:5" ht="30" customHeight="1">
      <c r="A1795" s="7">
        <v>1792</v>
      </c>
      <c r="B1795" s="7" t="str">
        <f>"38662022042515554238442"</f>
        <v>38662022042515554238442</v>
      </c>
      <c r="C1795" s="7" t="s">
        <v>17</v>
      </c>
      <c r="D1795" s="7" t="str">
        <f>"陈梅丽"</f>
        <v>陈梅丽</v>
      </c>
      <c r="E1795" s="7" t="str">
        <f t="shared" si="86"/>
        <v>女</v>
      </c>
    </row>
    <row r="1796" spans="1:5" ht="30" customHeight="1">
      <c r="A1796" s="7">
        <v>1793</v>
      </c>
      <c r="B1796" s="7" t="str">
        <f>"38662022042517293538581"</f>
        <v>38662022042517293538581</v>
      </c>
      <c r="C1796" s="7" t="s">
        <v>17</v>
      </c>
      <c r="D1796" s="7" t="str">
        <f>"曾德珠"</f>
        <v>曾德珠</v>
      </c>
      <c r="E1796" s="7" t="str">
        <f t="shared" si="86"/>
        <v>女</v>
      </c>
    </row>
    <row r="1797" spans="1:5" ht="30" customHeight="1">
      <c r="A1797" s="7">
        <v>1794</v>
      </c>
      <c r="B1797" s="7" t="str">
        <f>"38662022042517370238589"</f>
        <v>38662022042517370238589</v>
      </c>
      <c r="C1797" s="7" t="s">
        <v>17</v>
      </c>
      <c r="D1797" s="7" t="str">
        <f>"李金燕"</f>
        <v>李金燕</v>
      </c>
      <c r="E1797" s="7" t="str">
        <f t="shared" si="86"/>
        <v>女</v>
      </c>
    </row>
    <row r="1798" spans="1:5" ht="30" customHeight="1">
      <c r="A1798" s="7">
        <v>1795</v>
      </c>
      <c r="B1798" s="7" t="str">
        <f>"38662022042518180938628"</f>
        <v>38662022042518180938628</v>
      </c>
      <c r="C1798" s="7" t="s">
        <v>17</v>
      </c>
      <c r="D1798" s="7" t="str">
        <f>"王美君"</f>
        <v>王美君</v>
      </c>
      <c r="E1798" s="7" t="str">
        <f t="shared" si="86"/>
        <v>女</v>
      </c>
    </row>
    <row r="1799" spans="1:5" ht="30" customHeight="1">
      <c r="A1799" s="7">
        <v>1796</v>
      </c>
      <c r="B1799" s="7" t="str">
        <f>"38662022042518234238640"</f>
        <v>38662022042518234238640</v>
      </c>
      <c r="C1799" s="7" t="s">
        <v>17</v>
      </c>
      <c r="D1799" s="7" t="str">
        <f>"覃欣如"</f>
        <v>覃欣如</v>
      </c>
      <c r="E1799" s="7" t="str">
        <f t="shared" si="86"/>
        <v>女</v>
      </c>
    </row>
    <row r="1800" spans="1:5" ht="30" customHeight="1">
      <c r="A1800" s="7">
        <v>1797</v>
      </c>
      <c r="B1800" s="7" t="str">
        <f>"38662022042518404938661"</f>
        <v>38662022042518404938661</v>
      </c>
      <c r="C1800" s="7" t="s">
        <v>17</v>
      </c>
      <c r="D1800" s="7" t="str">
        <f>"姚颖"</f>
        <v>姚颖</v>
      </c>
      <c r="E1800" s="7" t="str">
        <f t="shared" si="86"/>
        <v>女</v>
      </c>
    </row>
    <row r="1801" spans="1:5" ht="30" customHeight="1">
      <c r="A1801" s="7">
        <v>1798</v>
      </c>
      <c r="B1801" s="7" t="str">
        <f>"38662022042518515638671"</f>
        <v>38662022042518515638671</v>
      </c>
      <c r="C1801" s="7" t="s">
        <v>17</v>
      </c>
      <c r="D1801" s="7" t="str">
        <f>"张香丹"</f>
        <v>张香丹</v>
      </c>
      <c r="E1801" s="7" t="str">
        <f t="shared" si="86"/>
        <v>女</v>
      </c>
    </row>
    <row r="1802" spans="1:5" ht="30" customHeight="1">
      <c r="A1802" s="7">
        <v>1799</v>
      </c>
      <c r="B1802" s="7" t="str">
        <f>"38662022042518571938677"</f>
        <v>38662022042518571938677</v>
      </c>
      <c r="C1802" s="7" t="s">
        <v>17</v>
      </c>
      <c r="D1802" s="7" t="str">
        <f>"林诗梦"</f>
        <v>林诗梦</v>
      </c>
      <c r="E1802" s="7" t="str">
        <f t="shared" si="86"/>
        <v>女</v>
      </c>
    </row>
    <row r="1803" spans="1:5" ht="30" customHeight="1">
      <c r="A1803" s="7">
        <v>1800</v>
      </c>
      <c r="B1803" s="7" t="str">
        <f>"38662022042520021638745"</f>
        <v>38662022042520021638745</v>
      </c>
      <c r="C1803" s="7" t="s">
        <v>17</v>
      </c>
      <c r="D1803" s="7" t="str">
        <f>"韩财畴"</f>
        <v>韩财畴</v>
      </c>
      <c r="E1803" s="7" t="str">
        <f>"男"</f>
        <v>男</v>
      </c>
    </row>
    <row r="1804" spans="1:5" ht="30" customHeight="1">
      <c r="A1804" s="7">
        <v>1801</v>
      </c>
      <c r="B1804" s="7" t="str">
        <f>"38662022042520384038794"</f>
        <v>38662022042520384038794</v>
      </c>
      <c r="C1804" s="7" t="s">
        <v>17</v>
      </c>
      <c r="D1804" s="7" t="str">
        <f>"范世鹰"</f>
        <v>范世鹰</v>
      </c>
      <c r="E1804" s="7" t="str">
        <f aca="true" t="shared" si="87" ref="E1804:E1820">"女"</f>
        <v>女</v>
      </c>
    </row>
    <row r="1805" spans="1:5" ht="30" customHeight="1">
      <c r="A1805" s="7">
        <v>1802</v>
      </c>
      <c r="B1805" s="7" t="str">
        <f>"38662022042520460638802"</f>
        <v>38662022042520460638802</v>
      </c>
      <c r="C1805" s="7" t="s">
        <v>17</v>
      </c>
      <c r="D1805" s="7" t="str">
        <f>"王小利"</f>
        <v>王小利</v>
      </c>
      <c r="E1805" s="7" t="str">
        <f t="shared" si="87"/>
        <v>女</v>
      </c>
    </row>
    <row r="1806" spans="1:5" ht="30" customHeight="1">
      <c r="A1806" s="7">
        <v>1803</v>
      </c>
      <c r="B1806" s="7" t="str">
        <f>"38662022042521370438876"</f>
        <v>38662022042521370438876</v>
      </c>
      <c r="C1806" s="7" t="s">
        <v>17</v>
      </c>
      <c r="D1806" s="7" t="str">
        <f>"钱海琼"</f>
        <v>钱海琼</v>
      </c>
      <c r="E1806" s="7" t="str">
        <f t="shared" si="87"/>
        <v>女</v>
      </c>
    </row>
    <row r="1807" spans="1:5" ht="30" customHeight="1">
      <c r="A1807" s="7">
        <v>1804</v>
      </c>
      <c r="B1807" s="7" t="str">
        <f>"38662022042521483238894"</f>
        <v>38662022042521483238894</v>
      </c>
      <c r="C1807" s="7" t="s">
        <v>17</v>
      </c>
      <c r="D1807" s="7" t="str">
        <f>"王雪琴"</f>
        <v>王雪琴</v>
      </c>
      <c r="E1807" s="7" t="str">
        <f t="shared" si="87"/>
        <v>女</v>
      </c>
    </row>
    <row r="1808" spans="1:5" ht="30" customHeight="1">
      <c r="A1808" s="7">
        <v>1805</v>
      </c>
      <c r="B1808" s="7" t="str">
        <f>"38662022042522243938946"</f>
        <v>38662022042522243938946</v>
      </c>
      <c r="C1808" s="7" t="s">
        <v>17</v>
      </c>
      <c r="D1808" s="7" t="str">
        <f>"唐珊珊"</f>
        <v>唐珊珊</v>
      </c>
      <c r="E1808" s="7" t="str">
        <f t="shared" si="87"/>
        <v>女</v>
      </c>
    </row>
    <row r="1809" spans="1:5" ht="30" customHeight="1">
      <c r="A1809" s="7">
        <v>1806</v>
      </c>
      <c r="B1809" s="7" t="str">
        <f>"38662022042523102039008"</f>
        <v>38662022042523102039008</v>
      </c>
      <c r="C1809" s="7" t="s">
        <v>17</v>
      </c>
      <c r="D1809" s="7" t="str">
        <f>"李银铃"</f>
        <v>李银铃</v>
      </c>
      <c r="E1809" s="7" t="str">
        <f t="shared" si="87"/>
        <v>女</v>
      </c>
    </row>
    <row r="1810" spans="1:5" ht="30" customHeight="1">
      <c r="A1810" s="7">
        <v>1807</v>
      </c>
      <c r="B1810" s="7" t="str">
        <f>"38662022042523343939025"</f>
        <v>38662022042523343939025</v>
      </c>
      <c r="C1810" s="7" t="s">
        <v>17</v>
      </c>
      <c r="D1810" s="7" t="str">
        <f>"张泽莉"</f>
        <v>张泽莉</v>
      </c>
      <c r="E1810" s="7" t="str">
        <f t="shared" si="87"/>
        <v>女</v>
      </c>
    </row>
    <row r="1811" spans="1:5" ht="30" customHeight="1">
      <c r="A1811" s="7">
        <v>1808</v>
      </c>
      <c r="B1811" s="7" t="str">
        <f>"38662022042600084339065"</f>
        <v>38662022042600084339065</v>
      </c>
      <c r="C1811" s="7" t="s">
        <v>17</v>
      </c>
      <c r="D1811" s="7" t="str">
        <f>"麦苗"</f>
        <v>麦苗</v>
      </c>
      <c r="E1811" s="7" t="str">
        <f t="shared" si="87"/>
        <v>女</v>
      </c>
    </row>
    <row r="1812" spans="1:5" ht="30" customHeight="1">
      <c r="A1812" s="7">
        <v>1809</v>
      </c>
      <c r="B1812" s="7" t="str">
        <f>"38662022042600494739080"</f>
        <v>38662022042600494739080</v>
      </c>
      <c r="C1812" s="7" t="s">
        <v>17</v>
      </c>
      <c r="D1812" s="7" t="str">
        <f>"符芳莉"</f>
        <v>符芳莉</v>
      </c>
      <c r="E1812" s="7" t="str">
        <f t="shared" si="87"/>
        <v>女</v>
      </c>
    </row>
    <row r="1813" spans="1:5" ht="30" customHeight="1">
      <c r="A1813" s="7">
        <v>1810</v>
      </c>
      <c r="B1813" s="7" t="str">
        <f>"38662022042606585439104"</f>
        <v>38662022042606585439104</v>
      </c>
      <c r="C1813" s="7" t="s">
        <v>17</v>
      </c>
      <c r="D1813" s="7" t="str">
        <f>"张宝月"</f>
        <v>张宝月</v>
      </c>
      <c r="E1813" s="7" t="str">
        <f t="shared" si="87"/>
        <v>女</v>
      </c>
    </row>
    <row r="1814" spans="1:5" ht="30" customHeight="1">
      <c r="A1814" s="7">
        <v>1811</v>
      </c>
      <c r="B1814" s="7" t="str">
        <f>"38662022042608203639129"</f>
        <v>38662022042608203639129</v>
      </c>
      <c r="C1814" s="7" t="s">
        <v>17</v>
      </c>
      <c r="D1814" s="7" t="str">
        <f>"容培培"</f>
        <v>容培培</v>
      </c>
      <c r="E1814" s="7" t="str">
        <f t="shared" si="87"/>
        <v>女</v>
      </c>
    </row>
    <row r="1815" spans="1:5" ht="30" customHeight="1">
      <c r="A1815" s="7">
        <v>1812</v>
      </c>
      <c r="B1815" s="7" t="str">
        <f>"38662022042610032039261"</f>
        <v>38662022042610032039261</v>
      </c>
      <c r="C1815" s="7" t="s">
        <v>17</v>
      </c>
      <c r="D1815" s="7" t="str">
        <f>"梁杨英"</f>
        <v>梁杨英</v>
      </c>
      <c r="E1815" s="7" t="str">
        <f t="shared" si="87"/>
        <v>女</v>
      </c>
    </row>
    <row r="1816" spans="1:5" ht="30" customHeight="1">
      <c r="A1816" s="7">
        <v>1813</v>
      </c>
      <c r="B1816" s="7" t="str">
        <f>"38662022042610112039273"</f>
        <v>38662022042610112039273</v>
      </c>
      <c r="C1816" s="7" t="s">
        <v>17</v>
      </c>
      <c r="D1816" s="7" t="str">
        <f>"吴婕灵"</f>
        <v>吴婕灵</v>
      </c>
      <c r="E1816" s="7" t="str">
        <f t="shared" si="87"/>
        <v>女</v>
      </c>
    </row>
    <row r="1817" spans="1:5" ht="30" customHeight="1">
      <c r="A1817" s="7">
        <v>1814</v>
      </c>
      <c r="B1817" s="7" t="str">
        <f>"38662022042610265739300"</f>
        <v>38662022042610265739300</v>
      </c>
      <c r="C1817" s="7" t="s">
        <v>17</v>
      </c>
      <c r="D1817" s="7" t="str">
        <f>"李颖"</f>
        <v>李颖</v>
      </c>
      <c r="E1817" s="7" t="str">
        <f t="shared" si="87"/>
        <v>女</v>
      </c>
    </row>
    <row r="1818" spans="1:5" ht="30" customHeight="1">
      <c r="A1818" s="7">
        <v>1815</v>
      </c>
      <c r="B1818" s="7" t="str">
        <f>"38662022042610573339347"</f>
        <v>38662022042610573339347</v>
      </c>
      <c r="C1818" s="7" t="s">
        <v>17</v>
      </c>
      <c r="D1818" s="7" t="str">
        <f>"李流彬"</f>
        <v>李流彬</v>
      </c>
      <c r="E1818" s="7" t="str">
        <f t="shared" si="87"/>
        <v>女</v>
      </c>
    </row>
    <row r="1819" spans="1:5" ht="30" customHeight="1">
      <c r="A1819" s="7">
        <v>1816</v>
      </c>
      <c r="B1819" s="7" t="str">
        <f>"38662022042612174839462"</f>
        <v>38662022042612174839462</v>
      </c>
      <c r="C1819" s="7" t="s">
        <v>17</v>
      </c>
      <c r="D1819" s="7" t="str">
        <f>"黎贤英"</f>
        <v>黎贤英</v>
      </c>
      <c r="E1819" s="7" t="str">
        <f t="shared" si="87"/>
        <v>女</v>
      </c>
    </row>
    <row r="1820" spans="1:5" ht="30" customHeight="1">
      <c r="A1820" s="7">
        <v>1817</v>
      </c>
      <c r="B1820" s="7" t="str">
        <f>"38662022042612520739502"</f>
        <v>38662022042612520739502</v>
      </c>
      <c r="C1820" s="7" t="s">
        <v>17</v>
      </c>
      <c r="D1820" s="7" t="str">
        <f>"郑晓莹"</f>
        <v>郑晓莹</v>
      </c>
      <c r="E1820" s="7" t="str">
        <f t="shared" si="87"/>
        <v>女</v>
      </c>
    </row>
    <row r="1821" spans="1:5" ht="30" customHeight="1">
      <c r="A1821" s="7">
        <v>1818</v>
      </c>
      <c r="B1821" s="7" t="str">
        <f>"38662022042612530039503"</f>
        <v>38662022042612530039503</v>
      </c>
      <c r="C1821" s="7" t="s">
        <v>17</v>
      </c>
      <c r="D1821" s="7" t="str">
        <f>"郭易侨"</f>
        <v>郭易侨</v>
      </c>
      <c r="E1821" s="7" t="str">
        <f>"男"</f>
        <v>男</v>
      </c>
    </row>
    <row r="1822" spans="1:5" ht="30" customHeight="1">
      <c r="A1822" s="7">
        <v>1819</v>
      </c>
      <c r="B1822" s="7" t="str">
        <f>"38662022042613043739519"</f>
        <v>38662022042613043739519</v>
      </c>
      <c r="C1822" s="7" t="s">
        <v>17</v>
      </c>
      <c r="D1822" s="7" t="str">
        <f>"陈玉环"</f>
        <v>陈玉环</v>
      </c>
      <c r="E1822" s="7" t="str">
        <f>"女"</f>
        <v>女</v>
      </c>
    </row>
    <row r="1823" spans="1:5" ht="30" customHeight="1">
      <c r="A1823" s="7">
        <v>1820</v>
      </c>
      <c r="B1823" s="7" t="str">
        <f>"38662022042613260339538"</f>
        <v>38662022042613260339538</v>
      </c>
      <c r="C1823" s="7" t="s">
        <v>17</v>
      </c>
      <c r="D1823" s="7" t="str">
        <f>"吴秀菊"</f>
        <v>吴秀菊</v>
      </c>
      <c r="E1823" s="7" t="str">
        <f>"女"</f>
        <v>女</v>
      </c>
    </row>
    <row r="1824" spans="1:5" ht="30" customHeight="1">
      <c r="A1824" s="7">
        <v>1821</v>
      </c>
      <c r="B1824" s="7" t="str">
        <f>"38662022042615323339700"</f>
        <v>38662022042615323339700</v>
      </c>
      <c r="C1824" s="7" t="s">
        <v>17</v>
      </c>
      <c r="D1824" s="7" t="str">
        <f>"刘慧敏"</f>
        <v>刘慧敏</v>
      </c>
      <c r="E1824" s="7" t="str">
        <f>"女"</f>
        <v>女</v>
      </c>
    </row>
    <row r="1825" spans="1:5" ht="30" customHeight="1">
      <c r="A1825" s="7">
        <v>1822</v>
      </c>
      <c r="B1825" s="7" t="str">
        <f>"38662022042616163839776"</f>
        <v>38662022042616163839776</v>
      </c>
      <c r="C1825" s="7" t="s">
        <v>17</v>
      </c>
      <c r="D1825" s="7" t="str">
        <f>"杨全业"</f>
        <v>杨全业</v>
      </c>
      <c r="E1825" s="7" t="str">
        <f>"男"</f>
        <v>男</v>
      </c>
    </row>
    <row r="1826" spans="1:5" ht="30" customHeight="1">
      <c r="A1826" s="7">
        <v>1823</v>
      </c>
      <c r="B1826" s="7" t="str">
        <f>"38662022042616394539843"</f>
        <v>38662022042616394539843</v>
      </c>
      <c r="C1826" s="7" t="s">
        <v>17</v>
      </c>
      <c r="D1826" s="7" t="str">
        <f>"符爱孟"</f>
        <v>符爱孟</v>
      </c>
      <c r="E1826" s="7" t="str">
        <f>"女"</f>
        <v>女</v>
      </c>
    </row>
    <row r="1827" spans="1:5" ht="30" customHeight="1">
      <c r="A1827" s="7">
        <v>1824</v>
      </c>
      <c r="B1827" s="7" t="str">
        <f>"38662022042617214739909"</f>
        <v>38662022042617214739909</v>
      </c>
      <c r="C1827" s="7" t="s">
        <v>17</v>
      </c>
      <c r="D1827" s="7" t="str">
        <f>"吴春玲"</f>
        <v>吴春玲</v>
      </c>
      <c r="E1827" s="7" t="str">
        <f>"女"</f>
        <v>女</v>
      </c>
    </row>
    <row r="1828" spans="1:5" ht="30" customHeight="1">
      <c r="A1828" s="7">
        <v>1825</v>
      </c>
      <c r="B1828" s="7" t="str">
        <f>"38662022042617220739910"</f>
        <v>38662022042617220739910</v>
      </c>
      <c r="C1828" s="7" t="s">
        <v>17</v>
      </c>
      <c r="D1828" s="7" t="str">
        <f>"王媛"</f>
        <v>王媛</v>
      </c>
      <c r="E1828" s="7" t="str">
        <f>"女"</f>
        <v>女</v>
      </c>
    </row>
    <row r="1829" spans="1:5" ht="30" customHeight="1">
      <c r="A1829" s="7">
        <v>1826</v>
      </c>
      <c r="B1829" s="7" t="str">
        <f>"38662022042618333139989"</f>
        <v>38662022042618333139989</v>
      </c>
      <c r="C1829" s="7" t="s">
        <v>17</v>
      </c>
      <c r="D1829" s="7" t="str">
        <f>"羊淑妍"</f>
        <v>羊淑妍</v>
      </c>
      <c r="E1829" s="7" t="str">
        <f>"女"</f>
        <v>女</v>
      </c>
    </row>
    <row r="1830" spans="1:5" ht="30" customHeight="1">
      <c r="A1830" s="7">
        <v>1827</v>
      </c>
      <c r="B1830" s="7" t="str">
        <f>"38662022042618553040017"</f>
        <v>38662022042618553040017</v>
      </c>
      <c r="C1830" s="7" t="s">
        <v>17</v>
      </c>
      <c r="D1830" s="7" t="str">
        <f>"周林邦"</f>
        <v>周林邦</v>
      </c>
      <c r="E1830" s="7" t="str">
        <f>"男"</f>
        <v>男</v>
      </c>
    </row>
    <row r="1831" spans="1:5" ht="30" customHeight="1">
      <c r="A1831" s="7">
        <v>1828</v>
      </c>
      <c r="B1831" s="7" t="str">
        <f>"38662022042619160340034"</f>
        <v>38662022042619160340034</v>
      </c>
      <c r="C1831" s="7" t="s">
        <v>17</v>
      </c>
      <c r="D1831" s="7" t="str">
        <f>"符东淼"</f>
        <v>符东淼</v>
      </c>
      <c r="E1831" s="7" t="str">
        <f aca="true" t="shared" si="88" ref="E1831:E1840">"女"</f>
        <v>女</v>
      </c>
    </row>
    <row r="1832" spans="1:5" ht="30" customHeight="1">
      <c r="A1832" s="7">
        <v>1829</v>
      </c>
      <c r="B1832" s="7" t="str">
        <f>"38662022042620240540127"</f>
        <v>38662022042620240540127</v>
      </c>
      <c r="C1832" s="7" t="s">
        <v>17</v>
      </c>
      <c r="D1832" s="7" t="str">
        <f>"黄诗蕾"</f>
        <v>黄诗蕾</v>
      </c>
      <c r="E1832" s="7" t="str">
        <f t="shared" si="88"/>
        <v>女</v>
      </c>
    </row>
    <row r="1833" spans="1:5" ht="30" customHeight="1">
      <c r="A1833" s="7">
        <v>1830</v>
      </c>
      <c r="B1833" s="7" t="str">
        <f>"38662022042620531140176"</f>
        <v>38662022042620531140176</v>
      </c>
      <c r="C1833" s="7" t="s">
        <v>17</v>
      </c>
      <c r="D1833" s="7" t="str">
        <f>"林小珍"</f>
        <v>林小珍</v>
      </c>
      <c r="E1833" s="7" t="str">
        <f t="shared" si="88"/>
        <v>女</v>
      </c>
    </row>
    <row r="1834" spans="1:5" ht="30" customHeight="1">
      <c r="A1834" s="7">
        <v>1831</v>
      </c>
      <c r="B1834" s="7" t="str">
        <f>"38662022042620580740186"</f>
        <v>38662022042620580740186</v>
      </c>
      <c r="C1834" s="7" t="s">
        <v>17</v>
      </c>
      <c r="D1834" s="7" t="str">
        <f>"陈百惠"</f>
        <v>陈百惠</v>
      </c>
      <c r="E1834" s="7" t="str">
        <f t="shared" si="88"/>
        <v>女</v>
      </c>
    </row>
    <row r="1835" spans="1:5" ht="30" customHeight="1">
      <c r="A1835" s="7">
        <v>1832</v>
      </c>
      <c r="B1835" s="7" t="str">
        <f>"38662022042621092840211"</f>
        <v>38662022042621092840211</v>
      </c>
      <c r="C1835" s="7" t="s">
        <v>17</v>
      </c>
      <c r="D1835" s="7" t="str">
        <f>"林明桂"</f>
        <v>林明桂</v>
      </c>
      <c r="E1835" s="7" t="str">
        <f t="shared" si="88"/>
        <v>女</v>
      </c>
    </row>
    <row r="1836" spans="1:5" ht="30" customHeight="1">
      <c r="A1836" s="7">
        <v>1833</v>
      </c>
      <c r="B1836" s="7" t="str">
        <f>"38662022042621155640219"</f>
        <v>38662022042621155640219</v>
      </c>
      <c r="C1836" s="7" t="s">
        <v>17</v>
      </c>
      <c r="D1836" s="7" t="str">
        <f>"张小妹"</f>
        <v>张小妹</v>
      </c>
      <c r="E1836" s="7" t="str">
        <f t="shared" si="88"/>
        <v>女</v>
      </c>
    </row>
    <row r="1837" spans="1:5" ht="30" customHeight="1">
      <c r="A1837" s="7">
        <v>1834</v>
      </c>
      <c r="B1837" s="7" t="str">
        <f>"38662022042622382940355"</f>
        <v>38662022042622382940355</v>
      </c>
      <c r="C1837" s="7" t="s">
        <v>17</v>
      </c>
      <c r="D1837" s="7" t="str">
        <f>"黄慧"</f>
        <v>黄慧</v>
      </c>
      <c r="E1837" s="7" t="str">
        <f t="shared" si="88"/>
        <v>女</v>
      </c>
    </row>
    <row r="1838" spans="1:5" ht="30" customHeight="1">
      <c r="A1838" s="7">
        <v>1835</v>
      </c>
      <c r="B1838" s="7" t="str">
        <f>"38662022042622493440376"</f>
        <v>38662022042622493440376</v>
      </c>
      <c r="C1838" s="7" t="s">
        <v>17</v>
      </c>
      <c r="D1838" s="7" t="str">
        <f>"郑儒媛"</f>
        <v>郑儒媛</v>
      </c>
      <c r="E1838" s="7" t="str">
        <f t="shared" si="88"/>
        <v>女</v>
      </c>
    </row>
    <row r="1839" spans="1:5" ht="30" customHeight="1">
      <c r="A1839" s="7">
        <v>1836</v>
      </c>
      <c r="B1839" s="7" t="str">
        <f>"38662022042623253840443"</f>
        <v>38662022042623253840443</v>
      </c>
      <c r="C1839" s="7" t="s">
        <v>17</v>
      </c>
      <c r="D1839" s="7" t="str">
        <f>"邓贤雁"</f>
        <v>邓贤雁</v>
      </c>
      <c r="E1839" s="7" t="str">
        <f t="shared" si="88"/>
        <v>女</v>
      </c>
    </row>
    <row r="1840" spans="1:5" ht="30" customHeight="1">
      <c r="A1840" s="7">
        <v>1837</v>
      </c>
      <c r="B1840" s="7" t="str">
        <f>"38662022042623590440486"</f>
        <v>38662022042623590440486</v>
      </c>
      <c r="C1840" s="7" t="s">
        <v>17</v>
      </c>
      <c r="D1840" s="7" t="str">
        <f>"胡佳佳"</f>
        <v>胡佳佳</v>
      </c>
      <c r="E1840" s="7" t="str">
        <f t="shared" si="88"/>
        <v>女</v>
      </c>
    </row>
    <row r="1841" spans="1:5" ht="30" customHeight="1">
      <c r="A1841" s="7">
        <v>1838</v>
      </c>
      <c r="B1841" s="7" t="str">
        <f>"38662022042700364040516"</f>
        <v>38662022042700364040516</v>
      </c>
      <c r="C1841" s="7" t="s">
        <v>17</v>
      </c>
      <c r="D1841" s="7" t="str">
        <f>"陈垂俊"</f>
        <v>陈垂俊</v>
      </c>
      <c r="E1841" s="7" t="str">
        <f>"男"</f>
        <v>男</v>
      </c>
    </row>
    <row r="1842" spans="1:5" ht="30" customHeight="1">
      <c r="A1842" s="7">
        <v>1839</v>
      </c>
      <c r="B1842" s="7" t="str">
        <f>"38662022042700441240521"</f>
        <v>38662022042700441240521</v>
      </c>
      <c r="C1842" s="7" t="s">
        <v>17</v>
      </c>
      <c r="D1842" s="7" t="str">
        <f>"谢思思"</f>
        <v>谢思思</v>
      </c>
      <c r="E1842" s="7" t="str">
        <f>"女"</f>
        <v>女</v>
      </c>
    </row>
    <row r="1843" spans="1:5" ht="30" customHeight="1">
      <c r="A1843" s="7">
        <v>1840</v>
      </c>
      <c r="B1843" s="7" t="str">
        <f>"38662022042708320440601"</f>
        <v>38662022042708320440601</v>
      </c>
      <c r="C1843" s="7" t="s">
        <v>17</v>
      </c>
      <c r="D1843" s="7" t="str">
        <f>"池景华"</f>
        <v>池景华</v>
      </c>
      <c r="E1843" s="7" t="str">
        <f>"女"</f>
        <v>女</v>
      </c>
    </row>
    <row r="1844" spans="1:5" ht="30" customHeight="1">
      <c r="A1844" s="7">
        <v>1841</v>
      </c>
      <c r="B1844" s="7" t="str">
        <f>"38662022042709171840895"</f>
        <v>38662022042709171840895</v>
      </c>
      <c r="C1844" s="7" t="s">
        <v>17</v>
      </c>
      <c r="D1844" s="7" t="str">
        <f>"汤云璐"</f>
        <v>汤云璐</v>
      </c>
      <c r="E1844" s="7" t="str">
        <f>"女"</f>
        <v>女</v>
      </c>
    </row>
    <row r="1845" spans="1:5" ht="30" customHeight="1">
      <c r="A1845" s="7">
        <v>1842</v>
      </c>
      <c r="B1845" s="7" t="str">
        <f>"38662022042709211540940"</f>
        <v>38662022042709211540940</v>
      </c>
      <c r="C1845" s="7" t="s">
        <v>17</v>
      </c>
      <c r="D1845" s="7" t="str">
        <f>"陈雄"</f>
        <v>陈雄</v>
      </c>
      <c r="E1845" s="7" t="str">
        <f>"男"</f>
        <v>男</v>
      </c>
    </row>
    <row r="1846" spans="1:5" ht="30" customHeight="1">
      <c r="A1846" s="7">
        <v>1843</v>
      </c>
      <c r="B1846" s="7" t="str">
        <f>"38662022042709251641005"</f>
        <v>38662022042709251641005</v>
      </c>
      <c r="C1846" s="7" t="s">
        <v>17</v>
      </c>
      <c r="D1846" s="7" t="str">
        <f>"黄新萍"</f>
        <v>黄新萍</v>
      </c>
      <c r="E1846" s="7" t="str">
        <f>"女"</f>
        <v>女</v>
      </c>
    </row>
    <row r="1847" spans="1:5" ht="30" customHeight="1">
      <c r="A1847" s="7">
        <v>1844</v>
      </c>
      <c r="B1847" s="7" t="str">
        <f>"38662022042709391041198"</f>
        <v>38662022042709391041198</v>
      </c>
      <c r="C1847" s="7" t="s">
        <v>17</v>
      </c>
      <c r="D1847" s="7" t="str">
        <f>"李梦梅"</f>
        <v>李梦梅</v>
      </c>
      <c r="E1847" s="7" t="str">
        <f>"女"</f>
        <v>女</v>
      </c>
    </row>
    <row r="1848" spans="1:5" ht="30" customHeight="1">
      <c r="A1848" s="7">
        <v>1845</v>
      </c>
      <c r="B1848" s="7" t="str">
        <f>"38662022042709431841241"</f>
        <v>38662022042709431841241</v>
      </c>
      <c r="C1848" s="7" t="s">
        <v>17</v>
      </c>
      <c r="D1848" s="7" t="str">
        <f>"庞美娇"</f>
        <v>庞美娇</v>
      </c>
      <c r="E1848" s="7" t="str">
        <f>"女"</f>
        <v>女</v>
      </c>
    </row>
    <row r="1849" spans="1:5" ht="30" customHeight="1">
      <c r="A1849" s="7">
        <v>1846</v>
      </c>
      <c r="B1849" s="7" t="str">
        <f>"38662022042710140141594"</f>
        <v>38662022042710140141594</v>
      </c>
      <c r="C1849" s="7" t="s">
        <v>17</v>
      </c>
      <c r="D1849" s="7" t="str">
        <f>"莫艳春"</f>
        <v>莫艳春</v>
      </c>
      <c r="E1849" s="7" t="str">
        <f>"女"</f>
        <v>女</v>
      </c>
    </row>
    <row r="1850" spans="1:5" ht="30" customHeight="1">
      <c r="A1850" s="7">
        <v>1847</v>
      </c>
      <c r="B1850" s="7" t="str">
        <f>"38662022042710205841654"</f>
        <v>38662022042710205841654</v>
      </c>
      <c r="C1850" s="7" t="s">
        <v>17</v>
      </c>
      <c r="D1850" s="7" t="str">
        <f>"胡春秋"</f>
        <v>胡春秋</v>
      </c>
      <c r="E1850" s="7" t="str">
        <f>"女"</f>
        <v>女</v>
      </c>
    </row>
    <row r="1851" spans="1:5" ht="30" customHeight="1">
      <c r="A1851" s="7">
        <v>1848</v>
      </c>
      <c r="B1851" s="7" t="str">
        <f>"38662022042710252041704"</f>
        <v>38662022042710252041704</v>
      </c>
      <c r="C1851" s="7" t="s">
        <v>17</v>
      </c>
      <c r="D1851" s="7" t="str">
        <f>"陈俊华"</f>
        <v>陈俊华</v>
      </c>
      <c r="E1851" s="7" t="str">
        <f>"男"</f>
        <v>男</v>
      </c>
    </row>
    <row r="1852" spans="1:5" ht="30" customHeight="1">
      <c r="A1852" s="7">
        <v>1849</v>
      </c>
      <c r="B1852" s="7" t="str">
        <f>"38662022042710332741799"</f>
        <v>38662022042710332741799</v>
      </c>
      <c r="C1852" s="7" t="s">
        <v>17</v>
      </c>
      <c r="D1852" s="7" t="str">
        <f>"王恩瑄"</f>
        <v>王恩瑄</v>
      </c>
      <c r="E1852" s="7" t="str">
        <f aca="true" t="shared" si="89" ref="E1852:E1864">"女"</f>
        <v>女</v>
      </c>
    </row>
    <row r="1853" spans="1:5" ht="30" customHeight="1">
      <c r="A1853" s="7">
        <v>1850</v>
      </c>
      <c r="B1853" s="7" t="str">
        <f>"38662022042710340041804"</f>
        <v>38662022042710340041804</v>
      </c>
      <c r="C1853" s="7" t="s">
        <v>17</v>
      </c>
      <c r="D1853" s="7" t="str">
        <f>"潘晓丹"</f>
        <v>潘晓丹</v>
      </c>
      <c r="E1853" s="7" t="str">
        <f t="shared" si="89"/>
        <v>女</v>
      </c>
    </row>
    <row r="1854" spans="1:5" ht="30" customHeight="1">
      <c r="A1854" s="7">
        <v>1851</v>
      </c>
      <c r="B1854" s="7" t="str">
        <f>"38662022042710384841865"</f>
        <v>38662022042710384841865</v>
      </c>
      <c r="C1854" s="7" t="s">
        <v>17</v>
      </c>
      <c r="D1854" s="7" t="str">
        <f>"邓景元"</f>
        <v>邓景元</v>
      </c>
      <c r="E1854" s="7" t="str">
        <f t="shared" si="89"/>
        <v>女</v>
      </c>
    </row>
    <row r="1855" spans="1:5" ht="30" customHeight="1">
      <c r="A1855" s="7">
        <v>1852</v>
      </c>
      <c r="B1855" s="7" t="str">
        <f>"38662022042710491441984"</f>
        <v>38662022042710491441984</v>
      </c>
      <c r="C1855" s="7" t="s">
        <v>17</v>
      </c>
      <c r="D1855" s="7" t="str">
        <f>"杨丹"</f>
        <v>杨丹</v>
      </c>
      <c r="E1855" s="7" t="str">
        <f t="shared" si="89"/>
        <v>女</v>
      </c>
    </row>
    <row r="1856" spans="1:5" ht="30" customHeight="1">
      <c r="A1856" s="7">
        <v>1853</v>
      </c>
      <c r="B1856" s="7" t="str">
        <f>"38662022042710582642068"</f>
        <v>38662022042710582642068</v>
      </c>
      <c r="C1856" s="7" t="s">
        <v>17</v>
      </c>
      <c r="D1856" s="7" t="str">
        <f>"王春媛"</f>
        <v>王春媛</v>
      </c>
      <c r="E1856" s="7" t="str">
        <f t="shared" si="89"/>
        <v>女</v>
      </c>
    </row>
    <row r="1857" spans="1:5" ht="30" customHeight="1">
      <c r="A1857" s="7">
        <v>1854</v>
      </c>
      <c r="B1857" s="7" t="str">
        <f>"38662022042711035542119"</f>
        <v>38662022042711035542119</v>
      </c>
      <c r="C1857" s="7" t="s">
        <v>17</v>
      </c>
      <c r="D1857" s="7" t="str">
        <f>"周焕凤"</f>
        <v>周焕凤</v>
      </c>
      <c r="E1857" s="7" t="str">
        <f t="shared" si="89"/>
        <v>女</v>
      </c>
    </row>
    <row r="1858" spans="1:5" ht="30" customHeight="1">
      <c r="A1858" s="7">
        <v>1855</v>
      </c>
      <c r="B1858" s="7" t="str">
        <f>"38662022042711061242140"</f>
        <v>38662022042711061242140</v>
      </c>
      <c r="C1858" s="7" t="s">
        <v>17</v>
      </c>
      <c r="D1858" s="7" t="str">
        <f>"黎观荣"</f>
        <v>黎观荣</v>
      </c>
      <c r="E1858" s="7" t="str">
        <f t="shared" si="89"/>
        <v>女</v>
      </c>
    </row>
    <row r="1859" spans="1:5" ht="30" customHeight="1">
      <c r="A1859" s="7">
        <v>1856</v>
      </c>
      <c r="B1859" s="7" t="str">
        <f>"38662022042711232042279"</f>
        <v>38662022042711232042279</v>
      </c>
      <c r="C1859" s="7" t="s">
        <v>17</v>
      </c>
      <c r="D1859" s="7" t="str">
        <f>"王欢"</f>
        <v>王欢</v>
      </c>
      <c r="E1859" s="7" t="str">
        <f t="shared" si="89"/>
        <v>女</v>
      </c>
    </row>
    <row r="1860" spans="1:5" ht="30" customHeight="1">
      <c r="A1860" s="7">
        <v>1857</v>
      </c>
      <c r="B1860" s="7" t="str">
        <f>"38662022042711545142507"</f>
        <v>38662022042711545142507</v>
      </c>
      <c r="C1860" s="7" t="s">
        <v>17</v>
      </c>
      <c r="D1860" s="7" t="str">
        <f>"陈嘉欣"</f>
        <v>陈嘉欣</v>
      </c>
      <c r="E1860" s="7" t="str">
        <f t="shared" si="89"/>
        <v>女</v>
      </c>
    </row>
    <row r="1861" spans="1:5" ht="30" customHeight="1">
      <c r="A1861" s="7">
        <v>1858</v>
      </c>
      <c r="B1861" s="7" t="str">
        <f>"38662022042712090242590"</f>
        <v>38662022042712090242590</v>
      </c>
      <c r="C1861" s="7" t="s">
        <v>17</v>
      </c>
      <c r="D1861" s="7" t="str">
        <f>"林慧瑜"</f>
        <v>林慧瑜</v>
      </c>
      <c r="E1861" s="7" t="str">
        <f t="shared" si="89"/>
        <v>女</v>
      </c>
    </row>
    <row r="1862" spans="1:5" ht="30" customHeight="1">
      <c r="A1862" s="7">
        <v>1859</v>
      </c>
      <c r="B1862" s="7" t="str">
        <f>"38662022042712233842679"</f>
        <v>38662022042712233842679</v>
      </c>
      <c r="C1862" s="7" t="s">
        <v>17</v>
      </c>
      <c r="D1862" s="7" t="str">
        <f>"赖忆连"</f>
        <v>赖忆连</v>
      </c>
      <c r="E1862" s="7" t="str">
        <f t="shared" si="89"/>
        <v>女</v>
      </c>
    </row>
    <row r="1863" spans="1:5" ht="30" customHeight="1">
      <c r="A1863" s="7">
        <v>1860</v>
      </c>
      <c r="B1863" s="7" t="str">
        <f>"38662022042712255842697"</f>
        <v>38662022042712255842697</v>
      </c>
      <c r="C1863" s="7" t="s">
        <v>17</v>
      </c>
      <c r="D1863" s="7" t="str">
        <f>"陈卓 "</f>
        <v>陈卓 </v>
      </c>
      <c r="E1863" s="7" t="str">
        <f t="shared" si="89"/>
        <v>女</v>
      </c>
    </row>
    <row r="1864" spans="1:5" ht="30" customHeight="1">
      <c r="A1864" s="7">
        <v>1861</v>
      </c>
      <c r="B1864" s="7" t="str">
        <f>"38662022042713310443119"</f>
        <v>38662022042713310443119</v>
      </c>
      <c r="C1864" s="7" t="s">
        <v>17</v>
      </c>
      <c r="D1864" s="7" t="str">
        <f>"林佳铮"</f>
        <v>林佳铮</v>
      </c>
      <c r="E1864" s="7" t="str">
        <f t="shared" si="89"/>
        <v>女</v>
      </c>
    </row>
    <row r="1865" spans="1:5" ht="30" customHeight="1">
      <c r="A1865" s="7">
        <v>1862</v>
      </c>
      <c r="B1865" s="7" t="str">
        <f>"38662022042713311543121"</f>
        <v>38662022042713311543121</v>
      </c>
      <c r="C1865" s="7" t="s">
        <v>17</v>
      </c>
      <c r="D1865" s="7" t="str">
        <f>"符祝绵"</f>
        <v>符祝绵</v>
      </c>
      <c r="E1865" s="7" t="str">
        <f>"男"</f>
        <v>男</v>
      </c>
    </row>
    <row r="1866" spans="1:5" ht="30" customHeight="1">
      <c r="A1866" s="7">
        <v>1863</v>
      </c>
      <c r="B1866" s="7" t="str">
        <f>"38662022042714374143506"</f>
        <v>38662022042714374143506</v>
      </c>
      <c r="C1866" s="7" t="s">
        <v>17</v>
      </c>
      <c r="D1866" s="7" t="str">
        <f>"万林霞"</f>
        <v>万林霞</v>
      </c>
      <c r="E1866" s="7" t="str">
        <f>"女"</f>
        <v>女</v>
      </c>
    </row>
    <row r="1867" spans="1:5" ht="30" customHeight="1">
      <c r="A1867" s="7">
        <v>1864</v>
      </c>
      <c r="B1867" s="7" t="str">
        <f>"38662022042715050943676"</f>
        <v>38662022042715050943676</v>
      </c>
      <c r="C1867" s="7" t="s">
        <v>17</v>
      </c>
      <c r="D1867" s="7" t="str">
        <f>"林丹"</f>
        <v>林丹</v>
      </c>
      <c r="E1867" s="7" t="str">
        <f>"女"</f>
        <v>女</v>
      </c>
    </row>
    <row r="1868" spans="1:5" ht="30" customHeight="1">
      <c r="A1868" s="7">
        <v>1865</v>
      </c>
      <c r="B1868" s="7" t="str">
        <f>"38662022042715503843961"</f>
        <v>38662022042715503843961</v>
      </c>
      <c r="C1868" s="7" t="s">
        <v>17</v>
      </c>
      <c r="D1868" s="7" t="str">
        <f>"牛龙妹"</f>
        <v>牛龙妹</v>
      </c>
      <c r="E1868" s="7" t="str">
        <f>"女"</f>
        <v>女</v>
      </c>
    </row>
    <row r="1869" spans="1:5" ht="30" customHeight="1">
      <c r="A1869" s="7">
        <v>1866</v>
      </c>
      <c r="B1869" s="7" t="str">
        <f>"38662022042716435244263"</f>
        <v>38662022042716435244263</v>
      </c>
      <c r="C1869" s="7" t="s">
        <v>17</v>
      </c>
      <c r="D1869" s="7" t="str">
        <f>"叶嘉蔚"</f>
        <v>叶嘉蔚</v>
      </c>
      <c r="E1869" s="7" t="str">
        <f>"女"</f>
        <v>女</v>
      </c>
    </row>
    <row r="1870" spans="1:5" ht="30" customHeight="1">
      <c r="A1870" s="7">
        <v>1867</v>
      </c>
      <c r="B1870" s="7" t="str">
        <f>"38662022042109592225627"</f>
        <v>38662022042109592225627</v>
      </c>
      <c r="C1870" s="7" t="s">
        <v>18</v>
      </c>
      <c r="D1870" s="7" t="str">
        <f>"王长宝"</f>
        <v>王长宝</v>
      </c>
      <c r="E1870" s="7" t="str">
        <f>"男"</f>
        <v>男</v>
      </c>
    </row>
    <row r="1871" spans="1:5" ht="30" customHeight="1">
      <c r="A1871" s="7">
        <v>1868</v>
      </c>
      <c r="B1871" s="7" t="str">
        <f>"38662022042110525626296"</f>
        <v>38662022042110525626296</v>
      </c>
      <c r="C1871" s="7" t="s">
        <v>18</v>
      </c>
      <c r="D1871" s="7" t="str">
        <f>"羊丽英"</f>
        <v>羊丽英</v>
      </c>
      <c r="E1871" s="7" t="str">
        <f aca="true" t="shared" si="90" ref="E1871:E1881">"女"</f>
        <v>女</v>
      </c>
    </row>
    <row r="1872" spans="1:5" ht="30" customHeight="1">
      <c r="A1872" s="7">
        <v>1869</v>
      </c>
      <c r="B1872" s="7" t="str">
        <f>"38662022042111343926676"</f>
        <v>38662022042111343926676</v>
      </c>
      <c r="C1872" s="7" t="s">
        <v>18</v>
      </c>
      <c r="D1872" s="7" t="str">
        <f>"梁馨允"</f>
        <v>梁馨允</v>
      </c>
      <c r="E1872" s="7" t="str">
        <f t="shared" si="90"/>
        <v>女</v>
      </c>
    </row>
    <row r="1873" spans="1:5" ht="30" customHeight="1">
      <c r="A1873" s="7">
        <v>1870</v>
      </c>
      <c r="B1873" s="7" t="str">
        <f>"38662022042112432327187"</f>
        <v>38662022042112432327187</v>
      </c>
      <c r="C1873" s="7" t="s">
        <v>18</v>
      </c>
      <c r="D1873" s="7" t="str">
        <f>"符敦苗"</f>
        <v>符敦苗</v>
      </c>
      <c r="E1873" s="7" t="str">
        <f t="shared" si="90"/>
        <v>女</v>
      </c>
    </row>
    <row r="1874" spans="1:5" ht="30" customHeight="1">
      <c r="A1874" s="7">
        <v>1871</v>
      </c>
      <c r="B1874" s="7" t="str">
        <f>"38662022042115581628440"</f>
        <v>38662022042115581628440</v>
      </c>
      <c r="C1874" s="7" t="s">
        <v>18</v>
      </c>
      <c r="D1874" s="7" t="str">
        <f>"陈冬迪"</f>
        <v>陈冬迪</v>
      </c>
      <c r="E1874" s="7" t="str">
        <f t="shared" si="90"/>
        <v>女</v>
      </c>
    </row>
    <row r="1875" spans="1:5" ht="30" customHeight="1">
      <c r="A1875" s="7">
        <v>1872</v>
      </c>
      <c r="B1875" s="7" t="str">
        <f>"38662022042121421530265"</f>
        <v>38662022042121421530265</v>
      </c>
      <c r="C1875" s="7" t="s">
        <v>18</v>
      </c>
      <c r="D1875" s="7" t="str">
        <f>"刘红怡"</f>
        <v>刘红怡</v>
      </c>
      <c r="E1875" s="7" t="str">
        <f t="shared" si="90"/>
        <v>女</v>
      </c>
    </row>
    <row r="1876" spans="1:5" ht="30" customHeight="1">
      <c r="A1876" s="7">
        <v>1873</v>
      </c>
      <c r="B1876" s="7" t="str">
        <f>"38662022042213061032715"</f>
        <v>38662022042213061032715</v>
      </c>
      <c r="C1876" s="7" t="s">
        <v>18</v>
      </c>
      <c r="D1876" s="7" t="str">
        <f>"梁嘉金"</f>
        <v>梁嘉金</v>
      </c>
      <c r="E1876" s="7" t="str">
        <f t="shared" si="90"/>
        <v>女</v>
      </c>
    </row>
    <row r="1877" spans="1:5" ht="30" customHeight="1">
      <c r="A1877" s="7">
        <v>1874</v>
      </c>
      <c r="B1877" s="7" t="str">
        <f>"38662022042309154734941"</f>
        <v>38662022042309154734941</v>
      </c>
      <c r="C1877" s="7" t="s">
        <v>18</v>
      </c>
      <c r="D1877" s="7" t="str">
        <f>"林先容"</f>
        <v>林先容</v>
      </c>
      <c r="E1877" s="7" t="str">
        <f t="shared" si="90"/>
        <v>女</v>
      </c>
    </row>
    <row r="1878" spans="1:5" ht="30" customHeight="1">
      <c r="A1878" s="7">
        <v>1875</v>
      </c>
      <c r="B1878" s="7" t="str">
        <f>"38662022042315293035416"</f>
        <v>38662022042315293035416</v>
      </c>
      <c r="C1878" s="7" t="s">
        <v>18</v>
      </c>
      <c r="D1878" s="7" t="str">
        <f>"陈靓"</f>
        <v>陈靓</v>
      </c>
      <c r="E1878" s="7" t="str">
        <f t="shared" si="90"/>
        <v>女</v>
      </c>
    </row>
    <row r="1879" spans="1:5" ht="30" customHeight="1">
      <c r="A1879" s="7">
        <v>1876</v>
      </c>
      <c r="B1879" s="7" t="str">
        <f>"38662022042321075935846"</f>
        <v>38662022042321075935846</v>
      </c>
      <c r="C1879" s="7" t="s">
        <v>18</v>
      </c>
      <c r="D1879" s="7" t="str">
        <f>"谭小梅"</f>
        <v>谭小梅</v>
      </c>
      <c r="E1879" s="7" t="str">
        <f t="shared" si="90"/>
        <v>女</v>
      </c>
    </row>
    <row r="1880" spans="1:5" ht="30" customHeight="1">
      <c r="A1880" s="7">
        <v>1877</v>
      </c>
      <c r="B1880" s="7" t="str">
        <f>"38662022042322293935982"</f>
        <v>38662022042322293935982</v>
      </c>
      <c r="C1880" s="7" t="s">
        <v>18</v>
      </c>
      <c r="D1880" s="7" t="str">
        <f>"王琼扬"</f>
        <v>王琼扬</v>
      </c>
      <c r="E1880" s="7" t="str">
        <f t="shared" si="90"/>
        <v>女</v>
      </c>
    </row>
    <row r="1881" spans="1:5" ht="30" customHeight="1">
      <c r="A1881" s="7">
        <v>1878</v>
      </c>
      <c r="B1881" s="7" t="str">
        <f>"38662022042323450936093"</f>
        <v>38662022042323450936093</v>
      </c>
      <c r="C1881" s="7" t="s">
        <v>18</v>
      </c>
      <c r="D1881" s="7" t="str">
        <f>"张在花"</f>
        <v>张在花</v>
      </c>
      <c r="E1881" s="7" t="str">
        <f t="shared" si="90"/>
        <v>女</v>
      </c>
    </row>
    <row r="1882" spans="1:5" ht="30" customHeight="1">
      <c r="A1882" s="7">
        <v>1879</v>
      </c>
      <c r="B1882" s="7" t="str">
        <f>"38662022042416081637010"</f>
        <v>38662022042416081637010</v>
      </c>
      <c r="C1882" s="7" t="s">
        <v>18</v>
      </c>
      <c r="D1882" s="7" t="str">
        <f>"利朋"</f>
        <v>利朋</v>
      </c>
      <c r="E1882" s="7" t="str">
        <f>"男"</f>
        <v>男</v>
      </c>
    </row>
    <row r="1883" spans="1:5" ht="30" customHeight="1">
      <c r="A1883" s="7">
        <v>1880</v>
      </c>
      <c r="B1883" s="7" t="str">
        <f>"38662022042416510637115"</f>
        <v>38662022042416510637115</v>
      </c>
      <c r="C1883" s="7" t="s">
        <v>18</v>
      </c>
      <c r="D1883" s="7" t="str">
        <f>"符海娟"</f>
        <v>符海娟</v>
      </c>
      <c r="E1883" s="7" t="str">
        <f>"女"</f>
        <v>女</v>
      </c>
    </row>
    <row r="1884" spans="1:5" ht="30" customHeight="1">
      <c r="A1884" s="7">
        <v>1881</v>
      </c>
      <c r="B1884" s="7" t="str">
        <f>"38662022042515172038354"</f>
        <v>38662022042515172038354</v>
      </c>
      <c r="C1884" s="7" t="s">
        <v>18</v>
      </c>
      <c r="D1884" s="7" t="str">
        <f>"陈伟"</f>
        <v>陈伟</v>
      </c>
      <c r="E1884" s="7" t="str">
        <f>"男"</f>
        <v>男</v>
      </c>
    </row>
    <row r="1885" spans="1:5" ht="30" customHeight="1">
      <c r="A1885" s="7">
        <v>1882</v>
      </c>
      <c r="B1885" s="7" t="str">
        <f>"38662022042522184338936"</f>
        <v>38662022042522184338936</v>
      </c>
      <c r="C1885" s="7" t="s">
        <v>18</v>
      </c>
      <c r="D1885" s="7" t="str">
        <f>"陈应宽"</f>
        <v>陈应宽</v>
      </c>
      <c r="E1885" s="7" t="str">
        <f aca="true" t="shared" si="91" ref="E1885:E1899">"女"</f>
        <v>女</v>
      </c>
    </row>
    <row r="1886" spans="1:5" ht="30" customHeight="1">
      <c r="A1886" s="7">
        <v>1883</v>
      </c>
      <c r="B1886" s="7" t="str">
        <f>"38662022042109020224907"</f>
        <v>38662022042109020224907</v>
      </c>
      <c r="C1886" s="7" t="s">
        <v>19</v>
      </c>
      <c r="D1886" s="7" t="str">
        <f>"赵媛媛"</f>
        <v>赵媛媛</v>
      </c>
      <c r="E1886" s="7" t="str">
        <f t="shared" si="91"/>
        <v>女</v>
      </c>
    </row>
    <row r="1887" spans="1:5" ht="30" customHeight="1">
      <c r="A1887" s="7">
        <v>1884</v>
      </c>
      <c r="B1887" s="7" t="str">
        <f>"38662022042109403925368"</f>
        <v>38662022042109403925368</v>
      </c>
      <c r="C1887" s="7" t="s">
        <v>19</v>
      </c>
      <c r="D1887" s="7" t="str">
        <f>"符会媛"</f>
        <v>符会媛</v>
      </c>
      <c r="E1887" s="7" t="str">
        <f t="shared" si="91"/>
        <v>女</v>
      </c>
    </row>
    <row r="1888" spans="1:5" ht="30" customHeight="1">
      <c r="A1888" s="7">
        <v>1885</v>
      </c>
      <c r="B1888" s="7" t="str">
        <f>"38662022042109441825417"</f>
        <v>38662022042109441825417</v>
      </c>
      <c r="C1888" s="7" t="s">
        <v>19</v>
      </c>
      <c r="D1888" s="7" t="str">
        <f>"陈佳佳"</f>
        <v>陈佳佳</v>
      </c>
      <c r="E1888" s="7" t="str">
        <f t="shared" si="91"/>
        <v>女</v>
      </c>
    </row>
    <row r="1889" spans="1:5" ht="30" customHeight="1">
      <c r="A1889" s="7">
        <v>1886</v>
      </c>
      <c r="B1889" s="7" t="str">
        <f>"38662022042109583125605"</f>
        <v>38662022042109583125605</v>
      </c>
      <c r="C1889" s="7" t="s">
        <v>19</v>
      </c>
      <c r="D1889" s="7" t="str">
        <f>"王玉花"</f>
        <v>王玉花</v>
      </c>
      <c r="E1889" s="7" t="str">
        <f t="shared" si="91"/>
        <v>女</v>
      </c>
    </row>
    <row r="1890" spans="1:5" ht="30" customHeight="1">
      <c r="A1890" s="7">
        <v>1887</v>
      </c>
      <c r="B1890" s="7" t="str">
        <f>"38662022042110080725730"</f>
        <v>38662022042110080725730</v>
      </c>
      <c r="C1890" s="7" t="s">
        <v>19</v>
      </c>
      <c r="D1890" s="7" t="str">
        <f>"王文霜"</f>
        <v>王文霜</v>
      </c>
      <c r="E1890" s="7" t="str">
        <f t="shared" si="91"/>
        <v>女</v>
      </c>
    </row>
    <row r="1891" spans="1:5" ht="30" customHeight="1">
      <c r="A1891" s="7">
        <v>1888</v>
      </c>
      <c r="B1891" s="7" t="str">
        <f>"38662022042110243725946"</f>
        <v>38662022042110243725946</v>
      </c>
      <c r="C1891" s="7" t="s">
        <v>19</v>
      </c>
      <c r="D1891" s="7" t="str">
        <f>"王璐"</f>
        <v>王璐</v>
      </c>
      <c r="E1891" s="7" t="str">
        <f t="shared" si="91"/>
        <v>女</v>
      </c>
    </row>
    <row r="1892" spans="1:5" ht="30" customHeight="1">
      <c r="A1892" s="7">
        <v>1889</v>
      </c>
      <c r="B1892" s="7" t="str">
        <f>"38662022042110303926025"</f>
        <v>38662022042110303926025</v>
      </c>
      <c r="C1892" s="7" t="s">
        <v>19</v>
      </c>
      <c r="D1892" s="7" t="str">
        <f>"陈淑婷"</f>
        <v>陈淑婷</v>
      </c>
      <c r="E1892" s="7" t="str">
        <f t="shared" si="91"/>
        <v>女</v>
      </c>
    </row>
    <row r="1893" spans="1:5" ht="30" customHeight="1">
      <c r="A1893" s="7">
        <v>1890</v>
      </c>
      <c r="B1893" s="7" t="str">
        <f>"38662022042110580026347"</f>
        <v>38662022042110580026347</v>
      </c>
      <c r="C1893" s="7" t="s">
        <v>19</v>
      </c>
      <c r="D1893" s="7" t="str">
        <f>"邓来姑"</f>
        <v>邓来姑</v>
      </c>
      <c r="E1893" s="7" t="str">
        <f t="shared" si="91"/>
        <v>女</v>
      </c>
    </row>
    <row r="1894" spans="1:5" ht="30" customHeight="1">
      <c r="A1894" s="7">
        <v>1891</v>
      </c>
      <c r="B1894" s="7" t="str">
        <f>"38662022042111053526426"</f>
        <v>38662022042111053526426</v>
      </c>
      <c r="C1894" s="7" t="s">
        <v>19</v>
      </c>
      <c r="D1894" s="7" t="str">
        <f>"刘慧英"</f>
        <v>刘慧英</v>
      </c>
      <c r="E1894" s="7" t="str">
        <f t="shared" si="91"/>
        <v>女</v>
      </c>
    </row>
    <row r="1895" spans="1:5" ht="30" customHeight="1">
      <c r="A1895" s="7">
        <v>1892</v>
      </c>
      <c r="B1895" s="7" t="str">
        <f>"38662022042117014228861"</f>
        <v>38662022042117014228861</v>
      </c>
      <c r="C1895" s="7" t="s">
        <v>19</v>
      </c>
      <c r="D1895" s="7" t="str">
        <f>"庄会娜"</f>
        <v>庄会娜</v>
      </c>
      <c r="E1895" s="7" t="str">
        <f t="shared" si="91"/>
        <v>女</v>
      </c>
    </row>
    <row r="1896" spans="1:5" ht="30" customHeight="1">
      <c r="A1896" s="7">
        <v>1893</v>
      </c>
      <c r="B1896" s="7" t="str">
        <f>"38662022042117304829042"</f>
        <v>38662022042117304829042</v>
      </c>
      <c r="C1896" s="7" t="s">
        <v>19</v>
      </c>
      <c r="D1896" s="7" t="str">
        <f>"蔡小明"</f>
        <v>蔡小明</v>
      </c>
      <c r="E1896" s="7" t="str">
        <f t="shared" si="91"/>
        <v>女</v>
      </c>
    </row>
    <row r="1897" spans="1:5" ht="30" customHeight="1">
      <c r="A1897" s="7">
        <v>1894</v>
      </c>
      <c r="B1897" s="7" t="str">
        <f>"38662022042117330329056"</f>
        <v>38662022042117330329056</v>
      </c>
      <c r="C1897" s="7" t="s">
        <v>19</v>
      </c>
      <c r="D1897" s="7" t="str">
        <f>"江青娥"</f>
        <v>江青娥</v>
      </c>
      <c r="E1897" s="7" t="str">
        <f t="shared" si="91"/>
        <v>女</v>
      </c>
    </row>
    <row r="1898" spans="1:5" ht="30" customHeight="1">
      <c r="A1898" s="7">
        <v>1895</v>
      </c>
      <c r="B1898" s="7" t="str">
        <f>"38662022042118401129361"</f>
        <v>38662022042118401129361</v>
      </c>
      <c r="C1898" s="7" t="s">
        <v>19</v>
      </c>
      <c r="D1898" s="7" t="str">
        <f>"高小穗"</f>
        <v>高小穗</v>
      </c>
      <c r="E1898" s="7" t="str">
        <f t="shared" si="91"/>
        <v>女</v>
      </c>
    </row>
    <row r="1899" spans="1:5" ht="30" customHeight="1">
      <c r="A1899" s="7">
        <v>1896</v>
      </c>
      <c r="B1899" s="7" t="str">
        <f>"38662022042119234029554"</f>
        <v>38662022042119234029554</v>
      </c>
      <c r="C1899" s="7" t="s">
        <v>19</v>
      </c>
      <c r="D1899" s="7" t="str">
        <f>"林云"</f>
        <v>林云</v>
      </c>
      <c r="E1899" s="7" t="str">
        <f t="shared" si="91"/>
        <v>女</v>
      </c>
    </row>
    <row r="1900" spans="1:5" ht="30" customHeight="1">
      <c r="A1900" s="7">
        <v>1897</v>
      </c>
      <c r="B1900" s="7" t="str">
        <f>"38662022042119324729600"</f>
        <v>38662022042119324729600</v>
      </c>
      <c r="C1900" s="7" t="s">
        <v>19</v>
      </c>
      <c r="D1900" s="7" t="str">
        <f>"林明杰"</f>
        <v>林明杰</v>
      </c>
      <c r="E1900" s="7" t="str">
        <f>"男"</f>
        <v>男</v>
      </c>
    </row>
    <row r="1901" spans="1:5" ht="30" customHeight="1">
      <c r="A1901" s="7">
        <v>1898</v>
      </c>
      <c r="B1901" s="7" t="str">
        <f>"38662022042123304430744"</f>
        <v>38662022042123304430744</v>
      </c>
      <c r="C1901" s="7" t="s">
        <v>19</v>
      </c>
      <c r="D1901" s="7" t="str">
        <f>"吴靖佳"</f>
        <v>吴靖佳</v>
      </c>
      <c r="E1901" s="7" t="str">
        <f>"女"</f>
        <v>女</v>
      </c>
    </row>
    <row r="1902" spans="1:5" ht="30" customHeight="1">
      <c r="A1902" s="7">
        <v>1899</v>
      </c>
      <c r="B1902" s="7" t="str">
        <f>"38662022042123452930774"</f>
        <v>38662022042123452930774</v>
      </c>
      <c r="C1902" s="7" t="s">
        <v>19</v>
      </c>
      <c r="D1902" s="7" t="str">
        <f>"李蕾"</f>
        <v>李蕾</v>
      </c>
      <c r="E1902" s="7" t="str">
        <f>"女"</f>
        <v>女</v>
      </c>
    </row>
    <row r="1903" spans="1:5" ht="30" customHeight="1">
      <c r="A1903" s="7">
        <v>1900</v>
      </c>
      <c r="B1903" s="7" t="str">
        <f>"38662022042208515831082"</f>
        <v>38662022042208515831082</v>
      </c>
      <c r="C1903" s="7" t="s">
        <v>19</v>
      </c>
      <c r="D1903" s="7" t="str">
        <f>"王挺波"</f>
        <v>王挺波</v>
      </c>
      <c r="E1903" s="7" t="str">
        <f>"男"</f>
        <v>男</v>
      </c>
    </row>
    <row r="1904" spans="1:5" ht="30" customHeight="1">
      <c r="A1904" s="7">
        <v>1901</v>
      </c>
      <c r="B1904" s="7" t="str">
        <f>"38662022042209083431164"</f>
        <v>38662022042209083431164</v>
      </c>
      <c r="C1904" s="7" t="s">
        <v>19</v>
      </c>
      <c r="D1904" s="7" t="str">
        <f>"刘亚妹"</f>
        <v>刘亚妹</v>
      </c>
      <c r="E1904" s="7" t="str">
        <f aca="true" t="shared" si="92" ref="E1904:E1950">"女"</f>
        <v>女</v>
      </c>
    </row>
    <row r="1905" spans="1:5" ht="30" customHeight="1">
      <c r="A1905" s="7">
        <v>1902</v>
      </c>
      <c r="B1905" s="7" t="str">
        <f>"38662022042215431833420"</f>
        <v>38662022042215431833420</v>
      </c>
      <c r="C1905" s="7" t="s">
        <v>19</v>
      </c>
      <c r="D1905" s="7" t="str">
        <f>"周活"</f>
        <v>周活</v>
      </c>
      <c r="E1905" s="7" t="str">
        <f t="shared" si="92"/>
        <v>女</v>
      </c>
    </row>
    <row r="1906" spans="1:5" ht="30" customHeight="1">
      <c r="A1906" s="7">
        <v>1903</v>
      </c>
      <c r="B1906" s="7" t="str">
        <f>"38662022042215465733451"</f>
        <v>38662022042215465733451</v>
      </c>
      <c r="C1906" s="7" t="s">
        <v>19</v>
      </c>
      <c r="D1906" s="7" t="str">
        <f>"麦代乾"</f>
        <v>麦代乾</v>
      </c>
      <c r="E1906" s="7" t="str">
        <f t="shared" si="92"/>
        <v>女</v>
      </c>
    </row>
    <row r="1907" spans="1:5" ht="30" customHeight="1">
      <c r="A1907" s="7">
        <v>1904</v>
      </c>
      <c r="B1907" s="7" t="str">
        <f>"38662022042217473434162"</f>
        <v>38662022042217473434162</v>
      </c>
      <c r="C1907" s="7" t="s">
        <v>19</v>
      </c>
      <c r="D1907" s="7" t="str">
        <f>"胡小燕"</f>
        <v>胡小燕</v>
      </c>
      <c r="E1907" s="7" t="str">
        <f t="shared" si="92"/>
        <v>女</v>
      </c>
    </row>
    <row r="1908" spans="1:5" ht="30" customHeight="1">
      <c r="A1908" s="7">
        <v>1905</v>
      </c>
      <c r="B1908" s="7" t="str">
        <f>"38662022042219333234420"</f>
        <v>38662022042219333234420</v>
      </c>
      <c r="C1908" s="7" t="s">
        <v>19</v>
      </c>
      <c r="D1908" s="7" t="str">
        <f>"薛桃秋"</f>
        <v>薛桃秋</v>
      </c>
      <c r="E1908" s="7" t="str">
        <f t="shared" si="92"/>
        <v>女</v>
      </c>
    </row>
    <row r="1909" spans="1:5" ht="30" customHeight="1">
      <c r="A1909" s="7">
        <v>1906</v>
      </c>
      <c r="B1909" s="7" t="str">
        <f>"38662022042220060034478"</f>
        <v>38662022042220060034478</v>
      </c>
      <c r="C1909" s="7" t="s">
        <v>19</v>
      </c>
      <c r="D1909" s="7" t="str">
        <f>"叶玉会"</f>
        <v>叶玉会</v>
      </c>
      <c r="E1909" s="7" t="str">
        <f t="shared" si="92"/>
        <v>女</v>
      </c>
    </row>
    <row r="1910" spans="1:5" ht="30" customHeight="1">
      <c r="A1910" s="7">
        <v>1907</v>
      </c>
      <c r="B1910" s="7" t="str">
        <f>"38662022042309160234942"</f>
        <v>38662022042309160234942</v>
      </c>
      <c r="C1910" s="7" t="s">
        <v>19</v>
      </c>
      <c r="D1910" s="7" t="str">
        <f>"郑姿"</f>
        <v>郑姿</v>
      </c>
      <c r="E1910" s="7" t="str">
        <f t="shared" si="92"/>
        <v>女</v>
      </c>
    </row>
    <row r="1911" spans="1:5" ht="30" customHeight="1">
      <c r="A1911" s="7">
        <v>1908</v>
      </c>
      <c r="B1911" s="7" t="str">
        <f>"38662022042316490535544"</f>
        <v>38662022042316490535544</v>
      </c>
      <c r="C1911" s="7" t="s">
        <v>19</v>
      </c>
      <c r="D1911" s="7" t="str">
        <f>"黎菁菁"</f>
        <v>黎菁菁</v>
      </c>
      <c r="E1911" s="7" t="str">
        <f t="shared" si="92"/>
        <v>女</v>
      </c>
    </row>
    <row r="1912" spans="1:5" ht="30" customHeight="1">
      <c r="A1912" s="7">
        <v>1909</v>
      </c>
      <c r="B1912" s="7" t="str">
        <f>"38662022042408042636159"</f>
        <v>38662022042408042636159</v>
      </c>
      <c r="C1912" s="7" t="s">
        <v>19</v>
      </c>
      <c r="D1912" s="7" t="str">
        <f>"许海花"</f>
        <v>许海花</v>
      </c>
      <c r="E1912" s="7" t="str">
        <f t="shared" si="92"/>
        <v>女</v>
      </c>
    </row>
    <row r="1913" spans="1:5" ht="30" customHeight="1">
      <c r="A1913" s="7">
        <v>1910</v>
      </c>
      <c r="B1913" s="7" t="str">
        <f>"38662022042408152036166"</f>
        <v>38662022042408152036166</v>
      </c>
      <c r="C1913" s="7" t="s">
        <v>19</v>
      </c>
      <c r="D1913" s="7" t="str">
        <f>"龙莹"</f>
        <v>龙莹</v>
      </c>
      <c r="E1913" s="7" t="str">
        <f t="shared" si="92"/>
        <v>女</v>
      </c>
    </row>
    <row r="1914" spans="1:5" ht="30" customHeight="1">
      <c r="A1914" s="7">
        <v>1911</v>
      </c>
      <c r="B1914" s="7" t="str">
        <f>"38662022042410112736392"</f>
        <v>38662022042410112736392</v>
      </c>
      <c r="C1914" s="7" t="s">
        <v>19</v>
      </c>
      <c r="D1914" s="7" t="str">
        <f>"唐妮"</f>
        <v>唐妮</v>
      </c>
      <c r="E1914" s="7" t="str">
        <f t="shared" si="92"/>
        <v>女</v>
      </c>
    </row>
    <row r="1915" spans="1:5" ht="30" customHeight="1">
      <c r="A1915" s="7">
        <v>1912</v>
      </c>
      <c r="B1915" s="7" t="str">
        <f>"38662022042410481836460"</f>
        <v>38662022042410481836460</v>
      </c>
      <c r="C1915" s="7" t="s">
        <v>19</v>
      </c>
      <c r="D1915" s="7" t="str">
        <f>"冯春霞"</f>
        <v>冯春霞</v>
      </c>
      <c r="E1915" s="7" t="str">
        <f t="shared" si="92"/>
        <v>女</v>
      </c>
    </row>
    <row r="1916" spans="1:5" ht="30" customHeight="1">
      <c r="A1916" s="7">
        <v>1913</v>
      </c>
      <c r="B1916" s="7" t="str">
        <f>"38662022042417214337170"</f>
        <v>38662022042417214337170</v>
      </c>
      <c r="C1916" s="7" t="s">
        <v>19</v>
      </c>
      <c r="D1916" s="7" t="str">
        <f>"许丽欢"</f>
        <v>许丽欢</v>
      </c>
      <c r="E1916" s="7" t="str">
        <f t="shared" si="92"/>
        <v>女</v>
      </c>
    </row>
    <row r="1917" spans="1:5" ht="30" customHeight="1">
      <c r="A1917" s="7">
        <v>1914</v>
      </c>
      <c r="B1917" s="7" t="str">
        <f>"38662022042418215637266"</f>
        <v>38662022042418215637266</v>
      </c>
      <c r="C1917" s="7" t="s">
        <v>19</v>
      </c>
      <c r="D1917" s="7" t="str">
        <f>"杨亭"</f>
        <v>杨亭</v>
      </c>
      <c r="E1917" s="7" t="str">
        <f t="shared" si="92"/>
        <v>女</v>
      </c>
    </row>
    <row r="1918" spans="1:5" ht="30" customHeight="1">
      <c r="A1918" s="7">
        <v>1915</v>
      </c>
      <c r="B1918" s="7" t="str">
        <f>"38662022042420154737418"</f>
        <v>38662022042420154737418</v>
      </c>
      <c r="C1918" s="7" t="s">
        <v>19</v>
      </c>
      <c r="D1918" s="7" t="str">
        <f>"吴小妹"</f>
        <v>吴小妹</v>
      </c>
      <c r="E1918" s="7" t="str">
        <f t="shared" si="92"/>
        <v>女</v>
      </c>
    </row>
    <row r="1919" spans="1:5" ht="30" customHeight="1">
      <c r="A1919" s="7">
        <v>1916</v>
      </c>
      <c r="B1919" s="7" t="str">
        <f>"38662022042420174937424"</f>
        <v>38662022042420174937424</v>
      </c>
      <c r="C1919" s="7" t="s">
        <v>19</v>
      </c>
      <c r="D1919" s="7" t="str">
        <f>"麦名蕴"</f>
        <v>麦名蕴</v>
      </c>
      <c r="E1919" s="7" t="str">
        <f t="shared" si="92"/>
        <v>女</v>
      </c>
    </row>
    <row r="1920" spans="1:5" ht="30" customHeight="1">
      <c r="A1920" s="7">
        <v>1917</v>
      </c>
      <c r="B1920" s="7" t="str">
        <f>"38662022042509574837937"</f>
        <v>38662022042509574837937</v>
      </c>
      <c r="C1920" s="7" t="s">
        <v>19</v>
      </c>
      <c r="D1920" s="7" t="str">
        <f>"谢淑英"</f>
        <v>谢淑英</v>
      </c>
      <c r="E1920" s="7" t="str">
        <f t="shared" si="92"/>
        <v>女</v>
      </c>
    </row>
    <row r="1921" spans="1:5" ht="30" customHeight="1">
      <c r="A1921" s="7">
        <v>1918</v>
      </c>
      <c r="B1921" s="7" t="str">
        <f>"38662022042516165138470"</f>
        <v>38662022042516165138470</v>
      </c>
      <c r="C1921" s="7" t="s">
        <v>19</v>
      </c>
      <c r="D1921" s="7" t="str">
        <f>"黄佳佳"</f>
        <v>黄佳佳</v>
      </c>
      <c r="E1921" s="7" t="str">
        <f t="shared" si="92"/>
        <v>女</v>
      </c>
    </row>
    <row r="1922" spans="1:5" ht="30" customHeight="1">
      <c r="A1922" s="7">
        <v>1919</v>
      </c>
      <c r="B1922" s="7" t="str">
        <f>"38662022042517401238591"</f>
        <v>38662022042517401238591</v>
      </c>
      <c r="C1922" s="7" t="s">
        <v>19</v>
      </c>
      <c r="D1922" s="7" t="str">
        <f>"蔡仁曼"</f>
        <v>蔡仁曼</v>
      </c>
      <c r="E1922" s="7" t="str">
        <f t="shared" si="92"/>
        <v>女</v>
      </c>
    </row>
    <row r="1923" spans="1:5" ht="30" customHeight="1">
      <c r="A1923" s="7">
        <v>1920</v>
      </c>
      <c r="B1923" s="7" t="str">
        <f>"38662022042520590138825"</f>
        <v>38662022042520590138825</v>
      </c>
      <c r="C1923" s="7" t="s">
        <v>19</v>
      </c>
      <c r="D1923" s="7" t="str">
        <f>"杨凯婷"</f>
        <v>杨凯婷</v>
      </c>
      <c r="E1923" s="7" t="str">
        <f t="shared" si="92"/>
        <v>女</v>
      </c>
    </row>
    <row r="1924" spans="1:5" ht="30" customHeight="1">
      <c r="A1924" s="7">
        <v>1921</v>
      </c>
      <c r="B1924" s="7" t="str">
        <f>"38662022042522222238942"</f>
        <v>38662022042522222238942</v>
      </c>
      <c r="C1924" s="7" t="s">
        <v>19</v>
      </c>
      <c r="D1924" s="7" t="str">
        <f>"李杏儿"</f>
        <v>李杏儿</v>
      </c>
      <c r="E1924" s="7" t="str">
        <f t="shared" si="92"/>
        <v>女</v>
      </c>
    </row>
    <row r="1925" spans="1:5" ht="30" customHeight="1">
      <c r="A1925" s="7">
        <v>1922</v>
      </c>
      <c r="B1925" s="7" t="str">
        <f>"38662022042607395439108"</f>
        <v>38662022042607395439108</v>
      </c>
      <c r="C1925" s="7" t="s">
        <v>19</v>
      </c>
      <c r="D1925" s="7" t="str">
        <f>"符薰涵"</f>
        <v>符薰涵</v>
      </c>
      <c r="E1925" s="7" t="str">
        <f t="shared" si="92"/>
        <v>女</v>
      </c>
    </row>
    <row r="1926" spans="1:5" ht="30" customHeight="1">
      <c r="A1926" s="7">
        <v>1923</v>
      </c>
      <c r="B1926" s="7" t="str">
        <f>"38662022042616102239770"</f>
        <v>38662022042616102239770</v>
      </c>
      <c r="C1926" s="7" t="s">
        <v>19</v>
      </c>
      <c r="D1926" s="7" t="str">
        <f>"林启米"</f>
        <v>林启米</v>
      </c>
      <c r="E1926" s="7" t="str">
        <f t="shared" si="92"/>
        <v>女</v>
      </c>
    </row>
    <row r="1927" spans="1:5" ht="30" customHeight="1">
      <c r="A1927" s="7">
        <v>1924</v>
      </c>
      <c r="B1927" s="7" t="str">
        <f>"38662022042621463440271"</f>
        <v>38662022042621463440271</v>
      </c>
      <c r="C1927" s="7" t="s">
        <v>19</v>
      </c>
      <c r="D1927" s="7" t="str">
        <f>"苏德兰"</f>
        <v>苏德兰</v>
      </c>
      <c r="E1927" s="7" t="str">
        <f t="shared" si="92"/>
        <v>女</v>
      </c>
    </row>
    <row r="1928" spans="1:5" ht="30" customHeight="1">
      <c r="A1928" s="7">
        <v>1925</v>
      </c>
      <c r="B1928" s="7" t="str">
        <f>"38662022042709570941423"</f>
        <v>38662022042709570941423</v>
      </c>
      <c r="C1928" s="7" t="s">
        <v>19</v>
      </c>
      <c r="D1928" s="7" t="str">
        <f>"符克芳"</f>
        <v>符克芳</v>
      </c>
      <c r="E1928" s="7" t="str">
        <f t="shared" si="92"/>
        <v>女</v>
      </c>
    </row>
    <row r="1929" spans="1:5" ht="30" customHeight="1">
      <c r="A1929" s="7">
        <v>1926</v>
      </c>
      <c r="B1929" s="7" t="str">
        <f>"38662022042712271842704"</f>
        <v>38662022042712271842704</v>
      </c>
      <c r="C1929" s="7" t="s">
        <v>19</v>
      </c>
      <c r="D1929" s="7" t="str">
        <f>"吴小艳"</f>
        <v>吴小艳</v>
      </c>
      <c r="E1929" s="7" t="str">
        <f t="shared" si="92"/>
        <v>女</v>
      </c>
    </row>
    <row r="1930" spans="1:5" ht="30" customHeight="1">
      <c r="A1930" s="7">
        <v>1927</v>
      </c>
      <c r="B1930" s="7" t="str">
        <f>"38662022042712501642858"</f>
        <v>38662022042712501642858</v>
      </c>
      <c r="C1930" s="7" t="s">
        <v>19</v>
      </c>
      <c r="D1930" s="7" t="str">
        <f>"黄文玉"</f>
        <v>黄文玉</v>
      </c>
      <c r="E1930" s="7" t="str">
        <f t="shared" si="92"/>
        <v>女</v>
      </c>
    </row>
    <row r="1931" spans="1:5" ht="30" customHeight="1">
      <c r="A1931" s="7">
        <v>1928</v>
      </c>
      <c r="B1931" s="7" t="str">
        <f>"38662022042715430643915"</f>
        <v>38662022042715430643915</v>
      </c>
      <c r="C1931" s="7" t="s">
        <v>19</v>
      </c>
      <c r="D1931" s="7" t="str">
        <f>"王萍"</f>
        <v>王萍</v>
      </c>
      <c r="E1931" s="7" t="str">
        <f t="shared" si="92"/>
        <v>女</v>
      </c>
    </row>
    <row r="1932" spans="1:5" ht="30" customHeight="1">
      <c r="A1932" s="7">
        <v>1929</v>
      </c>
      <c r="B1932" s="7" t="str">
        <f>"38662022042715543343995"</f>
        <v>38662022042715543343995</v>
      </c>
      <c r="C1932" s="7" t="s">
        <v>19</v>
      </c>
      <c r="D1932" s="7" t="str">
        <f>"张秋凌"</f>
        <v>张秋凌</v>
      </c>
      <c r="E1932" s="7" t="str">
        <f t="shared" si="92"/>
        <v>女</v>
      </c>
    </row>
    <row r="1933" spans="1:5" ht="30" customHeight="1">
      <c r="A1933" s="7">
        <v>1930</v>
      </c>
      <c r="B1933" s="7" t="str">
        <f>"38662022042109210025132"</f>
        <v>38662022042109210025132</v>
      </c>
      <c r="C1933" s="7" t="s">
        <v>20</v>
      </c>
      <c r="D1933" s="7" t="str">
        <f>"李文霞"</f>
        <v>李文霞</v>
      </c>
      <c r="E1933" s="7" t="str">
        <f t="shared" si="92"/>
        <v>女</v>
      </c>
    </row>
    <row r="1934" spans="1:5" ht="30" customHeight="1">
      <c r="A1934" s="7">
        <v>1931</v>
      </c>
      <c r="B1934" s="7" t="str">
        <f>"38662022042109450225425"</f>
        <v>38662022042109450225425</v>
      </c>
      <c r="C1934" s="7" t="s">
        <v>20</v>
      </c>
      <c r="D1934" s="7" t="str">
        <f>"唐台玲"</f>
        <v>唐台玲</v>
      </c>
      <c r="E1934" s="7" t="str">
        <f t="shared" si="92"/>
        <v>女</v>
      </c>
    </row>
    <row r="1935" spans="1:5" ht="30" customHeight="1">
      <c r="A1935" s="7">
        <v>1932</v>
      </c>
      <c r="B1935" s="7" t="str">
        <f>"38662022042109471725452"</f>
        <v>38662022042109471725452</v>
      </c>
      <c r="C1935" s="7" t="s">
        <v>20</v>
      </c>
      <c r="D1935" s="7" t="str">
        <f>"黄海慧"</f>
        <v>黄海慧</v>
      </c>
      <c r="E1935" s="7" t="str">
        <f t="shared" si="92"/>
        <v>女</v>
      </c>
    </row>
    <row r="1936" spans="1:5" ht="30" customHeight="1">
      <c r="A1936" s="7">
        <v>1933</v>
      </c>
      <c r="B1936" s="7" t="str">
        <f>"38662022042110232225928"</f>
        <v>38662022042110232225928</v>
      </c>
      <c r="C1936" s="7" t="s">
        <v>20</v>
      </c>
      <c r="D1936" s="7" t="str">
        <f>"陈国霜"</f>
        <v>陈国霜</v>
      </c>
      <c r="E1936" s="7" t="str">
        <f t="shared" si="92"/>
        <v>女</v>
      </c>
    </row>
    <row r="1937" spans="1:5" ht="30" customHeight="1">
      <c r="A1937" s="7">
        <v>1934</v>
      </c>
      <c r="B1937" s="7" t="str">
        <f>"38662022042110240625937"</f>
        <v>38662022042110240625937</v>
      </c>
      <c r="C1937" s="7" t="s">
        <v>20</v>
      </c>
      <c r="D1937" s="7" t="str">
        <f>"苏紫菲"</f>
        <v>苏紫菲</v>
      </c>
      <c r="E1937" s="7" t="str">
        <f t="shared" si="92"/>
        <v>女</v>
      </c>
    </row>
    <row r="1938" spans="1:5" ht="30" customHeight="1">
      <c r="A1938" s="7">
        <v>1935</v>
      </c>
      <c r="B1938" s="7" t="str">
        <f>"38662022042110315826042"</f>
        <v>38662022042110315826042</v>
      </c>
      <c r="C1938" s="7" t="s">
        <v>20</v>
      </c>
      <c r="D1938" s="7" t="str">
        <f>"冯文彬"</f>
        <v>冯文彬</v>
      </c>
      <c r="E1938" s="7" t="str">
        <f t="shared" si="92"/>
        <v>女</v>
      </c>
    </row>
    <row r="1939" spans="1:5" ht="30" customHeight="1">
      <c r="A1939" s="7">
        <v>1936</v>
      </c>
      <c r="B1939" s="7" t="str">
        <f>"38662022042110450526195"</f>
        <v>38662022042110450526195</v>
      </c>
      <c r="C1939" s="7" t="s">
        <v>20</v>
      </c>
      <c r="D1939" s="7" t="str">
        <f>"许慧敏"</f>
        <v>许慧敏</v>
      </c>
      <c r="E1939" s="7" t="str">
        <f t="shared" si="92"/>
        <v>女</v>
      </c>
    </row>
    <row r="1940" spans="1:5" ht="30" customHeight="1">
      <c r="A1940" s="7">
        <v>1937</v>
      </c>
      <c r="B1940" s="7" t="str">
        <f>"38662022042110490926250"</f>
        <v>38662022042110490926250</v>
      </c>
      <c r="C1940" s="7" t="s">
        <v>20</v>
      </c>
      <c r="D1940" s="7" t="str">
        <f>"胡雪玲"</f>
        <v>胡雪玲</v>
      </c>
      <c r="E1940" s="7" t="str">
        <f t="shared" si="92"/>
        <v>女</v>
      </c>
    </row>
    <row r="1941" spans="1:5" ht="30" customHeight="1">
      <c r="A1941" s="7">
        <v>1938</v>
      </c>
      <c r="B1941" s="7" t="str">
        <f>"38662022042110515526287"</f>
        <v>38662022042110515526287</v>
      </c>
      <c r="C1941" s="7" t="s">
        <v>20</v>
      </c>
      <c r="D1941" s="7" t="str">
        <f>"黄琼哗"</f>
        <v>黄琼哗</v>
      </c>
      <c r="E1941" s="7" t="str">
        <f t="shared" si="92"/>
        <v>女</v>
      </c>
    </row>
    <row r="1942" spans="1:5" ht="30" customHeight="1">
      <c r="A1942" s="7">
        <v>1939</v>
      </c>
      <c r="B1942" s="7" t="str">
        <f>"38662022042110555826325"</f>
        <v>38662022042110555826325</v>
      </c>
      <c r="C1942" s="7" t="s">
        <v>20</v>
      </c>
      <c r="D1942" s="7" t="str">
        <f>"邓永馨"</f>
        <v>邓永馨</v>
      </c>
      <c r="E1942" s="7" t="str">
        <f t="shared" si="92"/>
        <v>女</v>
      </c>
    </row>
    <row r="1943" spans="1:5" ht="30" customHeight="1">
      <c r="A1943" s="7">
        <v>1940</v>
      </c>
      <c r="B1943" s="7" t="str">
        <f>"38662022042111152826516"</f>
        <v>38662022042111152826516</v>
      </c>
      <c r="C1943" s="7" t="s">
        <v>20</v>
      </c>
      <c r="D1943" s="7" t="str">
        <f>"符敏燕"</f>
        <v>符敏燕</v>
      </c>
      <c r="E1943" s="7" t="str">
        <f t="shared" si="92"/>
        <v>女</v>
      </c>
    </row>
    <row r="1944" spans="1:5" ht="30" customHeight="1">
      <c r="A1944" s="7">
        <v>1941</v>
      </c>
      <c r="B1944" s="7" t="str">
        <f>"38662022042111251826598"</f>
        <v>38662022042111251826598</v>
      </c>
      <c r="C1944" s="7" t="s">
        <v>20</v>
      </c>
      <c r="D1944" s="7" t="str">
        <f>"周健"</f>
        <v>周健</v>
      </c>
      <c r="E1944" s="7" t="str">
        <f t="shared" si="92"/>
        <v>女</v>
      </c>
    </row>
    <row r="1945" spans="1:5" ht="30" customHeight="1">
      <c r="A1945" s="7">
        <v>1942</v>
      </c>
      <c r="B1945" s="7" t="str">
        <f>"38662022042111385226738"</f>
        <v>38662022042111385226738</v>
      </c>
      <c r="C1945" s="7" t="s">
        <v>20</v>
      </c>
      <c r="D1945" s="7" t="str">
        <f>"谢丽研"</f>
        <v>谢丽研</v>
      </c>
      <c r="E1945" s="7" t="str">
        <f t="shared" si="92"/>
        <v>女</v>
      </c>
    </row>
    <row r="1946" spans="1:5" ht="30" customHeight="1">
      <c r="A1946" s="7">
        <v>1943</v>
      </c>
      <c r="B1946" s="7" t="str">
        <f>"38662022042112004926907"</f>
        <v>38662022042112004926907</v>
      </c>
      <c r="C1946" s="7" t="s">
        <v>20</v>
      </c>
      <c r="D1946" s="7" t="str">
        <f>"李小芳"</f>
        <v>李小芳</v>
      </c>
      <c r="E1946" s="7" t="str">
        <f t="shared" si="92"/>
        <v>女</v>
      </c>
    </row>
    <row r="1947" spans="1:5" ht="30" customHeight="1">
      <c r="A1947" s="7">
        <v>1944</v>
      </c>
      <c r="B1947" s="7" t="str">
        <f>"38662022042112043626930"</f>
        <v>38662022042112043626930</v>
      </c>
      <c r="C1947" s="7" t="s">
        <v>20</v>
      </c>
      <c r="D1947" s="7" t="str">
        <f>"曹林格"</f>
        <v>曹林格</v>
      </c>
      <c r="E1947" s="7" t="str">
        <f t="shared" si="92"/>
        <v>女</v>
      </c>
    </row>
    <row r="1948" spans="1:5" ht="30" customHeight="1">
      <c r="A1948" s="7">
        <v>1945</v>
      </c>
      <c r="B1948" s="7" t="str">
        <f>"38662022042112174727004"</f>
        <v>38662022042112174727004</v>
      </c>
      <c r="C1948" s="7" t="s">
        <v>20</v>
      </c>
      <c r="D1948" s="7" t="str">
        <f>"符莲花"</f>
        <v>符莲花</v>
      </c>
      <c r="E1948" s="7" t="str">
        <f t="shared" si="92"/>
        <v>女</v>
      </c>
    </row>
    <row r="1949" spans="1:5" ht="30" customHeight="1">
      <c r="A1949" s="7">
        <v>1946</v>
      </c>
      <c r="B1949" s="7" t="str">
        <f>"38662022042114331127737"</f>
        <v>38662022042114331127737</v>
      </c>
      <c r="C1949" s="7" t="s">
        <v>20</v>
      </c>
      <c r="D1949" s="7" t="str">
        <f>"林己人"</f>
        <v>林己人</v>
      </c>
      <c r="E1949" s="7" t="str">
        <f t="shared" si="92"/>
        <v>女</v>
      </c>
    </row>
    <row r="1950" spans="1:5" ht="30" customHeight="1">
      <c r="A1950" s="7">
        <v>1947</v>
      </c>
      <c r="B1950" s="7" t="str">
        <f>"38662022042115012427968"</f>
        <v>38662022042115012427968</v>
      </c>
      <c r="C1950" s="7" t="s">
        <v>20</v>
      </c>
      <c r="D1950" s="7" t="str">
        <f>"黄林墨"</f>
        <v>黄林墨</v>
      </c>
      <c r="E1950" s="7" t="str">
        <f t="shared" si="92"/>
        <v>女</v>
      </c>
    </row>
    <row r="1951" spans="1:5" ht="30" customHeight="1">
      <c r="A1951" s="7">
        <v>1948</v>
      </c>
      <c r="B1951" s="7" t="str">
        <f>"38662022042115043227999"</f>
        <v>38662022042115043227999</v>
      </c>
      <c r="C1951" s="7" t="s">
        <v>20</v>
      </c>
      <c r="D1951" s="7" t="str">
        <f>"郭真文"</f>
        <v>郭真文</v>
      </c>
      <c r="E1951" s="7" t="str">
        <f>"男"</f>
        <v>男</v>
      </c>
    </row>
    <row r="1952" spans="1:5" ht="30" customHeight="1">
      <c r="A1952" s="7">
        <v>1949</v>
      </c>
      <c r="B1952" s="7" t="str">
        <f>"38662022042115141528095"</f>
        <v>38662022042115141528095</v>
      </c>
      <c r="C1952" s="7" t="s">
        <v>20</v>
      </c>
      <c r="D1952" s="7" t="str">
        <f>"金瑶"</f>
        <v>金瑶</v>
      </c>
      <c r="E1952" s="7" t="str">
        <f aca="true" t="shared" si="93" ref="E1952:E1981">"女"</f>
        <v>女</v>
      </c>
    </row>
    <row r="1953" spans="1:5" ht="30" customHeight="1">
      <c r="A1953" s="7">
        <v>1950</v>
      </c>
      <c r="B1953" s="7" t="str">
        <f>"38662022042115183128137"</f>
        <v>38662022042115183128137</v>
      </c>
      <c r="C1953" s="7" t="s">
        <v>20</v>
      </c>
      <c r="D1953" s="7" t="str">
        <f>"何美霞"</f>
        <v>何美霞</v>
      </c>
      <c r="E1953" s="7" t="str">
        <f t="shared" si="93"/>
        <v>女</v>
      </c>
    </row>
    <row r="1954" spans="1:5" ht="30" customHeight="1">
      <c r="A1954" s="7">
        <v>1951</v>
      </c>
      <c r="B1954" s="7" t="str">
        <f>"38662022042115254628196"</f>
        <v>38662022042115254628196</v>
      </c>
      <c r="C1954" s="7" t="s">
        <v>20</v>
      </c>
      <c r="D1954" s="7" t="str">
        <f>"姜叶"</f>
        <v>姜叶</v>
      </c>
      <c r="E1954" s="7" t="str">
        <f t="shared" si="93"/>
        <v>女</v>
      </c>
    </row>
    <row r="1955" spans="1:5" ht="30" customHeight="1">
      <c r="A1955" s="7">
        <v>1952</v>
      </c>
      <c r="B1955" s="7" t="str">
        <f>"38662022042115304328239"</f>
        <v>38662022042115304328239</v>
      </c>
      <c r="C1955" s="7" t="s">
        <v>20</v>
      </c>
      <c r="D1955" s="7" t="str">
        <f>"黄燕"</f>
        <v>黄燕</v>
      </c>
      <c r="E1955" s="7" t="str">
        <f t="shared" si="93"/>
        <v>女</v>
      </c>
    </row>
    <row r="1956" spans="1:5" ht="30" customHeight="1">
      <c r="A1956" s="7">
        <v>1953</v>
      </c>
      <c r="B1956" s="7" t="str">
        <f>"38662022042115384028297"</f>
        <v>38662022042115384028297</v>
      </c>
      <c r="C1956" s="7" t="s">
        <v>20</v>
      </c>
      <c r="D1956" s="7" t="str">
        <f>"欧路芳"</f>
        <v>欧路芳</v>
      </c>
      <c r="E1956" s="7" t="str">
        <f t="shared" si="93"/>
        <v>女</v>
      </c>
    </row>
    <row r="1957" spans="1:5" ht="30" customHeight="1">
      <c r="A1957" s="7">
        <v>1954</v>
      </c>
      <c r="B1957" s="7" t="str">
        <f>"38662022042116484328782"</f>
        <v>38662022042116484328782</v>
      </c>
      <c r="C1957" s="7" t="s">
        <v>20</v>
      </c>
      <c r="D1957" s="7" t="str">
        <f>"杨娇娇"</f>
        <v>杨娇娇</v>
      </c>
      <c r="E1957" s="7" t="str">
        <f t="shared" si="93"/>
        <v>女</v>
      </c>
    </row>
    <row r="1958" spans="1:5" ht="30" customHeight="1">
      <c r="A1958" s="7">
        <v>1955</v>
      </c>
      <c r="B1958" s="7" t="str">
        <f>"38662022042116501328791"</f>
        <v>38662022042116501328791</v>
      </c>
      <c r="C1958" s="7" t="s">
        <v>20</v>
      </c>
      <c r="D1958" s="7" t="str">
        <f>"陈海菲"</f>
        <v>陈海菲</v>
      </c>
      <c r="E1958" s="7" t="str">
        <f t="shared" si="93"/>
        <v>女</v>
      </c>
    </row>
    <row r="1959" spans="1:5" ht="30" customHeight="1">
      <c r="A1959" s="7">
        <v>1956</v>
      </c>
      <c r="B1959" s="7" t="str">
        <f>"38662022042117132628945"</f>
        <v>38662022042117132628945</v>
      </c>
      <c r="C1959" s="7" t="s">
        <v>20</v>
      </c>
      <c r="D1959" s="7" t="str">
        <f>"欧阳康沂"</f>
        <v>欧阳康沂</v>
      </c>
      <c r="E1959" s="7" t="str">
        <f t="shared" si="93"/>
        <v>女</v>
      </c>
    </row>
    <row r="1960" spans="1:5" ht="30" customHeight="1">
      <c r="A1960" s="7">
        <v>1957</v>
      </c>
      <c r="B1960" s="7" t="str">
        <f>"38662022042117401029099"</f>
        <v>38662022042117401029099</v>
      </c>
      <c r="C1960" s="7" t="s">
        <v>20</v>
      </c>
      <c r="D1960" s="7" t="str">
        <f>"谢恋恋"</f>
        <v>谢恋恋</v>
      </c>
      <c r="E1960" s="7" t="str">
        <f t="shared" si="93"/>
        <v>女</v>
      </c>
    </row>
    <row r="1961" spans="1:5" ht="30" customHeight="1">
      <c r="A1961" s="7">
        <v>1958</v>
      </c>
      <c r="B1961" s="7" t="str">
        <f>"38662022042118315429330"</f>
        <v>38662022042118315429330</v>
      </c>
      <c r="C1961" s="7" t="s">
        <v>20</v>
      </c>
      <c r="D1961" s="7" t="str">
        <f>"杨金妹"</f>
        <v>杨金妹</v>
      </c>
      <c r="E1961" s="7" t="str">
        <f t="shared" si="93"/>
        <v>女</v>
      </c>
    </row>
    <row r="1962" spans="1:5" ht="30" customHeight="1">
      <c r="A1962" s="7">
        <v>1959</v>
      </c>
      <c r="B1962" s="7" t="str">
        <f>"38662022042119143829509"</f>
        <v>38662022042119143829509</v>
      </c>
      <c r="C1962" s="7" t="s">
        <v>20</v>
      </c>
      <c r="D1962" s="7" t="str">
        <f>"叶丽妹"</f>
        <v>叶丽妹</v>
      </c>
      <c r="E1962" s="7" t="str">
        <f t="shared" si="93"/>
        <v>女</v>
      </c>
    </row>
    <row r="1963" spans="1:5" ht="30" customHeight="1">
      <c r="A1963" s="7">
        <v>1960</v>
      </c>
      <c r="B1963" s="7" t="str">
        <f>"38662022042120454729963"</f>
        <v>38662022042120454729963</v>
      </c>
      <c r="C1963" s="7" t="s">
        <v>20</v>
      </c>
      <c r="D1963" s="7" t="str">
        <f>"冯菁菁"</f>
        <v>冯菁菁</v>
      </c>
      <c r="E1963" s="7" t="str">
        <f t="shared" si="93"/>
        <v>女</v>
      </c>
    </row>
    <row r="1964" spans="1:5" ht="30" customHeight="1">
      <c r="A1964" s="7">
        <v>1961</v>
      </c>
      <c r="B1964" s="7" t="str">
        <f>"38662022042121275730190"</f>
        <v>38662022042121275730190</v>
      </c>
      <c r="C1964" s="7" t="s">
        <v>20</v>
      </c>
      <c r="D1964" s="7" t="str">
        <f>"王华琴"</f>
        <v>王华琴</v>
      </c>
      <c r="E1964" s="7" t="str">
        <f t="shared" si="93"/>
        <v>女</v>
      </c>
    </row>
    <row r="1965" spans="1:5" ht="30" customHeight="1">
      <c r="A1965" s="7">
        <v>1962</v>
      </c>
      <c r="B1965" s="7" t="str">
        <f>"38662022042122233430477"</f>
        <v>38662022042122233430477</v>
      </c>
      <c r="C1965" s="7" t="s">
        <v>20</v>
      </c>
      <c r="D1965" s="7" t="str">
        <f>"符以娜"</f>
        <v>符以娜</v>
      </c>
      <c r="E1965" s="7" t="str">
        <f t="shared" si="93"/>
        <v>女</v>
      </c>
    </row>
    <row r="1966" spans="1:5" ht="30" customHeight="1">
      <c r="A1966" s="7">
        <v>1963</v>
      </c>
      <c r="B1966" s="7" t="str">
        <f>"38662022042122505630595"</f>
        <v>38662022042122505630595</v>
      </c>
      <c r="C1966" s="7" t="s">
        <v>20</v>
      </c>
      <c r="D1966" s="7" t="str">
        <f>"赵杨倩"</f>
        <v>赵杨倩</v>
      </c>
      <c r="E1966" s="7" t="str">
        <f t="shared" si="93"/>
        <v>女</v>
      </c>
    </row>
    <row r="1967" spans="1:5" ht="30" customHeight="1">
      <c r="A1967" s="7">
        <v>1964</v>
      </c>
      <c r="B1967" s="7" t="str">
        <f>"38662022042123230130722"</f>
        <v>38662022042123230130722</v>
      </c>
      <c r="C1967" s="7" t="s">
        <v>20</v>
      </c>
      <c r="D1967" s="7" t="str">
        <f>"陈明"</f>
        <v>陈明</v>
      </c>
      <c r="E1967" s="7" t="str">
        <f t="shared" si="93"/>
        <v>女</v>
      </c>
    </row>
    <row r="1968" spans="1:5" ht="30" customHeight="1">
      <c r="A1968" s="7">
        <v>1965</v>
      </c>
      <c r="B1968" s="7" t="str">
        <f>"38662022042123273930734"</f>
        <v>38662022042123273930734</v>
      </c>
      <c r="C1968" s="7" t="s">
        <v>20</v>
      </c>
      <c r="D1968" s="7" t="str">
        <f>"王海珠"</f>
        <v>王海珠</v>
      </c>
      <c r="E1968" s="7" t="str">
        <f t="shared" si="93"/>
        <v>女</v>
      </c>
    </row>
    <row r="1969" spans="1:5" ht="30" customHeight="1">
      <c r="A1969" s="7">
        <v>1966</v>
      </c>
      <c r="B1969" s="7" t="str">
        <f>"38662022042123315430748"</f>
        <v>38662022042123315430748</v>
      </c>
      <c r="C1969" s="7" t="s">
        <v>20</v>
      </c>
      <c r="D1969" s="7" t="str">
        <f>"黎秀美"</f>
        <v>黎秀美</v>
      </c>
      <c r="E1969" s="7" t="str">
        <f t="shared" si="93"/>
        <v>女</v>
      </c>
    </row>
    <row r="1970" spans="1:5" ht="30" customHeight="1">
      <c r="A1970" s="7">
        <v>1967</v>
      </c>
      <c r="B1970" s="7" t="str">
        <f>"38662022042209012031125"</f>
        <v>38662022042209012031125</v>
      </c>
      <c r="C1970" s="7" t="s">
        <v>20</v>
      </c>
      <c r="D1970" s="7" t="str">
        <f>"何婧怡"</f>
        <v>何婧怡</v>
      </c>
      <c r="E1970" s="7" t="str">
        <f t="shared" si="93"/>
        <v>女</v>
      </c>
    </row>
    <row r="1971" spans="1:5" ht="30" customHeight="1">
      <c r="A1971" s="7">
        <v>1968</v>
      </c>
      <c r="B1971" s="7" t="str">
        <f>"38662022042209241531242"</f>
        <v>38662022042209241531242</v>
      </c>
      <c r="C1971" s="7" t="s">
        <v>20</v>
      </c>
      <c r="D1971" s="7" t="str">
        <f>"陈小小"</f>
        <v>陈小小</v>
      </c>
      <c r="E1971" s="7" t="str">
        <f t="shared" si="93"/>
        <v>女</v>
      </c>
    </row>
    <row r="1972" spans="1:5" ht="30" customHeight="1">
      <c r="A1972" s="7">
        <v>1969</v>
      </c>
      <c r="B1972" s="7" t="str">
        <f>"38662022042209423531345"</f>
        <v>38662022042209423531345</v>
      </c>
      <c r="C1972" s="7" t="s">
        <v>20</v>
      </c>
      <c r="D1972" s="7" t="str">
        <f>"翁娇丽"</f>
        <v>翁娇丽</v>
      </c>
      <c r="E1972" s="7" t="str">
        <f t="shared" si="93"/>
        <v>女</v>
      </c>
    </row>
    <row r="1973" spans="1:5" ht="30" customHeight="1">
      <c r="A1973" s="7">
        <v>1970</v>
      </c>
      <c r="B1973" s="7" t="str">
        <f>"38662022042209430231348"</f>
        <v>38662022042209430231348</v>
      </c>
      <c r="C1973" s="7" t="s">
        <v>20</v>
      </c>
      <c r="D1973" s="7" t="str">
        <f>"杨文玉"</f>
        <v>杨文玉</v>
      </c>
      <c r="E1973" s="7" t="str">
        <f t="shared" si="93"/>
        <v>女</v>
      </c>
    </row>
    <row r="1974" spans="1:5" ht="30" customHeight="1">
      <c r="A1974" s="7">
        <v>1971</v>
      </c>
      <c r="B1974" s="7" t="str">
        <f>"38662022042209492031376"</f>
        <v>38662022042209492031376</v>
      </c>
      <c r="C1974" s="7" t="s">
        <v>20</v>
      </c>
      <c r="D1974" s="7" t="str">
        <f>"邢美娟"</f>
        <v>邢美娟</v>
      </c>
      <c r="E1974" s="7" t="str">
        <f t="shared" si="93"/>
        <v>女</v>
      </c>
    </row>
    <row r="1975" spans="1:5" ht="30" customHeight="1">
      <c r="A1975" s="7">
        <v>1972</v>
      </c>
      <c r="B1975" s="7" t="str">
        <f>"38662022042212562832670"</f>
        <v>38662022042212562832670</v>
      </c>
      <c r="C1975" s="7" t="s">
        <v>20</v>
      </c>
      <c r="D1975" s="7" t="str">
        <f>"符淑玉"</f>
        <v>符淑玉</v>
      </c>
      <c r="E1975" s="7" t="str">
        <f t="shared" si="93"/>
        <v>女</v>
      </c>
    </row>
    <row r="1976" spans="1:5" ht="30" customHeight="1">
      <c r="A1976" s="7">
        <v>1973</v>
      </c>
      <c r="B1976" s="7" t="str">
        <f>"38662022042213044632711"</f>
        <v>38662022042213044632711</v>
      </c>
      <c r="C1976" s="7" t="s">
        <v>20</v>
      </c>
      <c r="D1976" s="7" t="str">
        <f>"王雪连"</f>
        <v>王雪连</v>
      </c>
      <c r="E1976" s="7" t="str">
        <f t="shared" si="93"/>
        <v>女</v>
      </c>
    </row>
    <row r="1977" spans="1:5" ht="30" customHeight="1">
      <c r="A1977" s="7">
        <v>1974</v>
      </c>
      <c r="B1977" s="7" t="str">
        <f>"38662022042213073932725"</f>
        <v>38662022042213073932725</v>
      </c>
      <c r="C1977" s="7" t="s">
        <v>20</v>
      </c>
      <c r="D1977" s="7" t="str">
        <f>"吴孙丽"</f>
        <v>吴孙丽</v>
      </c>
      <c r="E1977" s="7" t="str">
        <f t="shared" si="93"/>
        <v>女</v>
      </c>
    </row>
    <row r="1978" spans="1:5" ht="30" customHeight="1">
      <c r="A1978" s="7">
        <v>1975</v>
      </c>
      <c r="B1978" s="7" t="str">
        <f>"38662022042216292333721"</f>
        <v>38662022042216292333721</v>
      </c>
      <c r="C1978" s="7" t="s">
        <v>20</v>
      </c>
      <c r="D1978" s="7" t="str">
        <f>"刘裕花"</f>
        <v>刘裕花</v>
      </c>
      <c r="E1978" s="7" t="str">
        <f t="shared" si="93"/>
        <v>女</v>
      </c>
    </row>
    <row r="1979" spans="1:5" ht="30" customHeight="1">
      <c r="A1979" s="7">
        <v>1976</v>
      </c>
      <c r="B1979" s="7" t="str">
        <f>"38662022042218181334258"</f>
        <v>38662022042218181334258</v>
      </c>
      <c r="C1979" s="7" t="s">
        <v>20</v>
      </c>
      <c r="D1979" s="7" t="str">
        <f>"朱柳芳"</f>
        <v>朱柳芳</v>
      </c>
      <c r="E1979" s="7" t="str">
        <f t="shared" si="93"/>
        <v>女</v>
      </c>
    </row>
    <row r="1980" spans="1:5" ht="30" customHeight="1">
      <c r="A1980" s="7">
        <v>1977</v>
      </c>
      <c r="B1980" s="7" t="str">
        <f>"38662022042218331734289"</f>
        <v>38662022042218331734289</v>
      </c>
      <c r="C1980" s="7" t="s">
        <v>20</v>
      </c>
      <c r="D1980" s="7" t="str">
        <f>"林月光"</f>
        <v>林月光</v>
      </c>
      <c r="E1980" s="7" t="str">
        <f t="shared" si="93"/>
        <v>女</v>
      </c>
    </row>
    <row r="1981" spans="1:5" ht="30" customHeight="1">
      <c r="A1981" s="7">
        <v>1978</v>
      </c>
      <c r="B1981" s="7" t="str">
        <f>"38662022042219290834407"</f>
        <v>38662022042219290834407</v>
      </c>
      <c r="C1981" s="7" t="s">
        <v>20</v>
      </c>
      <c r="D1981" s="7" t="str">
        <f>"陈丽云"</f>
        <v>陈丽云</v>
      </c>
      <c r="E1981" s="7" t="str">
        <f t="shared" si="93"/>
        <v>女</v>
      </c>
    </row>
    <row r="1982" spans="1:5" ht="30" customHeight="1">
      <c r="A1982" s="7">
        <v>1979</v>
      </c>
      <c r="B1982" s="7" t="str">
        <f>"38662022042220225034509"</f>
        <v>38662022042220225034509</v>
      </c>
      <c r="C1982" s="7" t="s">
        <v>20</v>
      </c>
      <c r="D1982" s="7" t="str">
        <f>"卓德函"</f>
        <v>卓德函</v>
      </c>
      <c r="E1982" s="7" t="str">
        <f>"男"</f>
        <v>男</v>
      </c>
    </row>
    <row r="1983" spans="1:5" ht="30" customHeight="1">
      <c r="A1983" s="7">
        <v>1980</v>
      </c>
      <c r="B1983" s="7" t="str">
        <f>"38662022042222040534701"</f>
        <v>38662022042222040534701</v>
      </c>
      <c r="C1983" s="7" t="s">
        <v>20</v>
      </c>
      <c r="D1983" s="7" t="str">
        <f>"邢雅婵"</f>
        <v>邢雅婵</v>
      </c>
      <c r="E1983" s="7" t="str">
        <f>"女"</f>
        <v>女</v>
      </c>
    </row>
    <row r="1984" spans="1:5" ht="30" customHeight="1">
      <c r="A1984" s="7">
        <v>1981</v>
      </c>
      <c r="B1984" s="7" t="str">
        <f>"38662022042222173434724"</f>
        <v>38662022042222173434724</v>
      </c>
      <c r="C1984" s="7" t="s">
        <v>20</v>
      </c>
      <c r="D1984" s="7" t="str">
        <f>"姚国伟"</f>
        <v>姚国伟</v>
      </c>
      <c r="E1984" s="7" t="str">
        <f>"男"</f>
        <v>男</v>
      </c>
    </row>
    <row r="1985" spans="1:5" ht="30" customHeight="1">
      <c r="A1985" s="7">
        <v>1982</v>
      </c>
      <c r="B1985" s="7" t="str">
        <f>"38662022042313440135283"</f>
        <v>38662022042313440135283</v>
      </c>
      <c r="C1985" s="7" t="s">
        <v>20</v>
      </c>
      <c r="D1985" s="7" t="str">
        <f>"谭纯妮"</f>
        <v>谭纯妮</v>
      </c>
      <c r="E1985" s="7" t="str">
        <f aca="true" t="shared" si="94" ref="E1985:E2010">"女"</f>
        <v>女</v>
      </c>
    </row>
    <row r="1986" spans="1:5" ht="30" customHeight="1">
      <c r="A1986" s="7">
        <v>1983</v>
      </c>
      <c r="B1986" s="7" t="str">
        <f>"38662022042314223335341"</f>
        <v>38662022042314223335341</v>
      </c>
      <c r="C1986" s="7" t="s">
        <v>20</v>
      </c>
      <c r="D1986" s="7" t="str">
        <f>"谢芸芸"</f>
        <v>谢芸芸</v>
      </c>
      <c r="E1986" s="7" t="str">
        <f t="shared" si="94"/>
        <v>女</v>
      </c>
    </row>
    <row r="1987" spans="1:5" ht="30" customHeight="1">
      <c r="A1987" s="7">
        <v>1984</v>
      </c>
      <c r="B1987" s="7" t="str">
        <f>"38662022042315083635389"</f>
        <v>38662022042315083635389</v>
      </c>
      <c r="C1987" s="7" t="s">
        <v>20</v>
      </c>
      <c r="D1987" s="7" t="str">
        <f>"陈少盈"</f>
        <v>陈少盈</v>
      </c>
      <c r="E1987" s="7" t="str">
        <f t="shared" si="94"/>
        <v>女</v>
      </c>
    </row>
    <row r="1988" spans="1:5" ht="30" customHeight="1">
      <c r="A1988" s="7">
        <v>1985</v>
      </c>
      <c r="B1988" s="7" t="str">
        <f>"38662022042315361435426"</f>
        <v>38662022042315361435426</v>
      </c>
      <c r="C1988" s="7" t="s">
        <v>20</v>
      </c>
      <c r="D1988" s="7" t="str">
        <f>"朱方慧"</f>
        <v>朱方慧</v>
      </c>
      <c r="E1988" s="7" t="str">
        <f t="shared" si="94"/>
        <v>女</v>
      </c>
    </row>
    <row r="1989" spans="1:5" ht="30" customHeight="1">
      <c r="A1989" s="7">
        <v>1986</v>
      </c>
      <c r="B1989" s="7" t="str">
        <f>"38662022042315384735440"</f>
        <v>38662022042315384735440</v>
      </c>
      <c r="C1989" s="7" t="s">
        <v>20</v>
      </c>
      <c r="D1989" s="7" t="str">
        <f>"文欣"</f>
        <v>文欣</v>
      </c>
      <c r="E1989" s="7" t="str">
        <f t="shared" si="94"/>
        <v>女</v>
      </c>
    </row>
    <row r="1990" spans="1:5" ht="30" customHeight="1">
      <c r="A1990" s="7">
        <v>1987</v>
      </c>
      <c r="B1990" s="7" t="str">
        <f>"38662022042317330535603"</f>
        <v>38662022042317330535603</v>
      </c>
      <c r="C1990" s="7" t="s">
        <v>20</v>
      </c>
      <c r="D1990" s="7" t="str">
        <f>"张晓翠"</f>
        <v>张晓翠</v>
      </c>
      <c r="E1990" s="7" t="str">
        <f t="shared" si="94"/>
        <v>女</v>
      </c>
    </row>
    <row r="1991" spans="1:5" ht="30" customHeight="1">
      <c r="A1991" s="7">
        <v>1988</v>
      </c>
      <c r="B1991" s="7" t="str">
        <f>"38662022042317573035625"</f>
        <v>38662022042317573035625</v>
      </c>
      <c r="C1991" s="7" t="s">
        <v>20</v>
      </c>
      <c r="D1991" s="7" t="str">
        <f>"曾丽丽"</f>
        <v>曾丽丽</v>
      </c>
      <c r="E1991" s="7" t="str">
        <f t="shared" si="94"/>
        <v>女</v>
      </c>
    </row>
    <row r="1992" spans="1:5" ht="30" customHeight="1">
      <c r="A1992" s="7">
        <v>1989</v>
      </c>
      <c r="B1992" s="7" t="str">
        <f>"38662022042318285335652"</f>
        <v>38662022042318285335652</v>
      </c>
      <c r="C1992" s="7" t="s">
        <v>20</v>
      </c>
      <c r="D1992" s="7" t="str">
        <f>"蒲佳雪"</f>
        <v>蒲佳雪</v>
      </c>
      <c r="E1992" s="7" t="str">
        <f t="shared" si="94"/>
        <v>女</v>
      </c>
    </row>
    <row r="1993" spans="1:5" ht="30" customHeight="1">
      <c r="A1993" s="7">
        <v>1990</v>
      </c>
      <c r="B1993" s="7" t="str">
        <f>"38662022042320004835741"</f>
        <v>38662022042320004835741</v>
      </c>
      <c r="C1993" s="7" t="s">
        <v>20</v>
      </c>
      <c r="D1993" s="7" t="str">
        <f>"吴彩虹"</f>
        <v>吴彩虹</v>
      </c>
      <c r="E1993" s="7" t="str">
        <f t="shared" si="94"/>
        <v>女</v>
      </c>
    </row>
    <row r="1994" spans="1:5" ht="30" customHeight="1">
      <c r="A1994" s="7">
        <v>1991</v>
      </c>
      <c r="B1994" s="7" t="str">
        <f>"38662022042323032236051"</f>
        <v>38662022042323032236051</v>
      </c>
      <c r="C1994" s="7" t="s">
        <v>20</v>
      </c>
      <c r="D1994" s="7" t="str">
        <f>"许蓝荻"</f>
        <v>许蓝荻</v>
      </c>
      <c r="E1994" s="7" t="str">
        <f t="shared" si="94"/>
        <v>女</v>
      </c>
    </row>
    <row r="1995" spans="1:5" ht="30" customHeight="1">
      <c r="A1995" s="7">
        <v>1992</v>
      </c>
      <c r="B1995" s="7" t="str">
        <f>"38662022042408470336212"</f>
        <v>38662022042408470336212</v>
      </c>
      <c r="C1995" s="7" t="s">
        <v>20</v>
      </c>
      <c r="D1995" s="7" t="str">
        <f>"李秋"</f>
        <v>李秋</v>
      </c>
      <c r="E1995" s="7" t="str">
        <f t="shared" si="94"/>
        <v>女</v>
      </c>
    </row>
    <row r="1996" spans="1:5" ht="30" customHeight="1">
      <c r="A1996" s="7">
        <v>1993</v>
      </c>
      <c r="B1996" s="7" t="str">
        <f>"38662022042409162136275"</f>
        <v>38662022042409162136275</v>
      </c>
      <c r="C1996" s="7" t="s">
        <v>20</v>
      </c>
      <c r="D1996" s="7" t="str">
        <f>"吴丽蕊"</f>
        <v>吴丽蕊</v>
      </c>
      <c r="E1996" s="7" t="str">
        <f t="shared" si="94"/>
        <v>女</v>
      </c>
    </row>
    <row r="1997" spans="1:5" ht="30" customHeight="1">
      <c r="A1997" s="7">
        <v>1994</v>
      </c>
      <c r="B1997" s="7" t="str">
        <f>"38662022042409221636288"</f>
        <v>38662022042409221636288</v>
      </c>
      <c r="C1997" s="7" t="s">
        <v>20</v>
      </c>
      <c r="D1997" s="7" t="str">
        <f>"蔡玉婵"</f>
        <v>蔡玉婵</v>
      </c>
      <c r="E1997" s="7" t="str">
        <f t="shared" si="94"/>
        <v>女</v>
      </c>
    </row>
    <row r="1998" spans="1:5" ht="30" customHeight="1">
      <c r="A1998" s="7">
        <v>1995</v>
      </c>
      <c r="B1998" s="7" t="str">
        <f>"38662022042410223636413"</f>
        <v>38662022042410223636413</v>
      </c>
      <c r="C1998" s="7" t="s">
        <v>20</v>
      </c>
      <c r="D1998" s="7" t="str">
        <f>"符玉娥"</f>
        <v>符玉娥</v>
      </c>
      <c r="E1998" s="7" t="str">
        <f t="shared" si="94"/>
        <v>女</v>
      </c>
    </row>
    <row r="1999" spans="1:5" ht="30" customHeight="1">
      <c r="A1999" s="7">
        <v>1996</v>
      </c>
      <c r="B1999" s="7" t="str">
        <f>"38662022042413225636735"</f>
        <v>38662022042413225636735</v>
      </c>
      <c r="C1999" s="7" t="s">
        <v>20</v>
      </c>
      <c r="D1999" s="7" t="str">
        <f>"马朝阳"</f>
        <v>马朝阳</v>
      </c>
      <c r="E1999" s="7" t="str">
        <f t="shared" si="94"/>
        <v>女</v>
      </c>
    </row>
    <row r="2000" spans="1:5" ht="30" customHeight="1">
      <c r="A2000" s="7">
        <v>1997</v>
      </c>
      <c r="B2000" s="7" t="str">
        <f>"38662022042413242436739"</f>
        <v>38662022042413242436739</v>
      </c>
      <c r="C2000" s="7" t="s">
        <v>20</v>
      </c>
      <c r="D2000" s="7" t="str">
        <f>"符祥茹"</f>
        <v>符祥茹</v>
      </c>
      <c r="E2000" s="7" t="str">
        <f t="shared" si="94"/>
        <v>女</v>
      </c>
    </row>
    <row r="2001" spans="1:5" ht="30" customHeight="1">
      <c r="A2001" s="7">
        <v>1998</v>
      </c>
      <c r="B2001" s="7" t="str">
        <f>"38662022042413535936771"</f>
        <v>38662022042413535936771</v>
      </c>
      <c r="C2001" s="7" t="s">
        <v>20</v>
      </c>
      <c r="D2001" s="7" t="str">
        <f>"陈少花"</f>
        <v>陈少花</v>
      </c>
      <c r="E2001" s="7" t="str">
        <f t="shared" si="94"/>
        <v>女</v>
      </c>
    </row>
    <row r="2002" spans="1:5" ht="30" customHeight="1">
      <c r="A2002" s="7">
        <v>1999</v>
      </c>
      <c r="B2002" s="7" t="str">
        <f>"38662022042415452936957"</f>
        <v>38662022042415452936957</v>
      </c>
      <c r="C2002" s="7" t="s">
        <v>20</v>
      </c>
      <c r="D2002" s="7" t="str">
        <f>"李香琼"</f>
        <v>李香琼</v>
      </c>
      <c r="E2002" s="7" t="str">
        <f t="shared" si="94"/>
        <v>女</v>
      </c>
    </row>
    <row r="2003" spans="1:5" ht="30" customHeight="1">
      <c r="A2003" s="7">
        <v>2000</v>
      </c>
      <c r="B2003" s="7" t="str">
        <f>"38662022042418043137238"</f>
        <v>38662022042418043137238</v>
      </c>
      <c r="C2003" s="7" t="s">
        <v>20</v>
      </c>
      <c r="D2003" s="7" t="str">
        <f>"吴小文"</f>
        <v>吴小文</v>
      </c>
      <c r="E2003" s="7" t="str">
        <f t="shared" si="94"/>
        <v>女</v>
      </c>
    </row>
    <row r="2004" spans="1:5" ht="30" customHeight="1">
      <c r="A2004" s="7">
        <v>2001</v>
      </c>
      <c r="B2004" s="7" t="str">
        <f>"38662022042420380537461"</f>
        <v>38662022042420380537461</v>
      </c>
      <c r="C2004" s="7" t="s">
        <v>20</v>
      </c>
      <c r="D2004" s="7" t="str">
        <f>"吴玉妹"</f>
        <v>吴玉妹</v>
      </c>
      <c r="E2004" s="7" t="str">
        <f t="shared" si="94"/>
        <v>女</v>
      </c>
    </row>
    <row r="2005" spans="1:5" ht="30" customHeight="1">
      <c r="A2005" s="7">
        <v>2002</v>
      </c>
      <c r="B2005" s="7" t="str">
        <f>"38662022042421105237522"</f>
        <v>38662022042421105237522</v>
      </c>
      <c r="C2005" s="7" t="s">
        <v>20</v>
      </c>
      <c r="D2005" s="7" t="str">
        <f>"羊长女"</f>
        <v>羊长女</v>
      </c>
      <c r="E2005" s="7" t="str">
        <f t="shared" si="94"/>
        <v>女</v>
      </c>
    </row>
    <row r="2006" spans="1:5" ht="30" customHeight="1">
      <c r="A2006" s="7">
        <v>2003</v>
      </c>
      <c r="B2006" s="7" t="str">
        <f>"38662022042421530537585"</f>
        <v>38662022042421530537585</v>
      </c>
      <c r="C2006" s="7" t="s">
        <v>20</v>
      </c>
      <c r="D2006" s="7" t="str">
        <f>"吴小怡"</f>
        <v>吴小怡</v>
      </c>
      <c r="E2006" s="7" t="str">
        <f t="shared" si="94"/>
        <v>女</v>
      </c>
    </row>
    <row r="2007" spans="1:5" ht="30" customHeight="1">
      <c r="A2007" s="7">
        <v>2004</v>
      </c>
      <c r="B2007" s="7" t="str">
        <f>"38662022042508010637799"</f>
        <v>38662022042508010637799</v>
      </c>
      <c r="C2007" s="7" t="s">
        <v>20</v>
      </c>
      <c r="D2007" s="7" t="str">
        <f>"王曼珍"</f>
        <v>王曼珍</v>
      </c>
      <c r="E2007" s="7" t="str">
        <f t="shared" si="94"/>
        <v>女</v>
      </c>
    </row>
    <row r="2008" spans="1:5" ht="30" customHeight="1">
      <c r="A2008" s="7">
        <v>2005</v>
      </c>
      <c r="B2008" s="7" t="str">
        <f>"38662022042510591938063"</f>
        <v>38662022042510591938063</v>
      </c>
      <c r="C2008" s="7" t="s">
        <v>20</v>
      </c>
      <c r="D2008" s="7" t="str">
        <f>"田欢欢"</f>
        <v>田欢欢</v>
      </c>
      <c r="E2008" s="7" t="str">
        <f t="shared" si="94"/>
        <v>女</v>
      </c>
    </row>
    <row r="2009" spans="1:5" ht="30" customHeight="1">
      <c r="A2009" s="7">
        <v>2006</v>
      </c>
      <c r="B2009" s="7" t="str">
        <f>"38662022042511023038073"</f>
        <v>38662022042511023038073</v>
      </c>
      <c r="C2009" s="7" t="s">
        <v>20</v>
      </c>
      <c r="D2009" s="7" t="str">
        <f>"伍华丽"</f>
        <v>伍华丽</v>
      </c>
      <c r="E2009" s="7" t="str">
        <f t="shared" si="94"/>
        <v>女</v>
      </c>
    </row>
    <row r="2010" spans="1:5" ht="30" customHeight="1">
      <c r="A2010" s="7">
        <v>2007</v>
      </c>
      <c r="B2010" s="7" t="str">
        <f>"38662022042512533338202"</f>
        <v>38662022042512533338202</v>
      </c>
      <c r="C2010" s="7" t="s">
        <v>20</v>
      </c>
      <c r="D2010" s="7" t="str">
        <f>"文怡"</f>
        <v>文怡</v>
      </c>
      <c r="E2010" s="7" t="str">
        <f t="shared" si="94"/>
        <v>女</v>
      </c>
    </row>
    <row r="2011" spans="1:5" ht="30" customHeight="1">
      <c r="A2011" s="7">
        <v>2008</v>
      </c>
      <c r="B2011" s="7" t="str">
        <f>"38662022042514251838277"</f>
        <v>38662022042514251838277</v>
      </c>
      <c r="C2011" s="7" t="s">
        <v>20</v>
      </c>
      <c r="D2011" s="7" t="str">
        <f>"张权"</f>
        <v>张权</v>
      </c>
      <c r="E2011" s="7" t="str">
        <f>"男"</f>
        <v>男</v>
      </c>
    </row>
    <row r="2012" spans="1:5" ht="30" customHeight="1">
      <c r="A2012" s="7">
        <v>2009</v>
      </c>
      <c r="B2012" s="7" t="str">
        <f>"38662022042515170238352"</f>
        <v>38662022042515170238352</v>
      </c>
      <c r="C2012" s="7" t="s">
        <v>20</v>
      </c>
      <c r="D2012" s="7" t="str">
        <f>"何蓉彩"</f>
        <v>何蓉彩</v>
      </c>
      <c r="E2012" s="7" t="str">
        <f aca="true" t="shared" si="95" ref="E2012:E2029">"女"</f>
        <v>女</v>
      </c>
    </row>
    <row r="2013" spans="1:5" ht="30" customHeight="1">
      <c r="A2013" s="7">
        <v>2010</v>
      </c>
      <c r="B2013" s="7" t="str">
        <f>"38662022042516342738492"</f>
        <v>38662022042516342738492</v>
      </c>
      <c r="C2013" s="7" t="s">
        <v>20</v>
      </c>
      <c r="D2013" s="7" t="str">
        <f>"文丽"</f>
        <v>文丽</v>
      </c>
      <c r="E2013" s="7" t="str">
        <f t="shared" si="95"/>
        <v>女</v>
      </c>
    </row>
    <row r="2014" spans="1:5" ht="30" customHeight="1">
      <c r="A2014" s="7">
        <v>2011</v>
      </c>
      <c r="B2014" s="7" t="str">
        <f>"38662022042518020938613"</f>
        <v>38662022042518020938613</v>
      </c>
      <c r="C2014" s="7" t="s">
        <v>20</v>
      </c>
      <c r="D2014" s="7" t="str">
        <f>"吴小婷"</f>
        <v>吴小婷</v>
      </c>
      <c r="E2014" s="7" t="str">
        <f t="shared" si="95"/>
        <v>女</v>
      </c>
    </row>
    <row r="2015" spans="1:5" ht="30" customHeight="1">
      <c r="A2015" s="7">
        <v>2012</v>
      </c>
      <c r="B2015" s="7" t="str">
        <f>"38662022042519534938732"</f>
        <v>38662022042519534938732</v>
      </c>
      <c r="C2015" s="7" t="s">
        <v>20</v>
      </c>
      <c r="D2015" s="7" t="str">
        <f>"陈章怡"</f>
        <v>陈章怡</v>
      </c>
      <c r="E2015" s="7" t="str">
        <f t="shared" si="95"/>
        <v>女</v>
      </c>
    </row>
    <row r="2016" spans="1:5" ht="30" customHeight="1">
      <c r="A2016" s="7">
        <v>2013</v>
      </c>
      <c r="B2016" s="7" t="str">
        <f>"38662022042520044538748"</f>
        <v>38662022042520044538748</v>
      </c>
      <c r="C2016" s="7" t="s">
        <v>20</v>
      </c>
      <c r="D2016" s="7" t="str">
        <f>"黄海锐"</f>
        <v>黄海锐</v>
      </c>
      <c r="E2016" s="7" t="str">
        <f t="shared" si="95"/>
        <v>女</v>
      </c>
    </row>
    <row r="2017" spans="1:5" ht="30" customHeight="1">
      <c r="A2017" s="7">
        <v>2014</v>
      </c>
      <c r="B2017" s="7" t="str">
        <f>"38662022042521551738903"</f>
        <v>38662022042521551738903</v>
      </c>
      <c r="C2017" s="7" t="s">
        <v>20</v>
      </c>
      <c r="D2017" s="7" t="str">
        <f>"陈雪琳"</f>
        <v>陈雪琳</v>
      </c>
      <c r="E2017" s="7" t="str">
        <f t="shared" si="95"/>
        <v>女</v>
      </c>
    </row>
    <row r="2018" spans="1:5" ht="30" customHeight="1">
      <c r="A2018" s="7">
        <v>2015</v>
      </c>
      <c r="B2018" s="7" t="str">
        <f>"38662022042523033539000"</f>
        <v>38662022042523033539000</v>
      </c>
      <c r="C2018" s="7" t="s">
        <v>20</v>
      </c>
      <c r="D2018" s="7" t="str">
        <f>"陈小爱"</f>
        <v>陈小爱</v>
      </c>
      <c r="E2018" s="7" t="str">
        <f t="shared" si="95"/>
        <v>女</v>
      </c>
    </row>
    <row r="2019" spans="1:5" ht="30" customHeight="1">
      <c r="A2019" s="7">
        <v>2016</v>
      </c>
      <c r="B2019" s="7" t="str">
        <f>"38662022042523113839010"</f>
        <v>38662022042523113839010</v>
      </c>
      <c r="C2019" s="7" t="s">
        <v>20</v>
      </c>
      <c r="D2019" s="7" t="str">
        <f>"冯玉红"</f>
        <v>冯玉红</v>
      </c>
      <c r="E2019" s="7" t="str">
        <f t="shared" si="95"/>
        <v>女</v>
      </c>
    </row>
    <row r="2020" spans="1:5" ht="30" customHeight="1">
      <c r="A2020" s="7">
        <v>2017</v>
      </c>
      <c r="B2020" s="7" t="str">
        <f>"38662022042523463539042"</f>
        <v>38662022042523463539042</v>
      </c>
      <c r="C2020" s="7" t="s">
        <v>20</v>
      </c>
      <c r="D2020" s="7" t="str">
        <f>"王隆丽"</f>
        <v>王隆丽</v>
      </c>
      <c r="E2020" s="7" t="str">
        <f t="shared" si="95"/>
        <v>女</v>
      </c>
    </row>
    <row r="2021" spans="1:5" ht="30" customHeight="1">
      <c r="A2021" s="7">
        <v>2018</v>
      </c>
      <c r="B2021" s="7" t="str">
        <f>"38662022042523581739060"</f>
        <v>38662022042523581739060</v>
      </c>
      <c r="C2021" s="7" t="s">
        <v>20</v>
      </c>
      <c r="D2021" s="7" t="str">
        <f>"符和斌"</f>
        <v>符和斌</v>
      </c>
      <c r="E2021" s="7" t="str">
        <f t="shared" si="95"/>
        <v>女</v>
      </c>
    </row>
    <row r="2022" spans="1:5" ht="30" customHeight="1">
      <c r="A2022" s="7">
        <v>2019</v>
      </c>
      <c r="B2022" s="7" t="str">
        <f>"38662022042609055739176"</f>
        <v>38662022042609055739176</v>
      </c>
      <c r="C2022" s="7" t="s">
        <v>20</v>
      </c>
      <c r="D2022" s="7" t="str">
        <f>"简金妹"</f>
        <v>简金妹</v>
      </c>
      <c r="E2022" s="7" t="str">
        <f t="shared" si="95"/>
        <v>女</v>
      </c>
    </row>
    <row r="2023" spans="1:5" ht="30" customHeight="1">
      <c r="A2023" s="7">
        <v>2020</v>
      </c>
      <c r="B2023" s="7" t="str">
        <f>"38662022042610111539272"</f>
        <v>38662022042610111539272</v>
      </c>
      <c r="C2023" s="7" t="s">
        <v>20</v>
      </c>
      <c r="D2023" s="7" t="str">
        <f>"文坤婧"</f>
        <v>文坤婧</v>
      </c>
      <c r="E2023" s="7" t="str">
        <f t="shared" si="95"/>
        <v>女</v>
      </c>
    </row>
    <row r="2024" spans="1:5" ht="30" customHeight="1">
      <c r="A2024" s="7">
        <v>2021</v>
      </c>
      <c r="B2024" s="7" t="str">
        <f>"38662022042612464039494"</f>
        <v>38662022042612464039494</v>
      </c>
      <c r="C2024" s="7" t="s">
        <v>20</v>
      </c>
      <c r="D2024" s="7" t="str">
        <f>"文寒欢"</f>
        <v>文寒欢</v>
      </c>
      <c r="E2024" s="7" t="str">
        <f t="shared" si="95"/>
        <v>女</v>
      </c>
    </row>
    <row r="2025" spans="1:5" ht="30" customHeight="1">
      <c r="A2025" s="7">
        <v>2022</v>
      </c>
      <c r="B2025" s="7" t="str">
        <f>"38662022042612580039509"</f>
        <v>38662022042612580039509</v>
      </c>
      <c r="C2025" s="7" t="s">
        <v>20</v>
      </c>
      <c r="D2025" s="7" t="str">
        <f>"周丽秋"</f>
        <v>周丽秋</v>
      </c>
      <c r="E2025" s="7" t="str">
        <f t="shared" si="95"/>
        <v>女</v>
      </c>
    </row>
    <row r="2026" spans="1:5" ht="30" customHeight="1">
      <c r="A2026" s="7">
        <v>2023</v>
      </c>
      <c r="B2026" s="7" t="str">
        <f>"38662022042615053239640"</f>
        <v>38662022042615053239640</v>
      </c>
      <c r="C2026" s="7" t="s">
        <v>20</v>
      </c>
      <c r="D2026" s="7" t="str">
        <f>"林雪"</f>
        <v>林雪</v>
      </c>
      <c r="E2026" s="7" t="str">
        <f t="shared" si="95"/>
        <v>女</v>
      </c>
    </row>
    <row r="2027" spans="1:5" ht="30" customHeight="1">
      <c r="A2027" s="7">
        <v>2024</v>
      </c>
      <c r="B2027" s="7" t="str">
        <f>"38662022042619204440045"</f>
        <v>38662022042619204440045</v>
      </c>
      <c r="C2027" s="7" t="s">
        <v>20</v>
      </c>
      <c r="D2027" s="7" t="str">
        <f>"许桂香"</f>
        <v>许桂香</v>
      </c>
      <c r="E2027" s="7" t="str">
        <f t="shared" si="95"/>
        <v>女</v>
      </c>
    </row>
    <row r="2028" spans="1:5" ht="30" customHeight="1">
      <c r="A2028" s="7">
        <v>2025</v>
      </c>
      <c r="B2028" s="7" t="str">
        <f>"38662022042620280040135"</f>
        <v>38662022042620280040135</v>
      </c>
      <c r="C2028" s="7" t="s">
        <v>20</v>
      </c>
      <c r="D2028" s="7" t="str">
        <f>"陈亮琼"</f>
        <v>陈亮琼</v>
      </c>
      <c r="E2028" s="7" t="str">
        <f t="shared" si="95"/>
        <v>女</v>
      </c>
    </row>
    <row r="2029" spans="1:5" ht="30" customHeight="1">
      <c r="A2029" s="7">
        <v>2026</v>
      </c>
      <c r="B2029" s="7" t="str">
        <f>"38662022042621195440228"</f>
        <v>38662022042621195440228</v>
      </c>
      <c r="C2029" s="7" t="s">
        <v>20</v>
      </c>
      <c r="D2029" s="7" t="str">
        <f>"李春凤"</f>
        <v>李春凤</v>
      </c>
      <c r="E2029" s="7" t="str">
        <f t="shared" si="95"/>
        <v>女</v>
      </c>
    </row>
    <row r="2030" spans="1:5" ht="30" customHeight="1">
      <c r="A2030" s="7">
        <v>2027</v>
      </c>
      <c r="B2030" s="7" t="str">
        <f>"38662022042621314540251"</f>
        <v>38662022042621314540251</v>
      </c>
      <c r="C2030" s="7" t="s">
        <v>20</v>
      </c>
      <c r="D2030" s="7" t="str">
        <f>"吴兴滨"</f>
        <v>吴兴滨</v>
      </c>
      <c r="E2030" s="7" t="str">
        <f>"男"</f>
        <v>男</v>
      </c>
    </row>
    <row r="2031" spans="1:5" ht="30" customHeight="1">
      <c r="A2031" s="7">
        <v>2028</v>
      </c>
      <c r="B2031" s="7" t="str">
        <f>"38662022042623104740419"</f>
        <v>38662022042623104740419</v>
      </c>
      <c r="C2031" s="7" t="s">
        <v>20</v>
      </c>
      <c r="D2031" s="7" t="str">
        <f>"关咏荷"</f>
        <v>关咏荷</v>
      </c>
      <c r="E2031" s="7" t="str">
        <f>"女"</f>
        <v>女</v>
      </c>
    </row>
    <row r="2032" spans="1:5" ht="30" customHeight="1">
      <c r="A2032" s="7">
        <v>2029</v>
      </c>
      <c r="B2032" s="7" t="str">
        <f>"38662022042623202740434"</f>
        <v>38662022042623202740434</v>
      </c>
      <c r="C2032" s="7" t="s">
        <v>20</v>
      </c>
      <c r="D2032" s="7" t="str">
        <f>"杨宇轩"</f>
        <v>杨宇轩</v>
      </c>
      <c r="E2032" s="7" t="str">
        <f>"男"</f>
        <v>男</v>
      </c>
    </row>
    <row r="2033" spans="1:5" ht="30" customHeight="1">
      <c r="A2033" s="7">
        <v>2030</v>
      </c>
      <c r="B2033" s="7" t="str">
        <f>"38662022042623350240455"</f>
        <v>38662022042623350240455</v>
      </c>
      <c r="C2033" s="7" t="s">
        <v>20</v>
      </c>
      <c r="D2033" s="7" t="str">
        <f>"卢传芬"</f>
        <v>卢传芬</v>
      </c>
      <c r="E2033" s="7" t="str">
        <f aca="true" t="shared" si="96" ref="E2033:E2041">"女"</f>
        <v>女</v>
      </c>
    </row>
    <row r="2034" spans="1:5" ht="30" customHeight="1">
      <c r="A2034" s="7">
        <v>2031</v>
      </c>
      <c r="B2034" s="7" t="str">
        <f>"38662022042707023240552"</f>
        <v>38662022042707023240552</v>
      </c>
      <c r="C2034" s="7" t="s">
        <v>20</v>
      </c>
      <c r="D2034" s="7" t="str">
        <f>"周雯静"</f>
        <v>周雯静</v>
      </c>
      <c r="E2034" s="7" t="str">
        <f t="shared" si="96"/>
        <v>女</v>
      </c>
    </row>
    <row r="2035" spans="1:5" ht="30" customHeight="1">
      <c r="A2035" s="7">
        <v>2032</v>
      </c>
      <c r="B2035" s="7" t="str">
        <f>"38662022042709154040876"</f>
        <v>38662022042709154040876</v>
      </c>
      <c r="C2035" s="7" t="s">
        <v>20</v>
      </c>
      <c r="D2035" s="7" t="str">
        <f>"沈莎"</f>
        <v>沈莎</v>
      </c>
      <c r="E2035" s="7" t="str">
        <f t="shared" si="96"/>
        <v>女</v>
      </c>
    </row>
    <row r="2036" spans="1:5" ht="30" customHeight="1">
      <c r="A2036" s="7">
        <v>2033</v>
      </c>
      <c r="B2036" s="7" t="str">
        <f>"38662022042709495941336"</f>
        <v>38662022042709495941336</v>
      </c>
      <c r="C2036" s="7" t="s">
        <v>20</v>
      </c>
      <c r="D2036" s="7" t="str">
        <f>"李丽梅"</f>
        <v>李丽梅</v>
      </c>
      <c r="E2036" s="7" t="str">
        <f t="shared" si="96"/>
        <v>女</v>
      </c>
    </row>
    <row r="2037" spans="1:5" ht="30" customHeight="1">
      <c r="A2037" s="7">
        <v>2034</v>
      </c>
      <c r="B2037" s="7" t="str">
        <f>"38662022042710471341970"</f>
        <v>38662022042710471341970</v>
      </c>
      <c r="C2037" s="7" t="s">
        <v>20</v>
      </c>
      <c r="D2037" s="7" t="str">
        <f>"梁波"</f>
        <v>梁波</v>
      </c>
      <c r="E2037" s="7" t="str">
        <f t="shared" si="96"/>
        <v>女</v>
      </c>
    </row>
    <row r="2038" spans="1:5" ht="30" customHeight="1">
      <c r="A2038" s="7">
        <v>2035</v>
      </c>
      <c r="B2038" s="7" t="str">
        <f>"38662022042712044242566"</f>
        <v>38662022042712044242566</v>
      </c>
      <c r="C2038" s="7" t="s">
        <v>20</v>
      </c>
      <c r="D2038" s="7" t="str">
        <f>"陈淑娟"</f>
        <v>陈淑娟</v>
      </c>
      <c r="E2038" s="7" t="str">
        <f t="shared" si="96"/>
        <v>女</v>
      </c>
    </row>
    <row r="2039" spans="1:5" ht="30" customHeight="1">
      <c r="A2039" s="7">
        <v>2036</v>
      </c>
      <c r="B2039" s="7" t="str">
        <f>"38662022042713445743201"</f>
        <v>38662022042713445743201</v>
      </c>
      <c r="C2039" s="7" t="s">
        <v>20</v>
      </c>
      <c r="D2039" s="7" t="str">
        <f>"黄瑰花"</f>
        <v>黄瑰花</v>
      </c>
      <c r="E2039" s="7" t="str">
        <f t="shared" si="96"/>
        <v>女</v>
      </c>
    </row>
    <row r="2040" spans="1:5" ht="30" customHeight="1">
      <c r="A2040" s="7">
        <v>2037</v>
      </c>
      <c r="B2040" s="7" t="str">
        <f>"38662022042713504943235"</f>
        <v>38662022042713504943235</v>
      </c>
      <c r="C2040" s="7" t="s">
        <v>20</v>
      </c>
      <c r="D2040" s="7" t="str">
        <f>"邝琼容"</f>
        <v>邝琼容</v>
      </c>
      <c r="E2040" s="7" t="str">
        <f t="shared" si="96"/>
        <v>女</v>
      </c>
    </row>
    <row r="2041" spans="1:5" ht="30" customHeight="1">
      <c r="A2041" s="7">
        <v>2038</v>
      </c>
      <c r="B2041" s="7" t="str">
        <f>"38662022042110094625747"</f>
        <v>38662022042110094625747</v>
      </c>
      <c r="C2041" s="7" t="s">
        <v>21</v>
      </c>
      <c r="D2041" s="7" t="str">
        <f>"黄健珠"</f>
        <v>黄健珠</v>
      </c>
      <c r="E2041" s="7" t="str">
        <f t="shared" si="96"/>
        <v>女</v>
      </c>
    </row>
    <row r="2042" spans="1:5" ht="30" customHeight="1">
      <c r="A2042" s="7">
        <v>2039</v>
      </c>
      <c r="B2042" s="7" t="str">
        <f>"38662022042110154325825"</f>
        <v>38662022042110154325825</v>
      </c>
      <c r="C2042" s="7" t="s">
        <v>21</v>
      </c>
      <c r="D2042" s="7" t="str">
        <f>"倪俊伦"</f>
        <v>倪俊伦</v>
      </c>
      <c r="E2042" s="7" t="str">
        <f>"男"</f>
        <v>男</v>
      </c>
    </row>
    <row r="2043" spans="1:5" ht="30" customHeight="1">
      <c r="A2043" s="7">
        <v>2040</v>
      </c>
      <c r="B2043" s="7" t="str">
        <f>"38662022042110183325863"</f>
        <v>38662022042110183325863</v>
      </c>
      <c r="C2043" s="7" t="s">
        <v>21</v>
      </c>
      <c r="D2043" s="7" t="str">
        <f>"梁姑美"</f>
        <v>梁姑美</v>
      </c>
      <c r="E2043" s="7" t="str">
        <f aca="true" t="shared" si="97" ref="E2043:E2075">"女"</f>
        <v>女</v>
      </c>
    </row>
    <row r="2044" spans="1:5" ht="30" customHeight="1">
      <c r="A2044" s="7">
        <v>2041</v>
      </c>
      <c r="B2044" s="7" t="str">
        <f>"38662022042110500926261"</f>
        <v>38662022042110500926261</v>
      </c>
      <c r="C2044" s="7" t="s">
        <v>21</v>
      </c>
      <c r="D2044" s="7" t="str">
        <f>"李可兰"</f>
        <v>李可兰</v>
      </c>
      <c r="E2044" s="7" t="str">
        <f t="shared" si="97"/>
        <v>女</v>
      </c>
    </row>
    <row r="2045" spans="1:5" ht="30" customHeight="1">
      <c r="A2045" s="7">
        <v>2042</v>
      </c>
      <c r="B2045" s="7" t="str">
        <f>"38662022042110523126291"</f>
        <v>38662022042110523126291</v>
      </c>
      <c r="C2045" s="7" t="s">
        <v>21</v>
      </c>
      <c r="D2045" s="7" t="str">
        <f>"吴姗"</f>
        <v>吴姗</v>
      </c>
      <c r="E2045" s="7" t="str">
        <f t="shared" si="97"/>
        <v>女</v>
      </c>
    </row>
    <row r="2046" spans="1:5" ht="30" customHeight="1">
      <c r="A2046" s="7">
        <v>2043</v>
      </c>
      <c r="B2046" s="7" t="str">
        <f>"38662022042112225827041"</f>
        <v>38662022042112225827041</v>
      </c>
      <c r="C2046" s="7" t="s">
        <v>21</v>
      </c>
      <c r="D2046" s="7" t="str">
        <f>"羊晓颖"</f>
        <v>羊晓颖</v>
      </c>
      <c r="E2046" s="7" t="str">
        <f t="shared" si="97"/>
        <v>女</v>
      </c>
    </row>
    <row r="2047" spans="1:5" ht="30" customHeight="1">
      <c r="A2047" s="7">
        <v>2044</v>
      </c>
      <c r="B2047" s="7" t="str">
        <f>"38662022042115102628055"</f>
        <v>38662022042115102628055</v>
      </c>
      <c r="C2047" s="7" t="s">
        <v>21</v>
      </c>
      <c r="D2047" s="7" t="str">
        <f>"张修娟"</f>
        <v>张修娟</v>
      </c>
      <c r="E2047" s="7" t="str">
        <f t="shared" si="97"/>
        <v>女</v>
      </c>
    </row>
    <row r="2048" spans="1:5" ht="30" customHeight="1">
      <c r="A2048" s="7">
        <v>2045</v>
      </c>
      <c r="B2048" s="7" t="str">
        <f>"38662022042116534828819"</f>
        <v>38662022042116534828819</v>
      </c>
      <c r="C2048" s="7" t="s">
        <v>21</v>
      </c>
      <c r="D2048" s="7" t="str">
        <f>"董朝咪"</f>
        <v>董朝咪</v>
      </c>
      <c r="E2048" s="7" t="str">
        <f t="shared" si="97"/>
        <v>女</v>
      </c>
    </row>
    <row r="2049" spans="1:5" ht="30" customHeight="1">
      <c r="A2049" s="7">
        <v>2046</v>
      </c>
      <c r="B2049" s="7" t="str">
        <f>"38662022042119061229476"</f>
        <v>38662022042119061229476</v>
      </c>
      <c r="C2049" s="7" t="s">
        <v>21</v>
      </c>
      <c r="D2049" s="7" t="str">
        <f>"吴文君"</f>
        <v>吴文君</v>
      </c>
      <c r="E2049" s="7" t="str">
        <f t="shared" si="97"/>
        <v>女</v>
      </c>
    </row>
    <row r="2050" spans="1:5" ht="30" customHeight="1">
      <c r="A2050" s="7">
        <v>2047</v>
      </c>
      <c r="B2050" s="7" t="str">
        <f>"38662022042121112430105"</f>
        <v>38662022042121112430105</v>
      </c>
      <c r="C2050" s="7" t="s">
        <v>21</v>
      </c>
      <c r="D2050" s="7" t="str">
        <f>"王素娇"</f>
        <v>王素娇</v>
      </c>
      <c r="E2050" s="7" t="str">
        <f t="shared" si="97"/>
        <v>女</v>
      </c>
    </row>
    <row r="2051" spans="1:5" ht="30" customHeight="1">
      <c r="A2051" s="7">
        <v>2048</v>
      </c>
      <c r="B2051" s="7" t="str">
        <f>"38662022042123460530776"</f>
        <v>38662022042123460530776</v>
      </c>
      <c r="C2051" s="7" t="s">
        <v>21</v>
      </c>
      <c r="D2051" s="7" t="str">
        <f>"李亮"</f>
        <v>李亮</v>
      </c>
      <c r="E2051" s="7" t="str">
        <f t="shared" si="97"/>
        <v>女</v>
      </c>
    </row>
    <row r="2052" spans="1:5" ht="30" customHeight="1">
      <c r="A2052" s="7">
        <v>2049</v>
      </c>
      <c r="B2052" s="7" t="str">
        <f>"38662022042209402831328"</f>
        <v>38662022042209402831328</v>
      </c>
      <c r="C2052" s="7" t="s">
        <v>21</v>
      </c>
      <c r="D2052" s="7" t="str">
        <f>"王岩"</f>
        <v>王岩</v>
      </c>
      <c r="E2052" s="7" t="str">
        <f t="shared" si="97"/>
        <v>女</v>
      </c>
    </row>
    <row r="2053" spans="1:5" ht="30" customHeight="1">
      <c r="A2053" s="7">
        <v>2050</v>
      </c>
      <c r="B2053" s="7" t="str">
        <f>"38662022042209591431426"</f>
        <v>38662022042209591431426</v>
      </c>
      <c r="C2053" s="7" t="s">
        <v>21</v>
      </c>
      <c r="D2053" s="7" t="str">
        <f>"符会蕊"</f>
        <v>符会蕊</v>
      </c>
      <c r="E2053" s="7" t="str">
        <f t="shared" si="97"/>
        <v>女</v>
      </c>
    </row>
    <row r="2054" spans="1:5" ht="30" customHeight="1">
      <c r="A2054" s="7">
        <v>2051</v>
      </c>
      <c r="B2054" s="7" t="str">
        <f>"38662022042210214231583"</f>
        <v>38662022042210214231583</v>
      </c>
      <c r="C2054" s="7" t="s">
        <v>21</v>
      </c>
      <c r="D2054" s="7" t="str">
        <f>"卢香奕"</f>
        <v>卢香奕</v>
      </c>
      <c r="E2054" s="7" t="str">
        <f t="shared" si="97"/>
        <v>女</v>
      </c>
    </row>
    <row r="2055" spans="1:5" ht="30" customHeight="1">
      <c r="A2055" s="7">
        <v>2052</v>
      </c>
      <c r="B2055" s="7" t="str">
        <f>"38662022042211125331884"</f>
        <v>38662022042211125331884</v>
      </c>
      <c r="C2055" s="7" t="s">
        <v>21</v>
      </c>
      <c r="D2055" s="7" t="str">
        <f>"孙燕花"</f>
        <v>孙燕花</v>
      </c>
      <c r="E2055" s="7" t="str">
        <f t="shared" si="97"/>
        <v>女</v>
      </c>
    </row>
    <row r="2056" spans="1:5" ht="30" customHeight="1">
      <c r="A2056" s="7">
        <v>2053</v>
      </c>
      <c r="B2056" s="7" t="str">
        <f>"38662022042213092132731"</f>
        <v>38662022042213092132731</v>
      </c>
      <c r="C2056" s="7" t="s">
        <v>21</v>
      </c>
      <c r="D2056" s="7" t="str">
        <f>"蒙巧凤"</f>
        <v>蒙巧凤</v>
      </c>
      <c r="E2056" s="7" t="str">
        <f t="shared" si="97"/>
        <v>女</v>
      </c>
    </row>
    <row r="2057" spans="1:5" ht="30" customHeight="1">
      <c r="A2057" s="7">
        <v>2054</v>
      </c>
      <c r="B2057" s="7" t="str">
        <f>"38662022042214514433115"</f>
        <v>38662022042214514433115</v>
      </c>
      <c r="C2057" s="7" t="s">
        <v>21</v>
      </c>
      <c r="D2057" s="7" t="str">
        <f>"薛秀乾"</f>
        <v>薛秀乾</v>
      </c>
      <c r="E2057" s="7" t="str">
        <f t="shared" si="97"/>
        <v>女</v>
      </c>
    </row>
    <row r="2058" spans="1:5" ht="30" customHeight="1">
      <c r="A2058" s="7">
        <v>2055</v>
      </c>
      <c r="B2058" s="7" t="str">
        <f>"38662022042219433534439"</f>
        <v>38662022042219433534439</v>
      </c>
      <c r="C2058" s="7" t="s">
        <v>21</v>
      </c>
      <c r="D2058" s="7" t="str">
        <f>"陈新"</f>
        <v>陈新</v>
      </c>
      <c r="E2058" s="7" t="str">
        <f t="shared" si="97"/>
        <v>女</v>
      </c>
    </row>
    <row r="2059" spans="1:5" ht="30" customHeight="1">
      <c r="A2059" s="7">
        <v>2056</v>
      </c>
      <c r="B2059" s="7" t="str">
        <f>"38662022042221105534596"</f>
        <v>38662022042221105534596</v>
      </c>
      <c r="C2059" s="7" t="s">
        <v>21</v>
      </c>
      <c r="D2059" s="7" t="str">
        <f>"蔡石翠"</f>
        <v>蔡石翠</v>
      </c>
      <c r="E2059" s="7" t="str">
        <f t="shared" si="97"/>
        <v>女</v>
      </c>
    </row>
    <row r="2060" spans="1:5" ht="30" customHeight="1">
      <c r="A2060" s="7">
        <v>2057</v>
      </c>
      <c r="B2060" s="7" t="str">
        <f>"38662022042221373134647"</f>
        <v>38662022042221373134647</v>
      </c>
      <c r="C2060" s="7" t="s">
        <v>21</v>
      </c>
      <c r="D2060" s="7" t="str">
        <f>"吴程燕"</f>
        <v>吴程燕</v>
      </c>
      <c r="E2060" s="7" t="str">
        <f t="shared" si="97"/>
        <v>女</v>
      </c>
    </row>
    <row r="2061" spans="1:5" ht="30" customHeight="1">
      <c r="A2061" s="7">
        <v>2058</v>
      </c>
      <c r="B2061" s="7" t="str">
        <f>"38662022042307334134885"</f>
        <v>38662022042307334134885</v>
      </c>
      <c r="C2061" s="7" t="s">
        <v>21</v>
      </c>
      <c r="D2061" s="7" t="str">
        <f>"张玉柳"</f>
        <v>张玉柳</v>
      </c>
      <c r="E2061" s="7" t="str">
        <f t="shared" si="97"/>
        <v>女</v>
      </c>
    </row>
    <row r="2062" spans="1:5" ht="30" customHeight="1">
      <c r="A2062" s="7">
        <v>2059</v>
      </c>
      <c r="B2062" s="7" t="str">
        <f>"38662022042308572434927"</f>
        <v>38662022042308572434927</v>
      </c>
      <c r="C2062" s="7" t="s">
        <v>21</v>
      </c>
      <c r="D2062" s="7" t="str">
        <f>"王壮燕 "</f>
        <v>王壮燕 </v>
      </c>
      <c r="E2062" s="7" t="str">
        <f t="shared" si="97"/>
        <v>女</v>
      </c>
    </row>
    <row r="2063" spans="1:5" ht="30" customHeight="1">
      <c r="A2063" s="7">
        <v>2060</v>
      </c>
      <c r="B2063" s="7" t="str">
        <f>"38662022042309534634992"</f>
        <v>38662022042309534634992</v>
      </c>
      <c r="C2063" s="7" t="s">
        <v>21</v>
      </c>
      <c r="D2063" s="7" t="str">
        <f>"郑萍"</f>
        <v>郑萍</v>
      </c>
      <c r="E2063" s="7" t="str">
        <f t="shared" si="97"/>
        <v>女</v>
      </c>
    </row>
    <row r="2064" spans="1:5" ht="30" customHeight="1">
      <c r="A2064" s="7">
        <v>2061</v>
      </c>
      <c r="B2064" s="7" t="str">
        <f>"38662022042311200935108"</f>
        <v>38662022042311200935108</v>
      </c>
      <c r="C2064" s="7" t="s">
        <v>21</v>
      </c>
      <c r="D2064" s="7" t="str">
        <f>"王若玮"</f>
        <v>王若玮</v>
      </c>
      <c r="E2064" s="7" t="str">
        <f t="shared" si="97"/>
        <v>女</v>
      </c>
    </row>
    <row r="2065" spans="1:5" ht="30" customHeight="1">
      <c r="A2065" s="7">
        <v>2062</v>
      </c>
      <c r="B2065" s="7" t="str">
        <f>"38662022042313031935242"</f>
        <v>38662022042313031935242</v>
      </c>
      <c r="C2065" s="7" t="s">
        <v>21</v>
      </c>
      <c r="D2065" s="7" t="str">
        <f>"许勤"</f>
        <v>许勤</v>
      </c>
      <c r="E2065" s="7" t="str">
        <f t="shared" si="97"/>
        <v>女</v>
      </c>
    </row>
    <row r="2066" spans="1:5" ht="30" customHeight="1">
      <c r="A2066" s="7">
        <v>2063</v>
      </c>
      <c r="B2066" s="7" t="str">
        <f>"38662022042315140035397"</f>
        <v>38662022042315140035397</v>
      </c>
      <c r="C2066" s="7" t="s">
        <v>21</v>
      </c>
      <c r="D2066" s="7" t="str">
        <f>"李清"</f>
        <v>李清</v>
      </c>
      <c r="E2066" s="7" t="str">
        <f t="shared" si="97"/>
        <v>女</v>
      </c>
    </row>
    <row r="2067" spans="1:5" ht="30" customHeight="1">
      <c r="A2067" s="7">
        <v>2064</v>
      </c>
      <c r="B2067" s="7" t="str">
        <f>"38662022042319080635680"</f>
        <v>38662022042319080635680</v>
      </c>
      <c r="C2067" s="7" t="s">
        <v>21</v>
      </c>
      <c r="D2067" s="7" t="str">
        <f>"吴丁佳"</f>
        <v>吴丁佳</v>
      </c>
      <c r="E2067" s="7" t="str">
        <f t="shared" si="97"/>
        <v>女</v>
      </c>
    </row>
    <row r="2068" spans="1:5" ht="30" customHeight="1">
      <c r="A2068" s="7">
        <v>2065</v>
      </c>
      <c r="B2068" s="7" t="str">
        <f>"38662022042410170436405"</f>
        <v>38662022042410170436405</v>
      </c>
      <c r="C2068" s="7" t="s">
        <v>21</v>
      </c>
      <c r="D2068" s="7" t="str">
        <f>"王丽"</f>
        <v>王丽</v>
      </c>
      <c r="E2068" s="7" t="str">
        <f t="shared" si="97"/>
        <v>女</v>
      </c>
    </row>
    <row r="2069" spans="1:5" ht="30" customHeight="1">
      <c r="A2069" s="7">
        <v>2066</v>
      </c>
      <c r="B2069" s="7" t="str">
        <f>"38662022042411215536524"</f>
        <v>38662022042411215536524</v>
      </c>
      <c r="C2069" s="7" t="s">
        <v>21</v>
      </c>
      <c r="D2069" s="7" t="str">
        <f>"唐利利"</f>
        <v>唐利利</v>
      </c>
      <c r="E2069" s="7" t="str">
        <f t="shared" si="97"/>
        <v>女</v>
      </c>
    </row>
    <row r="2070" spans="1:5" ht="30" customHeight="1">
      <c r="A2070" s="7">
        <v>2067</v>
      </c>
      <c r="B2070" s="7" t="str">
        <f>"38662022042412452136670"</f>
        <v>38662022042412452136670</v>
      </c>
      <c r="C2070" s="7" t="s">
        <v>21</v>
      </c>
      <c r="D2070" s="7" t="str">
        <f>"周燕娇"</f>
        <v>周燕娇</v>
      </c>
      <c r="E2070" s="7" t="str">
        <f t="shared" si="97"/>
        <v>女</v>
      </c>
    </row>
    <row r="2071" spans="1:5" ht="30" customHeight="1">
      <c r="A2071" s="7">
        <v>2068</v>
      </c>
      <c r="B2071" s="7" t="str">
        <f>"38662022042508314537826"</f>
        <v>38662022042508314537826</v>
      </c>
      <c r="C2071" s="7" t="s">
        <v>21</v>
      </c>
      <c r="D2071" s="7" t="str">
        <f>"赵民英"</f>
        <v>赵民英</v>
      </c>
      <c r="E2071" s="7" t="str">
        <f t="shared" si="97"/>
        <v>女</v>
      </c>
    </row>
    <row r="2072" spans="1:5" ht="30" customHeight="1">
      <c r="A2072" s="7">
        <v>2069</v>
      </c>
      <c r="B2072" s="7" t="str">
        <f>"38662022042515210038369"</f>
        <v>38662022042515210038369</v>
      </c>
      <c r="C2072" s="7" t="s">
        <v>21</v>
      </c>
      <c r="D2072" s="7" t="str">
        <f>"叶春伶"</f>
        <v>叶春伶</v>
      </c>
      <c r="E2072" s="7" t="str">
        <f t="shared" si="97"/>
        <v>女</v>
      </c>
    </row>
    <row r="2073" spans="1:5" ht="30" customHeight="1">
      <c r="A2073" s="7">
        <v>2070</v>
      </c>
      <c r="B2073" s="7" t="str">
        <f>"38662022042518184938629"</f>
        <v>38662022042518184938629</v>
      </c>
      <c r="C2073" s="7" t="s">
        <v>21</v>
      </c>
      <c r="D2073" s="7" t="str">
        <f>"龙雨萌"</f>
        <v>龙雨萌</v>
      </c>
      <c r="E2073" s="7" t="str">
        <f t="shared" si="97"/>
        <v>女</v>
      </c>
    </row>
    <row r="2074" spans="1:5" ht="30" customHeight="1">
      <c r="A2074" s="7">
        <v>2071</v>
      </c>
      <c r="B2074" s="7" t="str">
        <f>"38662022042520372938790"</f>
        <v>38662022042520372938790</v>
      </c>
      <c r="C2074" s="7" t="s">
        <v>21</v>
      </c>
      <c r="D2074" s="7" t="str">
        <f>"周海英"</f>
        <v>周海英</v>
      </c>
      <c r="E2074" s="7" t="str">
        <f t="shared" si="97"/>
        <v>女</v>
      </c>
    </row>
    <row r="2075" spans="1:5" ht="30" customHeight="1">
      <c r="A2075" s="7">
        <v>2072</v>
      </c>
      <c r="B2075" s="7" t="str">
        <f>"38662022042617304439918"</f>
        <v>38662022042617304439918</v>
      </c>
      <c r="C2075" s="7" t="s">
        <v>21</v>
      </c>
      <c r="D2075" s="7" t="str">
        <f>"陈梅平"</f>
        <v>陈梅平</v>
      </c>
      <c r="E2075" s="7" t="str">
        <f t="shared" si="97"/>
        <v>女</v>
      </c>
    </row>
    <row r="2076" spans="1:5" ht="30" customHeight="1">
      <c r="A2076" s="7">
        <v>2073</v>
      </c>
      <c r="B2076" s="7" t="str">
        <f>"38662022042617560639945"</f>
        <v>38662022042617560639945</v>
      </c>
      <c r="C2076" s="7" t="s">
        <v>21</v>
      </c>
      <c r="D2076" s="7" t="str">
        <f>"王柏智"</f>
        <v>王柏智</v>
      </c>
      <c r="E2076" s="7" t="str">
        <f>"男"</f>
        <v>男</v>
      </c>
    </row>
    <row r="2077" spans="1:5" ht="30" customHeight="1">
      <c r="A2077" s="7">
        <v>2074</v>
      </c>
      <c r="B2077" s="7" t="str">
        <f>"38662022042623383740461"</f>
        <v>38662022042623383740461</v>
      </c>
      <c r="C2077" s="7" t="s">
        <v>21</v>
      </c>
      <c r="D2077" s="7" t="str">
        <f>"陈颖"</f>
        <v>陈颖</v>
      </c>
      <c r="E2077" s="7" t="str">
        <f>"女"</f>
        <v>女</v>
      </c>
    </row>
    <row r="2078" spans="1:5" ht="30" customHeight="1">
      <c r="A2078" s="7">
        <v>2075</v>
      </c>
      <c r="B2078" s="7" t="str">
        <f>"38662022042708071940581"</f>
        <v>38662022042708071940581</v>
      </c>
      <c r="C2078" s="7" t="s">
        <v>21</v>
      </c>
      <c r="D2078" s="7" t="str">
        <f>"杨敏"</f>
        <v>杨敏</v>
      </c>
      <c r="E2078" s="7" t="str">
        <f>"女"</f>
        <v>女</v>
      </c>
    </row>
    <row r="2079" spans="1:5" ht="30" customHeight="1">
      <c r="A2079" s="7">
        <v>2076</v>
      </c>
      <c r="B2079" s="7" t="str">
        <f>"38662022042712391942783"</f>
        <v>38662022042712391942783</v>
      </c>
      <c r="C2079" s="7" t="s">
        <v>21</v>
      </c>
      <c r="D2079" s="7" t="str">
        <f>"王凤"</f>
        <v>王凤</v>
      </c>
      <c r="E2079" s="7" t="str">
        <f>"女"</f>
        <v>女</v>
      </c>
    </row>
    <row r="2080" spans="1:5" ht="30" customHeight="1">
      <c r="A2080" s="7">
        <v>2077</v>
      </c>
      <c r="B2080" s="7" t="str">
        <f>"38662022042713045742955"</f>
        <v>38662022042713045742955</v>
      </c>
      <c r="C2080" s="7" t="s">
        <v>21</v>
      </c>
      <c r="D2080" s="7" t="str">
        <f>"林榆人"</f>
        <v>林榆人</v>
      </c>
      <c r="E2080" s="7" t="str">
        <f>"男"</f>
        <v>男</v>
      </c>
    </row>
    <row r="2081" spans="1:5" ht="30" customHeight="1">
      <c r="A2081" s="7">
        <v>2078</v>
      </c>
      <c r="B2081" s="7" t="str">
        <f>"38662022042110325026053"</f>
        <v>38662022042110325026053</v>
      </c>
      <c r="C2081" s="7" t="s">
        <v>22</v>
      </c>
      <c r="D2081" s="7" t="str">
        <f>"蔡玉玲"</f>
        <v>蔡玉玲</v>
      </c>
      <c r="E2081" s="7" t="str">
        <f>"女"</f>
        <v>女</v>
      </c>
    </row>
    <row r="2082" spans="1:5" ht="30" customHeight="1">
      <c r="A2082" s="7">
        <v>2079</v>
      </c>
      <c r="B2082" s="7" t="str">
        <f>"38662022042119023629462"</f>
        <v>38662022042119023629462</v>
      </c>
      <c r="C2082" s="7" t="s">
        <v>22</v>
      </c>
      <c r="D2082" s="7" t="str">
        <f>"黎焕堂"</f>
        <v>黎焕堂</v>
      </c>
      <c r="E2082" s="7" t="str">
        <f>"男"</f>
        <v>男</v>
      </c>
    </row>
    <row r="2083" spans="1:5" ht="30" customHeight="1">
      <c r="A2083" s="7">
        <v>2080</v>
      </c>
      <c r="B2083" s="7" t="str">
        <f>"38662022042119331929605"</f>
        <v>38662022042119331929605</v>
      </c>
      <c r="C2083" s="7" t="s">
        <v>22</v>
      </c>
      <c r="D2083" s="7" t="str">
        <f>"王素华"</f>
        <v>王素华</v>
      </c>
      <c r="E2083" s="7" t="str">
        <f>"女"</f>
        <v>女</v>
      </c>
    </row>
    <row r="2084" spans="1:5" ht="30" customHeight="1">
      <c r="A2084" s="7">
        <v>2081</v>
      </c>
      <c r="B2084" s="7" t="str">
        <f>"38662022042210423131707"</f>
        <v>38662022042210423131707</v>
      </c>
      <c r="C2084" s="7" t="s">
        <v>22</v>
      </c>
      <c r="D2084" s="7" t="str">
        <f>"吴彬"</f>
        <v>吴彬</v>
      </c>
      <c r="E2084" s="7" t="str">
        <f>"男"</f>
        <v>男</v>
      </c>
    </row>
    <row r="2085" spans="1:5" ht="30" customHeight="1">
      <c r="A2085" s="7">
        <v>2082</v>
      </c>
      <c r="B2085" s="7" t="str">
        <f>"38662022042321032135840"</f>
        <v>38662022042321032135840</v>
      </c>
      <c r="C2085" s="7" t="s">
        <v>22</v>
      </c>
      <c r="D2085" s="7" t="str">
        <f>"吴倩"</f>
        <v>吴倩</v>
      </c>
      <c r="E2085" s="7" t="str">
        <f>"女"</f>
        <v>女</v>
      </c>
    </row>
    <row r="2086" spans="1:5" ht="30" customHeight="1">
      <c r="A2086" s="7">
        <v>2083</v>
      </c>
      <c r="B2086" s="7" t="str">
        <f>"38662022042619231940048"</f>
        <v>38662022042619231940048</v>
      </c>
      <c r="C2086" s="7" t="s">
        <v>22</v>
      </c>
      <c r="D2086" s="7" t="str">
        <f>"文雅丽"</f>
        <v>文雅丽</v>
      </c>
      <c r="E2086" s="7" t="str">
        <f>"女"</f>
        <v>女</v>
      </c>
    </row>
    <row r="2087" spans="1:5" ht="30" customHeight="1">
      <c r="A2087" s="7">
        <v>2084</v>
      </c>
      <c r="B2087" s="7" t="str">
        <f>"38662022042716254944160"</f>
        <v>38662022042716254944160</v>
      </c>
      <c r="C2087" s="7" t="s">
        <v>22</v>
      </c>
      <c r="D2087" s="7" t="str">
        <f>"陈莹"</f>
        <v>陈莹</v>
      </c>
      <c r="E2087" s="7" t="str">
        <f>"女"</f>
        <v>女</v>
      </c>
    </row>
    <row r="2088" spans="1:5" ht="30" customHeight="1">
      <c r="A2088" s="7">
        <v>2085</v>
      </c>
      <c r="B2088" s="7" t="str">
        <f>"38662022042109112625022"</f>
        <v>38662022042109112625022</v>
      </c>
      <c r="C2088" s="7" t="s">
        <v>23</v>
      </c>
      <c r="D2088" s="7" t="str">
        <f>"张秀卷"</f>
        <v>张秀卷</v>
      </c>
      <c r="E2088" s="7" t="str">
        <f>"男"</f>
        <v>男</v>
      </c>
    </row>
    <row r="2089" spans="1:5" ht="30" customHeight="1">
      <c r="A2089" s="7">
        <v>2086</v>
      </c>
      <c r="B2089" s="7" t="str">
        <f>"38662022042109291925229"</f>
        <v>38662022042109291925229</v>
      </c>
      <c r="C2089" s="7" t="s">
        <v>23</v>
      </c>
      <c r="D2089" s="7" t="str">
        <f>"布东"</f>
        <v>布东</v>
      </c>
      <c r="E2089" s="7" t="str">
        <f>"男"</f>
        <v>男</v>
      </c>
    </row>
    <row r="2090" spans="1:5" ht="30" customHeight="1">
      <c r="A2090" s="7">
        <v>2087</v>
      </c>
      <c r="B2090" s="7" t="str">
        <f>"38662022042109364325325"</f>
        <v>38662022042109364325325</v>
      </c>
      <c r="C2090" s="7" t="s">
        <v>23</v>
      </c>
      <c r="D2090" s="7" t="str">
        <f>"赵爱菊"</f>
        <v>赵爱菊</v>
      </c>
      <c r="E2090" s="7" t="str">
        <f>"女"</f>
        <v>女</v>
      </c>
    </row>
    <row r="2091" spans="1:5" ht="30" customHeight="1">
      <c r="A2091" s="7">
        <v>2088</v>
      </c>
      <c r="B2091" s="7" t="str">
        <f>"38662022042111241426594"</f>
        <v>38662022042111241426594</v>
      </c>
      <c r="C2091" s="7" t="s">
        <v>23</v>
      </c>
      <c r="D2091" s="7" t="str">
        <f>"曾锋"</f>
        <v>曾锋</v>
      </c>
      <c r="E2091" s="7" t="str">
        <f>"男"</f>
        <v>男</v>
      </c>
    </row>
    <row r="2092" spans="1:5" ht="30" customHeight="1">
      <c r="A2092" s="7">
        <v>2089</v>
      </c>
      <c r="B2092" s="7" t="str">
        <f>"38662022042112171027000"</f>
        <v>38662022042112171027000</v>
      </c>
      <c r="C2092" s="7" t="s">
        <v>23</v>
      </c>
      <c r="D2092" s="7" t="str">
        <f>"连灼壁"</f>
        <v>连灼壁</v>
      </c>
      <c r="E2092" s="7" t="str">
        <f>"男"</f>
        <v>男</v>
      </c>
    </row>
    <row r="2093" spans="1:5" ht="30" customHeight="1">
      <c r="A2093" s="7">
        <v>2090</v>
      </c>
      <c r="B2093" s="7" t="str">
        <f>"38662022042113160827369"</f>
        <v>38662022042113160827369</v>
      </c>
      <c r="C2093" s="7" t="s">
        <v>23</v>
      </c>
      <c r="D2093" s="7" t="str">
        <f>"符秋丽"</f>
        <v>符秋丽</v>
      </c>
      <c r="E2093" s="7" t="str">
        <f>"女"</f>
        <v>女</v>
      </c>
    </row>
    <row r="2094" spans="1:5" ht="30" customHeight="1">
      <c r="A2094" s="7">
        <v>2091</v>
      </c>
      <c r="B2094" s="7" t="str">
        <f>"38662022042117560629182"</f>
        <v>38662022042117560629182</v>
      </c>
      <c r="C2094" s="7" t="s">
        <v>23</v>
      </c>
      <c r="D2094" s="7" t="str">
        <f>"张雨芳"</f>
        <v>张雨芳</v>
      </c>
      <c r="E2094" s="7" t="str">
        <f>"女"</f>
        <v>女</v>
      </c>
    </row>
    <row r="2095" spans="1:5" ht="30" customHeight="1">
      <c r="A2095" s="7">
        <v>2092</v>
      </c>
      <c r="B2095" s="7" t="str">
        <f>"38662022042119034129469"</f>
        <v>38662022042119034129469</v>
      </c>
      <c r="C2095" s="7" t="s">
        <v>23</v>
      </c>
      <c r="D2095" s="7" t="str">
        <f>"王茜"</f>
        <v>王茜</v>
      </c>
      <c r="E2095" s="7" t="str">
        <f>"女"</f>
        <v>女</v>
      </c>
    </row>
    <row r="2096" spans="1:5" ht="30" customHeight="1">
      <c r="A2096" s="7">
        <v>2093</v>
      </c>
      <c r="B2096" s="7" t="str">
        <f>"38662022042119500429673"</f>
        <v>38662022042119500429673</v>
      </c>
      <c r="C2096" s="7" t="s">
        <v>23</v>
      </c>
      <c r="D2096" s="7" t="str">
        <f>"吴啟军"</f>
        <v>吴啟军</v>
      </c>
      <c r="E2096" s="7" t="str">
        <f>"男"</f>
        <v>男</v>
      </c>
    </row>
    <row r="2097" spans="1:5" ht="30" customHeight="1">
      <c r="A2097" s="7">
        <v>2094</v>
      </c>
      <c r="B2097" s="7" t="str">
        <f>"38662022042120403829931"</f>
        <v>38662022042120403829931</v>
      </c>
      <c r="C2097" s="7" t="s">
        <v>23</v>
      </c>
      <c r="D2097" s="7" t="str">
        <f>"何民丹"</f>
        <v>何民丹</v>
      </c>
      <c r="E2097" s="7" t="str">
        <f>"女"</f>
        <v>女</v>
      </c>
    </row>
    <row r="2098" spans="1:5" ht="30" customHeight="1">
      <c r="A2098" s="7">
        <v>2095</v>
      </c>
      <c r="B2098" s="7" t="str">
        <f>"38662022042122153230443"</f>
        <v>38662022042122153230443</v>
      </c>
      <c r="C2098" s="7" t="s">
        <v>23</v>
      </c>
      <c r="D2098" s="7" t="str">
        <f>"李恒"</f>
        <v>李恒</v>
      </c>
      <c r="E2098" s="7" t="str">
        <f>"男"</f>
        <v>男</v>
      </c>
    </row>
    <row r="2099" spans="1:5" ht="30" customHeight="1">
      <c r="A2099" s="7">
        <v>2096</v>
      </c>
      <c r="B2099" s="7" t="str">
        <f>"38662022042122321430515"</f>
        <v>38662022042122321430515</v>
      </c>
      <c r="C2099" s="7" t="s">
        <v>23</v>
      </c>
      <c r="D2099" s="7" t="str">
        <f>"黎倩曼"</f>
        <v>黎倩曼</v>
      </c>
      <c r="E2099" s="7" t="str">
        <f aca="true" t="shared" si="98" ref="E2099:E2110">"女"</f>
        <v>女</v>
      </c>
    </row>
    <row r="2100" spans="1:5" ht="30" customHeight="1">
      <c r="A2100" s="7">
        <v>2097</v>
      </c>
      <c r="B2100" s="7" t="str">
        <f>"38662022042122443930574"</f>
        <v>38662022042122443930574</v>
      </c>
      <c r="C2100" s="7" t="s">
        <v>23</v>
      </c>
      <c r="D2100" s="7" t="str">
        <f>"陈柯文"</f>
        <v>陈柯文</v>
      </c>
      <c r="E2100" s="7" t="str">
        <f t="shared" si="98"/>
        <v>女</v>
      </c>
    </row>
    <row r="2101" spans="1:5" ht="30" customHeight="1">
      <c r="A2101" s="7">
        <v>2098</v>
      </c>
      <c r="B2101" s="7" t="str">
        <f>"38662022042207103830904"</f>
        <v>38662022042207103830904</v>
      </c>
      <c r="C2101" s="7" t="s">
        <v>23</v>
      </c>
      <c r="D2101" s="7" t="str">
        <f>"莫俊静"</f>
        <v>莫俊静</v>
      </c>
      <c r="E2101" s="7" t="str">
        <f t="shared" si="98"/>
        <v>女</v>
      </c>
    </row>
    <row r="2102" spans="1:5" ht="30" customHeight="1">
      <c r="A2102" s="7">
        <v>2099</v>
      </c>
      <c r="B2102" s="7" t="str">
        <f>"38662022042209214631227"</f>
        <v>38662022042209214631227</v>
      </c>
      <c r="C2102" s="7" t="s">
        <v>23</v>
      </c>
      <c r="D2102" s="7" t="str">
        <f>"符慧接"</f>
        <v>符慧接</v>
      </c>
      <c r="E2102" s="7" t="str">
        <f t="shared" si="98"/>
        <v>女</v>
      </c>
    </row>
    <row r="2103" spans="1:5" ht="30" customHeight="1">
      <c r="A2103" s="7">
        <v>2100</v>
      </c>
      <c r="B2103" s="7" t="str">
        <f>"38662022042210274131619"</f>
        <v>38662022042210274131619</v>
      </c>
      <c r="C2103" s="7" t="s">
        <v>23</v>
      </c>
      <c r="D2103" s="7" t="str">
        <f>"王丽燕"</f>
        <v>王丽燕</v>
      </c>
      <c r="E2103" s="7" t="str">
        <f t="shared" si="98"/>
        <v>女</v>
      </c>
    </row>
    <row r="2104" spans="1:5" ht="30" customHeight="1">
      <c r="A2104" s="7">
        <v>2101</v>
      </c>
      <c r="B2104" s="7" t="str">
        <f>"38662022042210413531700"</f>
        <v>38662022042210413531700</v>
      </c>
      <c r="C2104" s="7" t="s">
        <v>23</v>
      </c>
      <c r="D2104" s="7" t="str">
        <f>"刘杨"</f>
        <v>刘杨</v>
      </c>
      <c r="E2104" s="7" t="str">
        <f t="shared" si="98"/>
        <v>女</v>
      </c>
    </row>
    <row r="2105" spans="1:5" ht="30" customHeight="1">
      <c r="A2105" s="7">
        <v>2102</v>
      </c>
      <c r="B2105" s="7" t="str">
        <f>"38662022042210470831742"</f>
        <v>38662022042210470831742</v>
      </c>
      <c r="C2105" s="7" t="s">
        <v>23</v>
      </c>
      <c r="D2105" s="7" t="str">
        <f>"郑霞霞"</f>
        <v>郑霞霞</v>
      </c>
      <c r="E2105" s="7" t="str">
        <f t="shared" si="98"/>
        <v>女</v>
      </c>
    </row>
    <row r="2106" spans="1:5" ht="30" customHeight="1">
      <c r="A2106" s="7">
        <v>2103</v>
      </c>
      <c r="B2106" s="7" t="str">
        <f>"38662022042211203532101"</f>
        <v>38662022042211203532101</v>
      </c>
      <c r="C2106" s="7" t="s">
        <v>23</v>
      </c>
      <c r="D2106" s="7" t="str">
        <f>"李永爱"</f>
        <v>李永爱</v>
      </c>
      <c r="E2106" s="7" t="str">
        <f t="shared" si="98"/>
        <v>女</v>
      </c>
    </row>
    <row r="2107" spans="1:5" ht="30" customHeight="1">
      <c r="A2107" s="7">
        <v>2104</v>
      </c>
      <c r="B2107" s="7" t="str">
        <f>"38662022042214395933063"</f>
        <v>38662022042214395933063</v>
      </c>
      <c r="C2107" s="7" t="s">
        <v>23</v>
      </c>
      <c r="D2107" s="7" t="str">
        <f>"陈韵歆"</f>
        <v>陈韵歆</v>
      </c>
      <c r="E2107" s="7" t="str">
        <f t="shared" si="98"/>
        <v>女</v>
      </c>
    </row>
    <row r="2108" spans="1:5" ht="30" customHeight="1">
      <c r="A2108" s="7">
        <v>2105</v>
      </c>
      <c r="B2108" s="7" t="str">
        <f>"38662022042216462233837"</f>
        <v>38662022042216462233837</v>
      </c>
      <c r="C2108" s="7" t="s">
        <v>23</v>
      </c>
      <c r="D2108" s="7" t="str">
        <f>"董敏玲"</f>
        <v>董敏玲</v>
      </c>
      <c r="E2108" s="7" t="str">
        <f t="shared" si="98"/>
        <v>女</v>
      </c>
    </row>
    <row r="2109" spans="1:5" ht="30" customHeight="1">
      <c r="A2109" s="7">
        <v>2106</v>
      </c>
      <c r="B2109" s="7" t="str">
        <f>"38662022042217505534174"</f>
        <v>38662022042217505534174</v>
      </c>
      <c r="C2109" s="7" t="s">
        <v>23</v>
      </c>
      <c r="D2109" s="7" t="str">
        <f>"文娇芳"</f>
        <v>文娇芳</v>
      </c>
      <c r="E2109" s="7" t="str">
        <f t="shared" si="98"/>
        <v>女</v>
      </c>
    </row>
    <row r="2110" spans="1:5" ht="30" customHeight="1">
      <c r="A2110" s="7">
        <v>2107</v>
      </c>
      <c r="B2110" s="7" t="str">
        <f>"38662022042219455434446"</f>
        <v>38662022042219455434446</v>
      </c>
      <c r="C2110" s="7" t="s">
        <v>23</v>
      </c>
      <c r="D2110" s="7" t="str">
        <f>"陈木川"</f>
        <v>陈木川</v>
      </c>
      <c r="E2110" s="7" t="str">
        <f t="shared" si="98"/>
        <v>女</v>
      </c>
    </row>
    <row r="2111" spans="1:5" ht="30" customHeight="1">
      <c r="A2111" s="7">
        <v>2108</v>
      </c>
      <c r="B2111" s="7" t="str">
        <f>"38662022042223232334811"</f>
        <v>38662022042223232334811</v>
      </c>
      <c r="C2111" s="7" t="s">
        <v>23</v>
      </c>
      <c r="D2111" s="7" t="str">
        <f>"曾舜文"</f>
        <v>曾舜文</v>
      </c>
      <c r="E2111" s="7" t="str">
        <f>"男"</f>
        <v>男</v>
      </c>
    </row>
    <row r="2112" spans="1:5" ht="30" customHeight="1">
      <c r="A2112" s="7">
        <v>2109</v>
      </c>
      <c r="B2112" s="7" t="str">
        <f>"38662022042320260335772"</f>
        <v>38662022042320260335772</v>
      </c>
      <c r="C2112" s="7" t="s">
        <v>23</v>
      </c>
      <c r="D2112" s="7" t="str">
        <f>"陈丽芳"</f>
        <v>陈丽芳</v>
      </c>
      <c r="E2112" s="7" t="str">
        <f aca="true" t="shared" si="99" ref="E2112:E2118">"女"</f>
        <v>女</v>
      </c>
    </row>
    <row r="2113" spans="1:5" ht="30" customHeight="1">
      <c r="A2113" s="7">
        <v>2110</v>
      </c>
      <c r="B2113" s="7" t="str">
        <f>"38662022042321541635930"</f>
        <v>38662022042321541635930</v>
      </c>
      <c r="C2113" s="7" t="s">
        <v>23</v>
      </c>
      <c r="D2113" s="7" t="str">
        <f>"苏霞"</f>
        <v>苏霞</v>
      </c>
      <c r="E2113" s="7" t="str">
        <f t="shared" si="99"/>
        <v>女</v>
      </c>
    </row>
    <row r="2114" spans="1:5" ht="30" customHeight="1">
      <c r="A2114" s="7">
        <v>2111</v>
      </c>
      <c r="B2114" s="7" t="str">
        <f>"38662022042322030235940"</f>
        <v>38662022042322030235940</v>
      </c>
      <c r="C2114" s="7" t="s">
        <v>23</v>
      </c>
      <c r="D2114" s="7" t="str">
        <f>"郑燕玲"</f>
        <v>郑燕玲</v>
      </c>
      <c r="E2114" s="7" t="str">
        <f t="shared" si="99"/>
        <v>女</v>
      </c>
    </row>
    <row r="2115" spans="1:5" ht="30" customHeight="1">
      <c r="A2115" s="7">
        <v>2112</v>
      </c>
      <c r="B2115" s="7" t="str">
        <f>"38662022042408331236188"</f>
        <v>38662022042408331236188</v>
      </c>
      <c r="C2115" s="7" t="s">
        <v>23</v>
      </c>
      <c r="D2115" s="7" t="str">
        <f>"麦丽翠"</f>
        <v>麦丽翠</v>
      </c>
      <c r="E2115" s="7" t="str">
        <f t="shared" si="99"/>
        <v>女</v>
      </c>
    </row>
    <row r="2116" spans="1:5" ht="30" customHeight="1">
      <c r="A2116" s="7">
        <v>2113</v>
      </c>
      <c r="B2116" s="7" t="str">
        <f>"38662022042408410636199"</f>
        <v>38662022042408410636199</v>
      </c>
      <c r="C2116" s="7" t="s">
        <v>23</v>
      </c>
      <c r="D2116" s="7" t="str">
        <f>"邓华清"</f>
        <v>邓华清</v>
      </c>
      <c r="E2116" s="7" t="str">
        <f t="shared" si="99"/>
        <v>女</v>
      </c>
    </row>
    <row r="2117" spans="1:5" ht="30" customHeight="1">
      <c r="A2117" s="7">
        <v>2114</v>
      </c>
      <c r="B2117" s="7" t="str">
        <f>"38662022042409253536297"</f>
        <v>38662022042409253536297</v>
      </c>
      <c r="C2117" s="7" t="s">
        <v>23</v>
      </c>
      <c r="D2117" s="7" t="str">
        <f>"陈娇"</f>
        <v>陈娇</v>
      </c>
      <c r="E2117" s="7" t="str">
        <f t="shared" si="99"/>
        <v>女</v>
      </c>
    </row>
    <row r="2118" spans="1:5" ht="30" customHeight="1">
      <c r="A2118" s="7">
        <v>2115</v>
      </c>
      <c r="B2118" s="7" t="str">
        <f>"38662022042415362836930"</f>
        <v>38662022042415362836930</v>
      </c>
      <c r="C2118" s="7" t="s">
        <v>23</v>
      </c>
      <c r="D2118" s="7" t="str">
        <f>"王巧"</f>
        <v>王巧</v>
      </c>
      <c r="E2118" s="7" t="str">
        <f t="shared" si="99"/>
        <v>女</v>
      </c>
    </row>
    <row r="2119" spans="1:5" ht="30" customHeight="1">
      <c r="A2119" s="7">
        <v>2116</v>
      </c>
      <c r="B2119" s="7" t="str">
        <f>"38662022042422513237677"</f>
        <v>38662022042422513237677</v>
      </c>
      <c r="C2119" s="7" t="s">
        <v>23</v>
      </c>
      <c r="D2119" s="7" t="str">
        <f>"李世强"</f>
        <v>李世强</v>
      </c>
      <c r="E2119" s="7" t="str">
        <f>"男"</f>
        <v>男</v>
      </c>
    </row>
    <row r="2120" spans="1:5" ht="30" customHeight="1">
      <c r="A2120" s="7">
        <v>2117</v>
      </c>
      <c r="B2120" s="7" t="str">
        <f>"38662022042423182937717"</f>
        <v>38662022042423182937717</v>
      </c>
      <c r="C2120" s="7" t="s">
        <v>23</v>
      </c>
      <c r="D2120" s="7" t="str">
        <f>"符子娟"</f>
        <v>符子娟</v>
      </c>
      <c r="E2120" s="7" t="str">
        <f aca="true" t="shared" si="100" ref="E2120:E2125">"女"</f>
        <v>女</v>
      </c>
    </row>
    <row r="2121" spans="1:5" ht="30" customHeight="1">
      <c r="A2121" s="7">
        <v>2118</v>
      </c>
      <c r="B2121" s="7" t="str">
        <f>"38662022042511014438069"</f>
        <v>38662022042511014438069</v>
      </c>
      <c r="C2121" s="7" t="s">
        <v>23</v>
      </c>
      <c r="D2121" s="7" t="str">
        <f>"吴瑞云"</f>
        <v>吴瑞云</v>
      </c>
      <c r="E2121" s="7" t="str">
        <f t="shared" si="100"/>
        <v>女</v>
      </c>
    </row>
    <row r="2122" spans="1:5" ht="30" customHeight="1">
      <c r="A2122" s="7">
        <v>2119</v>
      </c>
      <c r="B2122" s="7" t="str">
        <f>"38662022042515111938344"</f>
        <v>38662022042515111938344</v>
      </c>
      <c r="C2122" s="7" t="s">
        <v>23</v>
      </c>
      <c r="D2122" s="7" t="str">
        <f>"欧静仪"</f>
        <v>欧静仪</v>
      </c>
      <c r="E2122" s="7" t="str">
        <f t="shared" si="100"/>
        <v>女</v>
      </c>
    </row>
    <row r="2123" spans="1:5" ht="30" customHeight="1">
      <c r="A2123" s="7">
        <v>2120</v>
      </c>
      <c r="B2123" s="7" t="str">
        <f>"38662022042515255338375"</f>
        <v>38662022042515255338375</v>
      </c>
      <c r="C2123" s="7" t="s">
        <v>23</v>
      </c>
      <c r="D2123" s="7" t="str">
        <f>"符燕"</f>
        <v>符燕</v>
      </c>
      <c r="E2123" s="7" t="str">
        <f t="shared" si="100"/>
        <v>女</v>
      </c>
    </row>
    <row r="2124" spans="1:5" ht="30" customHeight="1">
      <c r="A2124" s="7">
        <v>2121</v>
      </c>
      <c r="B2124" s="7" t="str">
        <f>"38662022042515375638403"</f>
        <v>38662022042515375638403</v>
      </c>
      <c r="C2124" s="7" t="s">
        <v>23</v>
      </c>
      <c r="D2124" s="7" t="str">
        <f>"羊翠玲"</f>
        <v>羊翠玲</v>
      </c>
      <c r="E2124" s="7" t="str">
        <f t="shared" si="100"/>
        <v>女</v>
      </c>
    </row>
    <row r="2125" spans="1:5" ht="30" customHeight="1">
      <c r="A2125" s="7">
        <v>2122</v>
      </c>
      <c r="B2125" s="7" t="str">
        <f>"38662022042520161238763"</f>
        <v>38662022042520161238763</v>
      </c>
      <c r="C2125" s="7" t="s">
        <v>23</v>
      </c>
      <c r="D2125" s="7" t="str">
        <f>"谭春旦"</f>
        <v>谭春旦</v>
      </c>
      <c r="E2125" s="7" t="str">
        <f t="shared" si="100"/>
        <v>女</v>
      </c>
    </row>
    <row r="2126" spans="1:5" ht="30" customHeight="1">
      <c r="A2126" s="7">
        <v>2123</v>
      </c>
      <c r="B2126" s="7" t="str">
        <f>"38662022042615361639707"</f>
        <v>38662022042615361639707</v>
      </c>
      <c r="C2126" s="7" t="s">
        <v>23</v>
      </c>
      <c r="D2126" s="7" t="str">
        <f>"王扬"</f>
        <v>王扬</v>
      </c>
      <c r="E2126" s="7" t="str">
        <f>"男"</f>
        <v>男</v>
      </c>
    </row>
    <row r="2127" spans="1:5" ht="30" customHeight="1">
      <c r="A2127" s="7">
        <v>2124</v>
      </c>
      <c r="B2127" s="7" t="str">
        <f>"38662022042705022940544"</f>
        <v>38662022042705022940544</v>
      </c>
      <c r="C2127" s="7" t="s">
        <v>23</v>
      </c>
      <c r="D2127" s="7" t="str">
        <f>"赵靖旸"</f>
        <v>赵靖旸</v>
      </c>
      <c r="E2127" s="7" t="str">
        <f>"男"</f>
        <v>男</v>
      </c>
    </row>
    <row r="2128" spans="1:5" ht="30" customHeight="1">
      <c r="A2128" s="7">
        <v>2125</v>
      </c>
      <c r="B2128" s="7" t="str">
        <f>"38662022042708175640589"</f>
        <v>38662022042708175640589</v>
      </c>
      <c r="C2128" s="7" t="s">
        <v>23</v>
      </c>
      <c r="D2128" s="7" t="str">
        <f>"梁秀英"</f>
        <v>梁秀英</v>
      </c>
      <c r="E2128" s="7" t="str">
        <f aca="true" t="shared" si="101" ref="E2128:E2136">"女"</f>
        <v>女</v>
      </c>
    </row>
    <row r="2129" spans="1:5" ht="30" customHeight="1">
      <c r="A2129" s="7">
        <v>2126</v>
      </c>
      <c r="B2129" s="7" t="str">
        <f>"38662022042708413340614"</f>
        <v>38662022042708413340614</v>
      </c>
      <c r="C2129" s="7" t="s">
        <v>23</v>
      </c>
      <c r="D2129" s="7" t="str">
        <f>"韩雪"</f>
        <v>韩雪</v>
      </c>
      <c r="E2129" s="7" t="str">
        <f t="shared" si="101"/>
        <v>女</v>
      </c>
    </row>
    <row r="2130" spans="1:5" ht="30" customHeight="1">
      <c r="A2130" s="7">
        <v>2127</v>
      </c>
      <c r="B2130" s="7" t="str">
        <f>"38662022042713100142990"</f>
        <v>38662022042713100142990</v>
      </c>
      <c r="C2130" s="7" t="s">
        <v>23</v>
      </c>
      <c r="D2130" s="7" t="str">
        <f>"欧瑜珍"</f>
        <v>欧瑜珍</v>
      </c>
      <c r="E2130" s="7" t="str">
        <f t="shared" si="101"/>
        <v>女</v>
      </c>
    </row>
    <row r="2131" spans="1:5" ht="30" customHeight="1">
      <c r="A2131" s="7">
        <v>2128</v>
      </c>
      <c r="B2131" s="7" t="str">
        <f>"38662022042109133125055"</f>
        <v>38662022042109133125055</v>
      </c>
      <c r="C2131" s="7" t="s">
        <v>24</v>
      </c>
      <c r="D2131" s="7" t="str">
        <f>"周凤"</f>
        <v>周凤</v>
      </c>
      <c r="E2131" s="7" t="str">
        <f t="shared" si="101"/>
        <v>女</v>
      </c>
    </row>
    <row r="2132" spans="1:5" ht="30" customHeight="1">
      <c r="A2132" s="7">
        <v>2129</v>
      </c>
      <c r="B2132" s="7" t="str">
        <f>"38662022042109222925152"</f>
        <v>38662022042109222925152</v>
      </c>
      <c r="C2132" s="7" t="s">
        <v>24</v>
      </c>
      <c r="D2132" s="7" t="str">
        <f>"马丹"</f>
        <v>马丹</v>
      </c>
      <c r="E2132" s="7" t="str">
        <f t="shared" si="101"/>
        <v>女</v>
      </c>
    </row>
    <row r="2133" spans="1:5" ht="30" customHeight="1">
      <c r="A2133" s="7">
        <v>2130</v>
      </c>
      <c r="B2133" s="7" t="str">
        <f>"38662022042109313625261"</f>
        <v>38662022042109313625261</v>
      </c>
      <c r="C2133" s="7" t="s">
        <v>24</v>
      </c>
      <c r="D2133" s="7" t="str">
        <f>"罗秀南"</f>
        <v>罗秀南</v>
      </c>
      <c r="E2133" s="7" t="str">
        <f t="shared" si="101"/>
        <v>女</v>
      </c>
    </row>
    <row r="2134" spans="1:5" ht="30" customHeight="1">
      <c r="A2134" s="7">
        <v>2131</v>
      </c>
      <c r="B2134" s="7" t="str">
        <f>"38662022042109323325272"</f>
        <v>38662022042109323325272</v>
      </c>
      <c r="C2134" s="7" t="s">
        <v>24</v>
      </c>
      <c r="D2134" s="7" t="str">
        <f>"文昌召"</f>
        <v>文昌召</v>
      </c>
      <c r="E2134" s="7" t="str">
        <f t="shared" si="101"/>
        <v>女</v>
      </c>
    </row>
    <row r="2135" spans="1:5" ht="30" customHeight="1">
      <c r="A2135" s="7">
        <v>2132</v>
      </c>
      <c r="B2135" s="7" t="str">
        <f>"38662022042110041725682"</f>
        <v>38662022042110041725682</v>
      </c>
      <c r="C2135" s="7" t="s">
        <v>24</v>
      </c>
      <c r="D2135" s="7" t="str">
        <f>"谭琼洋"</f>
        <v>谭琼洋</v>
      </c>
      <c r="E2135" s="7" t="str">
        <f t="shared" si="101"/>
        <v>女</v>
      </c>
    </row>
    <row r="2136" spans="1:5" ht="30" customHeight="1">
      <c r="A2136" s="7">
        <v>2133</v>
      </c>
      <c r="B2136" s="7" t="str">
        <f>"38662022042110042225685"</f>
        <v>38662022042110042225685</v>
      </c>
      <c r="C2136" s="7" t="s">
        <v>24</v>
      </c>
      <c r="D2136" s="7" t="str">
        <f>"吴井爱"</f>
        <v>吴井爱</v>
      </c>
      <c r="E2136" s="7" t="str">
        <f t="shared" si="101"/>
        <v>女</v>
      </c>
    </row>
    <row r="2137" spans="1:5" ht="30" customHeight="1">
      <c r="A2137" s="7">
        <v>2134</v>
      </c>
      <c r="B2137" s="7" t="str">
        <f>"38662022042110210225891"</f>
        <v>38662022042110210225891</v>
      </c>
      <c r="C2137" s="7" t="s">
        <v>24</v>
      </c>
      <c r="D2137" s="7" t="str">
        <f>"黄财庆"</f>
        <v>黄财庆</v>
      </c>
      <c r="E2137" s="7" t="str">
        <f>"男"</f>
        <v>男</v>
      </c>
    </row>
    <row r="2138" spans="1:5" ht="30" customHeight="1">
      <c r="A2138" s="7">
        <v>2135</v>
      </c>
      <c r="B2138" s="7" t="str">
        <f>"38662022042110230125919"</f>
        <v>38662022042110230125919</v>
      </c>
      <c r="C2138" s="7" t="s">
        <v>24</v>
      </c>
      <c r="D2138" s="7" t="str">
        <f>"符汉弟"</f>
        <v>符汉弟</v>
      </c>
      <c r="E2138" s="7" t="str">
        <f>"男"</f>
        <v>男</v>
      </c>
    </row>
    <row r="2139" spans="1:5" ht="30" customHeight="1">
      <c r="A2139" s="7">
        <v>2136</v>
      </c>
      <c r="B2139" s="7" t="str">
        <f>"38662022042110261925963"</f>
        <v>38662022042110261925963</v>
      </c>
      <c r="C2139" s="7" t="s">
        <v>24</v>
      </c>
      <c r="D2139" s="7" t="str">
        <f>"徐美霞"</f>
        <v>徐美霞</v>
      </c>
      <c r="E2139" s="7" t="str">
        <f aca="true" t="shared" si="102" ref="E2139:E2173">"女"</f>
        <v>女</v>
      </c>
    </row>
    <row r="2140" spans="1:5" ht="30" customHeight="1">
      <c r="A2140" s="7">
        <v>2137</v>
      </c>
      <c r="B2140" s="7" t="str">
        <f>"38662022042110285525999"</f>
        <v>38662022042110285525999</v>
      </c>
      <c r="C2140" s="7" t="s">
        <v>24</v>
      </c>
      <c r="D2140" s="7" t="str">
        <f>"谢继梅"</f>
        <v>谢继梅</v>
      </c>
      <c r="E2140" s="7" t="str">
        <f t="shared" si="102"/>
        <v>女</v>
      </c>
    </row>
    <row r="2141" spans="1:5" ht="30" customHeight="1">
      <c r="A2141" s="7">
        <v>2138</v>
      </c>
      <c r="B2141" s="7" t="str">
        <f>"38662022042110315126040"</f>
        <v>38662022042110315126040</v>
      </c>
      <c r="C2141" s="7" t="s">
        <v>24</v>
      </c>
      <c r="D2141" s="7" t="str">
        <f>"苏云珍"</f>
        <v>苏云珍</v>
      </c>
      <c r="E2141" s="7" t="str">
        <f t="shared" si="102"/>
        <v>女</v>
      </c>
    </row>
    <row r="2142" spans="1:5" ht="30" customHeight="1">
      <c r="A2142" s="7">
        <v>2139</v>
      </c>
      <c r="B2142" s="7" t="str">
        <f>"38662022042110323426049"</f>
        <v>38662022042110323426049</v>
      </c>
      <c r="C2142" s="7" t="s">
        <v>24</v>
      </c>
      <c r="D2142" s="7" t="str">
        <f>"朱小会"</f>
        <v>朱小会</v>
      </c>
      <c r="E2142" s="7" t="str">
        <f t="shared" si="102"/>
        <v>女</v>
      </c>
    </row>
    <row r="2143" spans="1:5" ht="30" customHeight="1">
      <c r="A2143" s="7">
        <v>2140</v>
      </c>
      <c r="B2143" s="7" t="str">
        <f>"38662022042110362326092"</f>
        <v>38662022042110362326092</v>
      </c>
      <c r="C2143" s="7" t="s">
        <v>24</v>
      </c>
      <c r="D2143" s="7" t="str">
        <f>"周小茹"</f>
        <v>周小茹</v>
      </c>
      <c r="E2143" s="7" t="str">
        <f t="shared" si="102"/>
        <v>女</v>
      </c>
    </row>
    <row r="2144" spans="1:5" ht="30" customHeight="1">
      <c r="A2144" s="7">
        <v>2141</v>
      </c>
      <c r="B2144" s="7" t="str">
        <f>"38662022042110490626249"</f>
        <v>38662022042110490626249</v>
      </c>
      <c r="C2144" s="7" t="s">
        <v>24</v>
      </c>
      <c r="D2144" s="7" t="str">
        <f>"蔡容"</f>
        <v>蔡容</v>
      </c>
      <c r="E2144" s="7" t="str">
        <f t="shared" si="102"/>
        <v>女</v>
      </c>
    </row>
    <row r="2145" spans="1:5" ht="30" customHeight="1">
      <c r="A2145" s="7">
        <v>2142</v>
      </c>
      <c r="B2145" s="7" t="str">
        <f>"38662022042110583726358"</f>
        <v>38662022042110583726358</v>
      </c>
      <c r="C2145" s="7" t="s">
        <v>24</v>
      </c>
      <c r="D2145" s="7" t="str">
        <f>"杨飞"</f>
        <v>杨飞</v>
      </c>
      <c r="E2145" s="7" t="str">
        <f t="shared" si="102"/>
        <v>女</v>
      </c>
    </row>
    <row r="2146" spans="1:5" ht="30" customHeight="1">
      <c r="A2146" s="7">
        <v>2143</v>
      </c>
      <c r="B2146" s="7" t="str">
        <f>"38662022042111185326546"</f>
        <v>38662022042111185326546</v>
      </c>
      <c r="C2146" s="7" t="s">
        <v>24</v>
      </c>
      <c r="D2146" s="7" t="str">
        <f>"吴兴晶"</f>
        <v>吴兴晶</v>
      </c>
      <c r="E2146" s="7" t="str">
        <f t="shared" si="102"/>
        <v>女</v>
      </c>
    </row>
    <row r="2147" spans="1:5" ht="30" customHeight="1">
      <c r="A2147" s="7">
        <v>2144</v>
      </c>
      <c r="B2147" s="7" t="str">
        <f>"38662022042112080026954"</f>
        <v>38662022042112080026954</v>
      </c>
      <c r="C2147" s="7" t="s">
        <v>24</v>
      </c>
      <c r="D2147" s="7" t="str">
        <f>"邹文婷"</f>
        <v>邹文婷</v>
      </c>
      <c r="E2147" s="7" t="str">
        <f t="shared" si="102"/>
        <v>女</v>
      </c>
    </row>
    <row r="2148" spans="1:5" ht="30" customHeight="1">
      <c r="A2148" s="7">
        <v>2145</v>
      </c>
      <c r="B2148" s="7" t="str">
        <f>"38662022042112101726970"</f>
        <v>38662022042112101726970</v>
      </c>
      <c r="C2148" s="7" t="s">
        <v>24</v>
      </c>
      <c r="D2148" s="7" t="str">
        <f>"赵海燕"</f>
        <v>赵海燕</v>
      </c>
      <c r="E2148" s="7" t="str">
        <f t="shared" si="102"/>
        <v>女</v>
      </c>
    </row>
    <row r="2149" spans="1:5" ht="30" customHeight="1">
      <c r="A2149" s="7">
        <v>2146</v>
      </c>
      <c r="B2149" s="7" t="str">
        <f>"38662022042112162826996"</f>
        <v>38662022042112162826996</v>
      </c>
      <c r="C2149" s="7" t="s">
        <v>24</v>
      </c>
      <c r="D2149" s="7" t="str">
        <f>"石颖婕"</f>
        <v>石颖婕</v>
      </c>
      <c r="E2149" s="7" t="str">
        <f t="shared" si="102"/>
        <v>女</v>
      </c>
    </row>
    <row r="2150" spans="1:5" ht="30" customHeight="1">
      <c r="A2150" s="7">
        <v>2147</v>
      </c>
      <c r="B2150" s="7" t="str">
        <f>"38662022042112562027253"</f>
        <v>38662022042112562027253</v>
      </c>
      <c r="C2150" s="7" t="s">
        <v>24</v>
      </c>
      <c r="D2150" s="7" t="str">
        <f>"谭慧"</f>
        <v>谭慧</v>
      </c>
      <c r="E2150" s="7" t="str">
        <f t="shared" si="102"/>
        <v>女</v>
      </c>
    </row>
    <row r="2151" spans="1:5" ht="30" customHeight="1">
      <c r="A2151" s="7">
        <v>2148</v>
      </c>
      <c r="B2151" s="7" t="str">
        <f>"38662022042114171727647"</f>
        <v>38662022042114171727647</v>
      </c>
      <c r="C2151" s="7" t="s">
        <v>24</v>
      </c>
      <c r="D2151" s="7" t="str">
        <f>"简廷琴"</f>
        <v>简廷琴</v>
      </c>
      <c r="E2151" s="7" t="str">
        <f t="shared" si="102"/>
        <v>女</v>
      </c>
    </row>
    <row r="2152" spans="1:5" ht="30" customHeight="1">
      <c r="A2152" s="7">
        <v>2149</v>
      </c>
      <c r="B2152" s="7" t="str">
        <f>"38662022042114314227726"</f>
        <v>38662022042114314227726</v>
      </c>
      <c r="C2152" s="7" t="s">
        <v>24</v>
      </c>
      <c r="D2152" s="7" t="str">
        <f>"宋子阳"</f>
        <v>宋子阳</v>
      </c>
      <c r="E2152" s="7" t="str">
        <f t="shared" si="102"/>
        <v>女</v>
      </c>
    </row>
    <row r="2153" spans="1:5" ht="30" customHeight="1">
      <c r="A2153" s="7">
        <v>2150</v>
      </c>
      <c r="B2153" s="7" t="str">
        <f>"38662022042114523027902"</f>
        <v>38662022042114523027902</v>
      </c>
      <c r="C2153" s="7" t="s">
        <v>24</v>
      </c>
      <c r="D2153" s="7" t="str">
        <f>"符冬冬"</f>
        <v>符冬冬</v>
      </c>
      <c r="E2153" s="7" t="str">
        <f t="shared" si="102"/>
        <v>女</v>
      </c>
    </row>
    <row r="2154" spans="1:5" ht="30" customHeight="1">
      <c r="A2154" s="7">
        <v>2151</v>
      </c>
      <c r="B2154" s="7" t="str">
        <f>"38662022042115064328018"</f>
        <v>38662022042115064328018</v>
      </c>
      <c r="C2154" s="7" t="s">
        <v>24</v>
      </c>
      <c r="D2154" s="7" t="str">
        <f>"程凤"</f>
        <v>程凤</v>
      </c>
      <c r="E2154" s="7" t="str">
        <f t="shared" si="102"/>
        <v>女</v>
      </c>
    </row>
    <row r="2155" spans="1:5" ht="30" customHeight="1">
      <c r="A2155" s="7">
        <v>2152</v>
      </c>
      <c r="B2155" s="7" t="str">
        <f>"38662022042115220628160"</f>
        <v>38662022042115220628160</v>
      </c>
      <c r="C2155" s="7" t="s">
        <v>24</v>
      </c>
      <c r="D2155" s="7" t="str">
        <f>"许璐"</f>
        <v>许璐</v>
      </c>
      <c r="E2155" s="7" t="str">
        <f t="shared" si="102"/>
        <v>女</v>
      </c>
    </row>
    <row r="2156" spans="1:5" ht="30" customHeight="1">
      <c r="A2156" s="7">
        <v>2153</v>
      </c>
      <c r="B2156" s="7" t="str">
        <f>"38662022042117022628867"</f>
        <v>38662022042117022628867</v>
      </c>
      <c r="C2156" s="7" t="s">
        <v>24</v>
      </c>
      <c r="D2156" s="7" t="str">
        <f>"尹祎喆"</f>
        <v>尹祎喆</v>
      </c>
      <c r="E2156" s="7" t="str">
        <f t="shared" si="102"/>
        <v>女</v>
      </c>
    </row>
    <row r="2157" spans="1:5" ht="30" customHeight="1">
      <c r="A2157" s="7">
        <v>2154</v>
      </c>
      <c r="B2157" s="7" t="str">
        <f>"38662022042117132028944"</f>
        <v>38662022042117132028944</v>
      </c>
      <c r="C2157" s="7" t="s">
        <v>24</v>
      </c>
      <c r="D2157" s="7" t="str">
        <f>"许春晓"</f>
        <v>许春晓</v>
      </c>
      <c r="E2157" s="7" t="str">
        <f t="shared" si="102"/>
        <v>女</v>
      </c>
    </row>
    <row r="2158" spans="1:5" ht="30" customHeight="1">
      <c r="A2158" s="7">
        <v>2155</v>
      </c>
      <c r="B2158" s="7" t="str">
        <f>"38662022042117330829058"</f>
        <v>38662022042117330829058</v>
      </c>
      <c r="C2158" s="7" t="s">
        <v>24</v>
      </c>
      <c r="D2158" s="7" t="str">
        <f>"林文英"</f>
        <v>林文英</v>
      </c>
      <c r="E2158" s="7" t="str">
        <f t="shared" si="102"/>
        <v>女</v>
      </c>
    </row>
    <row r="2159" spans="1:5" ht="30" customHeight="1">
      <c r="A2159" s="7">
        <v>2156</v>
      </c>
      <c r="B2159" s="7" t="str">
        <f>"38662022042117343129067"</f>
        <v>38662022042117343129067</v>
      </c>
      <c r="C2159" s="7" t="s">
        <v>24</v>
      </c>
      <c r="D2159" s="7" t="str">
        <f>"文妃容"</f>
        <v>文妃容</v>
      </c>
      <c r="E2159" s="7" t="str">
        <f t="shared" si="102"/>
        <v>女</v>
      </c>
    </row>
    <row r="2160" spans="1:5" ht="30" customHeight="1">
      <c r="A2160" s="7">
        <v>2157</v>
      </c>
      <c r="B2160" s="7" t="str">
        <f>"38662022042118234829298"</f>
        <v>38662022042118234829298</v>
      </c>
      <c r="C2160" s="7" t="s">
        <v>24</v>
      </c>
      <c r="D2160" s="7" t="str">
        <f>"罗丹"</f>
        <v>罗丹</v>
      </c>
      <c r="E2160" s="7" t="str">
        <f t="shared" si="102"/>
        <v>女</v>
      </c>
    </row>
    <row r="2161" spans="1:5" ht="30" customHeight="1">
      <c r="A2161" s="7">
        <v>2158</v>
      </c>
      <c r="B2161" s="7" t="str">
        <f>"38662022042118553129426"</f>
        <v>38662022042118553129426</v>
      </c>
      <c r="C2161" s="7" t="s">
        <v>24</v>
      </c>
      <c r="D2161" s="7" t="str">
        <f>"李金霞"</f>
        <v>李金霞</v>
      </c>
      <c r="E2161" s="7" t="str">
        <f t="shared" si="102"/>
        <v>女</v>
      </c>
    </row>
    <row r="2162" spans="1:5" ht="30" customHeight="1">
      <c r="A2162" s="7">
        <v>2159</v>
      </c>
      <c r="B2162" s="7" t="str">
        <f>"38662022042119104629492"</f>
        <v>38662022042119104629492</v>
      </c>
      <c r="C2162" s="7" t="s">
        <v>24</v>
      </c>
      <c r="D2162" s="7" t="str">
        <f>"孙子雯"</f>
        <v>孙子雯</v>
      </c>
      <c r="E2162" s="7" t="str">
        <f t="shared" si="102"/>
        <v>女</v>
      </c>
    </row>
    <row r="2163" spans="1:5" ht="30" customHeight="1">
      <c r="A2163" s="7">
        <v>2160</v>
      </c>
      <c r="B2163" s="7" t="str">
        <f>"38662022042119121829498"</f>
        <v>38662022042119121829498</v>
      </c>
      <c r="C2163" s="7" t="s">
        <v>24</v>
      </c>
      <c r="D2163" s="7" t="str">
        <f>"杨妹妹"</f>
        <v>杨妹妹</v>
      </c>
      <c r="E2163" s="7" t="str">
        <f t="shared" si="102"/>
        <v>女</v>
      </c>
    </row>
    <row r="2164" spans="1:5" ht="30" customHeight="1">
      <c r="A2164" s="7">
        <v>2161</v>
      </c>
      <c r="B2164" s="7" t="str">
        <f>"38662022042119221629550"</f>
        <v>38662022042119221629550</v>
      </c>
      <c r="C2164" s="7" t="s">
        <v>24</v>
      </c>
      <c r="D2164" s="7" t="str">
        <f>"黄向"</f>
        <v>黄向</v>
      </c>
      <c r="E2164" s="7" t="str">
        <f t="shared" si="102"/>
        <v>女</v>
      </c>
    </row>
    <row r="2165" spans="1:5" ht="30" customHeight="1">
      <c r="A2165" s="7">
        <v>2162</v>
      </c>
      <c r="B2165" s="7" t="str">
        <f>"38662022042120122129776"</f>
        <v>38662022042120122129776</v>
      </c>
      <c r="C2165" s="7" t="s">
        <v>24</v>
      </c>
      <c r="D2165" s="7" t="str">
        <f>"黄妮旅"</f>
        <v>黄妮旅</v>
      </c>
      <c r="E2165" s="7" t="str">
        <f t="shared" si="102"/>
        <v>女</v>
      </c>
    </row>
    <row r="2166" spans="1:5" ht="30" customHeight="1">
      <c r="A2166" s="7">
        <v>2163</v>
      </c>
      <c r="B2166" s="7" t="str">
        <f>"38662022042120145229783"</f>
        <v>38662022042120145229783</v>
      </c>
      <c r="C2166" s="7" t="s">
        <v>24</v>
      </c>
      <c r="D2166" s="7" t="str">
        <f>"李梅"</f>
        <v>李梅</v>
      </c>
      <c r="E2166" s="7" t="str">
        <f t="shared" si="102"/>
        <v>女</v>
      </c>
    </row>
    <row r="2167" spans="1:5" ht="30" customHeight="1">
      <c r="A2167" s="7">
        <v>2164</v>
      </c>
      <c r="B2167" s="7" t="str">
        <f>"38662022042120455829964"</f>
        <v>38662022042120455829964</v>
      </c>
      <c r="C2167" s="7" t="s">
        <v>24</v>
      </c>
      <c r="D2167" s="7" t="str">
        <f>"杨淑平"</f>
        <v>杨淑平</v>
      </c>
      <c r="E2167" s="7" t="str">
        <f t="shared" si="102"/>
        <v>女</v>
      </c>
    </row>
    <row r="2168" spans="1:5" ht="30" customHeight="1">
      <c r="A2168" s="7">
        <v>2165</v>
      </c>
      <c r="B2168" s="7" t="str">
        <f>"38662022042120525429998"</f>
        <v>38662022042120525429998</v>
      </c>
      <c r="C2168" s="7" t="s">
        <v>24</v>
      </c>
      <c r="D2168" s="7" t="str">
        <f>"肖丽"</f>
        <v>肖丽</v>
      </c>
      <c r="E2168" s="7" t="str">
        <f t="shared" si="102"/>
        <v>女</v>
      </c>
    </row>
    <row r="2169" spans="1:5" ht="30" customHeight="1">
      <c r="A2169" s="7">
        <v>2166</v>
      </c>
      <c r="B2169" s="7" t="str">
        <f>"38662022042121101630099"</f>
        <v>38662022042121101630099</v>
      </c>
      <c r="C2169" s="7" t="s">
        <v>24</v>
      </c>
      <c r="D2169" s="7" t="str">
        <f>"潘可欣"</f>
        <v>潘可欣</v>
      </c>
      <c r="E2169" s="7" t="str">
        <f t="shared" si="102"/>
        <v>女</v>
      </c>
    </row>
    <row r="2170" spans="1:5" ht="30" customHeight="1">
      <c r="A2170" s="7">
        <v>2167</v>
      </c>
      <c r="B2170" s="7" t="str">
        <f>"38662022042122181530458"</f>
        <v>38662022042122181530458</v>
      </c>
      <c r="C2170" s="7" t="s">
        <v>24</v>
      </c>
      <c r="D2170" s="7" t="str">
        <f>"羊姣容"</f>
        <v>羊姣容</v>
      </c>
      <c r="E2170" s="7" t="str">
        <f t="shared" si="102"/>
        <v>女</v>
      </c>
    </row>
    <row r="2171" spans="1:5" ht="30" customHeight="1">
      <c r="A2171" s="7">
        <v>2168</v>
      </c>
      <c r="B2171" s="7" t="str">
        <f>"38662022042123122330689"</f>
        <v>38662022042123122330689</v>
      </c>
      <c r="C2171" s="7" t="s">
        <v>24</v>
      </c>
      <c r="D2171" s="7" t="str">
        <f>"吴金琼"</f>
        <v>吴金琼</v>
      </c>
      <c r="E2171" s="7" t="str">
        <f t="shared" si="102"/>
        <v>女</v>
      </c>
    </row>
    <row r="2172" spans="1:5" ht="30" customHeight="1">
      <c r="A2172" s="7">
        <v>2169</v>
      </c>
      <c r="B2172" s="7" t="str">
        <f>"38662022042201552430874"</f>
        <v>38662022042201552430874</v>
      </c>
      <c r="C2172" s="7" t="s">
        <v>24</v>
      </c>
      <c r="D2172" s="7" t="str">
        <f>"李丽芳"</f>
        <v>李丽芳</v>
      </c>
      <c r="E2172" s="7" t="str">
        <f t="shared" si="102"/>
        <v>女</v>
      </c>
    </row>
    <row r="2173" spans="1:5" ht="30" customHeight="1">
      <c r="A2173" s="7">
        <v>2170</v>
      </c>
      <c r="B2173" s="7" t="str">
        <f>"38662022042208302331003"</f>
        <v>38662022042208302331003</v>
      </c>
      <c r="C2173" s="7" t="s">
        <v>24</v>
      </c>
      <c r="D2173" s="7" t="str">
        <f>"王碧丽"</f>
        <v>王碧丽</v>
      </c>
      <c r="E2173" s="7" t="str">
        <f t="shared" si="102"/>
        <v>女</v>
      </c>
    </row>
    <row r="2174" spans="1:5" ht="30" customHeight="1">
      <c r="A2174" s="7">
        <v>2171</v>
      </c>
      <c r="B2174" s="7" t="str">
        <f>"38662022042209035931141"</f>
        <v>38662022042209035931141</v>
      </c>
      <c r="C2174" s="7" t="s">
        <v>24</v>
      </c>
      <c r="D2174" s="7" t="str">
        <f>"苏光海"</f>
        <v>苏光海</v>
      </c>
      <c r="E2174" s="7" t="str">
        <f>"男"</f>
        <v>男</v>
      </c>
    </row>
    <row r="2175" spans="1:5" ht="30" customHeight="1">
      <c r="A2175" s="7">
        <v>2172</v>
      </c>
      <c r="B2175" s="7" t="str">
        <f>"38662022042209152531195"</f>
        <v>38662022042209152531195</v>
      </c>
      <c r="C2175" s="7" t="s">
        <v>24</v>
      </c>
      <c r="D2175" s="7" t="str">
        <f>"张璇"</f>
        <v>张璇</v>
      </c>
      <c r="E2175" s="7" t="str">
        <f aca="true" t="shared" si="103" ref="E2175:E2180">"女"</f>
        <v>女</v>
      </c>
    </row>
    <row r="2176" spans="1:5" ht="30" customHeight="1">
      <c r="A2176" s="7">
        <v>2173</v>
      </c>
      <c r="B2176" s="7" t="str">
        <f>"38662022042209420431339"</f>
        <v>38662022042209420431339</v>
      </c>
      <c r="C2176" s="7" t="s">
        <v>24</v>
      </c>
      <c r="D2176" s="7" t="str">
        <f>"韦选金"</f>
        <v>韦选金</v>
      </c>
      <c r="E2176" s="7" t="str">
        <f t="shared" si="103"/>
        <v>女</v>
      </c>
    </row>
    <row r="2177" spans="1:5" ht="30" customHeight="1">
      <c r="A2177" s="7">
        <v>2174</v>
      </c>
      <c r="B2177" s="7" t="str">
        <f>"38662022042210090731480"</f>
        <v>38662022042210090731480</v>
      </c>
      <c r="C2177" s="7" t="s">
        <v>24</v>
      </c>
      <c r="D2177" s="7" t="str">
        <f>"周瑞娜"</f>
        <v>周瑞娜</v>
      </c>
      <c r="E2177" s="7" t="str">
        <f t="shared" si="103"/>
        <v>女</v>
      </c>
    </row>
    <row r="2178" spans="1:5" ht="30" customHeight="1">
      <c r="A2178" s="7">
        <v>2175</v>
      </c>
      <c r="B2178" s="7" t="str">
        <f>"38662022042210153731534"</f>
        <v>38662022042210153731534</v>
      </c>
      <c r="C2178" s="7" t="s">
        <v>24</v>
      </c>
      <c r="D2178" s="7" t="str">
        <f>"钟红灵"</f>
        <v>钟红灵</v>
      </c>
      <c r="E2178" s="7" t="str">
        <f t="shared" si="103"/>
        <v>女</v>
      </c>
    </row>
    <row r="2179" spans="1:5" ht="30" customHeight="1">
      <c r="A2179" s="7">
        <v>2176</v>
      </c>
      <c r="B2179" s="7" t="str">
        <f>"38662022042211075231853"</f>
        <v>38662022042211075231853</v>
      </c>
      <c r="C2179" s="7" t="s">
        <v>24</v>
      </c>
      <c r="D2179" s="7" t="str">
        <f>"陈小妹"</f>
        <v>陈小妹</v>
      </c>
      <c r="E2179" s="7" t="str">
        <f t="shared" si="103"/>
        <v>女</v>
      </c>
    </row>
    <row r="2180" spans="1:5" ht="30" customHeight="1">
      <c r="A2180" s="7">
        <v>2177</v>
      </c>
      <c r="B2180" s="7" t="str">
        <f>"38662022042211175131912"</f>
        <v>38662022042211175131912</v>
      </c>
      <c r="C2180" s="7" t="s">
        <v>24</v>
      </c>
      <c r="D2180" s="7" t="str">
        <f>"王娉娉"</f>
        <v>王娉娉</v>
      </c>
      <c r="E2180" s="7" t="str">
        <f t="shared" si="103"/>
        <v>女</v>
      </c>
    </row>
    <row r="2181" spans="1:5" ht="30" customHeight="1">
      <c r="A2181" s="7">
        <v>2178</v>
      </c>
      <c r="B2181" s="7" t="str">
        <f>"38662022042211492932413"</f>
        <v>38662022042211492932413</v>
      </c>
      <c r="C2181" s="7" t="s">
        <v>24</v>
      </c>
      <c r="D2181" s="7" t="str">
        <f>"王亮"</f>
        <v>王亮</v>
      </c>
      <c r="E2181" s="7" t="str">
        <f>"男"</f>
        <v>男</v>
      </c>
    </row>
    <row r="2182" spans="1:5" ht="30" customHeight="1">
      <c r="A2182" s="7">
        <v>2179</v>
      </c>
      <c r="B2182" s="7" t="str">
        <f>"38662022042214350933037"</f>
        <v>38662022042214350933037</v>
      </c>
      <c r="C2182" s="7" t="s">
        <v>24</v>
      </c>
      <c r="D2182" s="7" t="str">
        <f>"王桂芳"</f>
        <v>王桂芳</v>
      </c>
      <c r="E2182" s="7" t="str">
        <f>"女"</f>
        <v>女</v>
      </c>
    </row>
    <row r="2183" spans="1:5" ht="30" customHeight="1">
      <c r="A2183" s="7">
        <v>2180</v>
      </c>
      <c r="B2183" s="7" t="str">
        <f>"38662022042214420833072"</f>
        <v>38662022042214420833072</v>
      </c>
      <c r="C2183" s="7" t="s">
        <v>24</v>
      </c>
      <c r="D2183" s="7" t="str">
        <f>"蔡兴建"</f>
        <v>蔡兴建</v>
      </c>
      <c r="E2183" s="7" t="str">
        <f>"男"</f>
        <v>男</v>
      </c>
    </row>
    <row r="2184" spans="1:5" ht="30" customHeight="1">
      <c r="A2184" s="7">
        <v>2181</v>
      </c>
      <c r="B2184" s="7" t="str">
        <f>"38662022042214543233132"</f>
        <v>38662022042214543233132</v>
      </c>
      <c r="C2184" s="7" t="s">
        <v>24</v>
      </c>
      <c r="D2184" s="7" t="str">
        <f>"陈彩莹"</f>
        <v>陈彩莹</v>
      </c>
      <c r="E2184" s="7" t="str">
        <f aca="true" t="shared" si="104" ref="E2184:E2216">"女"</f>
        <v>女</v>
      </c>
    </row>
    <row r="2185" spans="1:5" ht="30" customHeight="1">
      <c r="A2185" s="7">
        <v>2182</v>
      </c>
      <c r="B2185" s="7" t="str">
        <f>"38662022042215124633237"</f>
        <v>38662022042215124633237</v>
      </c>
      <c r="C2185" s="7" t="s">
        <v>24</v>
      </c>
      <c r="D2185" s="7" t="str">
        <f>"林萃芬"</f>
        <v>林萃芬</v>
      </c>
      <c r="E2185" s="7" t="str">
        <f t="shared" si="104"/>
        <v>女</v>
      </c>
    </row>
    <row r="2186" spans="1:5" ht="30" customHeight="1">
      <c r="A2186" s="7">
        <v>2183</v>
      </c>
      <c r="B2186" s="7" t="str">
        <f>"38662022042215481733462"</f>
        <v>38662022042215481733462</v>
      </c>
      <c r="C2186" s="7" t="s">
        <v>24</v>
      </c>
      <c r="D2186" s="7" t="str">
        <f>"林婷"</f>
        <v>林婷</v>
      </c>
      <c r="E2186" s="7" t="str">
        <f t="shared" si="104"/>
        <v>女</v>
      </c>
    </row>
    <row r="2187" spans="1:5" ht="30" customHeight="1">
      <c r="A2187" s="7">
        <v>2184</v>
      </c>
      <c r="B2187" s="7" t="str">
        <f>"38662022042215491633467"</f>
        <v>38662022042215491633467</v>
      </c>
      <c r="C2187" s="7" t="s">
        <v>24</v>
      </c>
      <c r="D2187" s="7" t="str">
        <f>"王神月"</f>
        <v>王神月</v>
      </c>
      <c r="E2187" s="7" t="str">
        <f t="shared" si="104"/>
        <v>女</v>
      </c>
    </row>
    <row r="2188" spans="1:5" ht="30" customHeight="1">
      <c r="A2188" s="7">
        <v>2185</v>
      </c>
      <c r="B2188" s="7" t="str">
        <f>"38662022042218160234254"</f>
        <v>38662022042218160234254</v>
      </c>
      <c r="C2188" s="7" t="s">
        <v>24</v>
      </c>
      <c r="D2188" s="7" t="str">
        <f>"谢丹"</f>
        <v>谢丹</v>
      </c>
      <c r="E2188" s="7" t="str">
        <f t="shared" si="104"/>
        <v>女</v>
      </c>
    </row>
    <row r="2189" spans="1:5" ht="30" customHeight="1">
      <c r="A2189" s="7">
        <v>2186</v>
      </c>
      <c r="B2189" s="7" t="str">
        <f>"38662022042219064834364"</f>
        <v>38662022042219064834364</v>
      </c>
      <c r="C2189" s="7" t="s">
        <v>24</v>
      </c>
      <c r="D2189" s="7" t="str">
        <f>"林超"</f>
        <v>林超</v>
      </c>
      <c r="E2189" s="7" t="str">
        <f t="shared" si="104"/>
        <v>女</v>
      </c>
    </row>
    <row r="2190" spans="1:5" ht="30" customHeight="1">
      <c r="A2190" s="7">
        <v>2187</v>
      </c>
      <c r="B2190" s="7" t="str">
        <f>"38662022042220201634506"</f>
        <v>38662022042220201634506</v>
      </c>
      <c r="C2190" s="7" t="s">
        <v>24</v>
      </c>
      <c r="D2190" s="7" t="str">
        <f>"何锦凤"</f>
        <v>何锦凤</v>
      </c>
      <c r="E2190" s="7" t="str">
        <f t="shared" si="104"/>
        <v>女</v>
      </c>
    </row>
    <row r="2191" spans="1:5" ht="30" customHeight="1">
      <c r="A2191" s="7">
        <v>2188</v>
      </c>
      <c r="B2191" s="7" t="str">
        <f>"38662022042309341334962"</f>
        <v>38662022042309341334962</v>
      </c>
      <c r="C2191" s="7" t="s">
        <v>24</v>
      </c>
      <c r="D2191" s="7" t="str">
        <f>"陆国欣"</f>
        <v>陆国欣</v>
      </c>
      <c r="E2191" s="7" t="str">
        <f t="shared" si="104"/>
        <v>女</v>
      </c>
    </row>
    <row r="2192" spans="1:5" ht="30" customHeight="1">
      <c r="A2192" s="7">
        <v>2189</v>
      </c>
      <c r="B2192" s="7" t="str">
        <f>"38662022042310115135012"</f>
        <v>38662022042310115135012</v>
      </c>
      <c r="C2192" s="7" t="s">
        <v>24</v>
      </c>
      <c r="D2192" s="7" t="str">
        <f>"林小娇"</f>
        <v>林小娇</v>
      </c>
      <c r="E2192" s="7" t="str">
        <f t="shared" si="104"/>
        <v>女</v>
      </c>
    </row>
    <row r="2193" spans="1:5" ht="30" customHeight="1">
      <c r="A2193" s="7">
        <v>2190</v>
      </c>
      <c r="B2193" s="7" t="str">
        <f>"38662022042314350535352"</f>
        <v>38662022042314350535352</v>
      </c>
      <c r="C2193" s="7" t="s">
        <v>24</v>
      </c>
      <c r="D2193" s="7" t="str">
        <f>"李吉恋"</f>
        <v>李吉恋</v>
      </c>
      <c r="E2193" s="7" t="str">
        <f t="shared" si="104"/>
        <v>女</v>
      </c>
    </row>
    <row r="2194" spans="1:5" ht="30" customHeight="1">
      <c r="A2194" s="7">
        <v>2191</v>
      </c>
      <c r="B2194" s="7" t="str">
        <f>"38662022042315000335375"</f>
        <v>38662022042315000335375</v>
      </c>
      <c r="C2194" s="7" t="s">
        <v>24</v>
      </c>
      <c r="D2194" s="7" t="str">
        <f>"卢邓烹"</f>
        <v>卢邓烹</v>
      </c>
      <c r="E2194" s="7" t="str">
        <f t="shared" si="104"/>
        <v>女</v>
      </c>
    </row>
    <row r="2195" spans="1:5" ht="30" customHeight="1">
      <c r="A2195" s="7">
        <v>2192</v>
      </c>
      <c r="B2195" s="7" t="str">
        <f>"38662022042315491035462"</f>
        <v>38662022042315491035462</v>
      </c>
      <c r="C2195" s="7" t="s">
        <v>24</v>
      </c>
      <c r="D2195" s="7" t="str">
        <f>"蔡美彩"</f>
        <v>蔡美彩</v>
      </c>
      <c r="E2195" s="7" t="str">
        <f t="shared" si="104"/>
        <v>女</v>
      </c>
    </row>
    <row r="2196" spans="1:5" ht="30" customHeight="1">
      <c r="A2196" s="7">
        <v>2193</v>
      </c>
      <c r="B2196" s="7" t="str">
        <f>"38662022042317182135587"</f>
        <v>38662022042317182135587</v>
      </c>
      <c r="C2196" s="7" t="s">
        <v>24</v>
      </c>
      <c r="D2196" s="7" t="str">
        <f>"卢兰珍"</f>
        <v>卢兰珍</v>
      </c>
      <c r="E2196" s="7" t="str">
        <f t="shared" si="104"/>
        <v>女</v>
      </c>
    </row>
    <row r="2197" spans="1:5" ht="30" customHeight="1">
      <c r="A2197" s="7">
        <v>2194</v>
      </c>
      <c r="B2197" s="7" t="str">
        <f>"38662022042318040735630"</f>
        <v>38662022042318040735630</v>
      </c>
      <c r="C2197" s="7" t="s">
        <v>24</v>
      </c>
      <c r="D2197" s="7" t="str">
        <f>"歹雪"</f>
        <v>歹雪</v>
      </c>
      <c r="E2197" s="7" t="str">
        <f t="shared" si="104"/>
        <v>女</v>
      </c>
    </row>
    <row r="2198" spans="1:5" ht="30" customHeight="1">
      <c r="A2198" s="7">
        <v>2195</v>
      </c>
      <c r="B2198" s="7" t="str">
        <f>"38662022042318245135649"</f>
        <v>38662022042318245135649</v>
      </c>
      <c r="C2198" s="7" t="s">
        <v>24</v>
      </c>
      <c r="D2198" s="7" t="str">
        <f>"邢晖"</f>
        <v>邢晖</v>
      </c>
      <c r="E2198" s="7" t="str">
        <f t="shared" si="104"/>
        <v>女</v>
      </c>
    </row>
    <row r="2199" spans="1:5" ht="30" customHeight="1">
      <c r="A2199" s="7">
        <v>2196</v>
      </c>
      <c r="B2199" s="7" t="str">
        <f>"38662022042319301735701"</f>
        <v>38662022042319301735701</v>
      </c>
      <c r="C2199" s="7" t="s">
        <v>24</v>
      </c>
      <c r="D2199" s="7" t="str">
        <f>"陈亚亲"</f>
        <v>陈亚亲</v>
      </c>
      <c r="E2199" s="7" t="str">
        <f t="shared" si="104"/>
        <v>女</v>
      </c>
    </row>
    <row r="2200" spans="1:5" ht="30" customHeight="1">
      <c r="A2200" s="7">
        <v>2197</v>
      </c>
      <c r="B2200" s="7" t="str">
        <f>"38662022042320380735801"</f>
        <v>38662022042320380735801</v>
      </c>
      <c r="C2200" s="7" t="s">
        <v>24</v>
      </c>
      <c r="D2200" s="7" t="str">
        <f>"梁宝云"</f>
        <v>梁宝云</v>
      </c>
      <c r="E2200" s="7" t="str">
        <f t="shared" si="104"/>
        <v>女</v>
      </c>
    </row>
    <row r="2201" spans="1:5" ht="30" customHeight="1">
      <c r="A2201" s="7">
        <v>2198</v>
      </c>
      <c r="B2201" s="7" t="str">
        <f>"38662022042321401335902"</f>
        <v>38662022042321401335902</v>
      </c>
      <c r="C2201" s="7" t="s">
        <v>24</v>
      </c>
      <c r="D2201" s="7" t="str">
        <f>"麦璇"</f>
        <v>麦璇</v>
      </c>
      <c r="E2201" s="7" t="str">
        <f t="shared" si="104"/>
        <v>女</v>
      </c>
    </row>
    <row r="2202" spans="1:5" ht="30" customHeight="1">
      <c r="A2202" s="7">
        <v>2199</v>
      </c>
      <c r="B2202" s="7" t="str">
        <f>"38662022042407085936147"</f>
        <v>38662022042407085936147</v>
      </c>
      <c r="C2202" s="7" t="s">
        <v>24</v>
      </c>
      <c r="D2202" s="7" t="str">
        <f>"魏婷婷"</f>
        <v>魏婷婷</v>
      </c>
      <c r="E2202" s="7" t="str">
        <f t="shared" si="104"/>
        <v>女</v>
      </c>
    </row>
    <row r="2203" spans="1:5" ht="30" customHeight="1">
      <c r="A2203" s="7">
        <v>2200</v>
      </c>
      <c r="B2203" s="7" t="str">
        <f>"38662022042408403536198"</f>
        <v>38662022042408403536198</v>
      </c>
      <c r="C2203" s="7" t="s">
        <v>24</v>
      </c>
      <c r="D2203" s="7" t="str">
        <f>"冯慧"</f>
        <v>冯慧</v>
      </c>
      <c r="E2203" s="7" t="str">
        <f t="shared" si="104"/>
        <v>女</v>
      </c>
    </row>
    <row r="2204" spans="1:5" ht="30" customHeight="1">
      <c r="A2204" s="7">
        <v>2201</v>
      </c>
      <c r="B2204" s="7" t="str">
        <f>"38662022042409402736328"</f>
        <v>38662022042409402736328</v>
      </c>
      <c r="C2204" s="7" t="s">
        <v>24</v>
      </c>
      <c r="D2204" s="7" t="str">
        <f>"吴宏春"</f>
        <v>吴宏春</v>
      </c>
      <c r="E2204" s="7" t="str">
        <f t="shared" si="104"/>
        <v>女</v>
      </c>
    </row>
    <row r="2205" spans="1:5" ht="30" customHeight="1">
      <c r="A2205" s="7">
        <v>2202</v>
      </c>
      <c r="B2205" s="7" t="str">
        <f>"38662022042411011536487"</f>
        <v>38662022042411011536487</v>
      </c>
      <c r="C2205" s="7" t="s">
        <v>24</v>
      </c>
      <c r="D2205" s="7" t="str">
        <f>"羊玲"</f>
        <v>羊玲</v>
      </c>
      <c r="E2205" s="7" t="str">
        <f t="shared" si="104"/>
        <v>女</v>
      </c>
    </row>
    <row r="2206" spans="1:5" ht="30" customHeight="1">
      <c r="A2206" s="7">
        <v>2203</v>
      </c>
      <c r="B2206" s="7" t="str">
        <f>"38662022042411022536491"</f>
        <v>38662022042411022536491</v>
      </c>
      <c r="C2206" s="7" t="s">
        <v>24</v>
      </c>
      <c r="D2206" s="7" t="str">
        <f>"黄嘉琪"</f>
        <v>黄嘉琪</v>
      </c>
      <c r="E2206" s="7" t="str">
        <f t="shared" si="104"/>
        <v>女</v>
      </c>
    </row>
    <row r="2207" spans="1:5" ht="30" customHeight="1">
      <c r="A2207" s="7">
        <v>2204</v>
      </c>
      <c r="B2207" s="7" t="str">
        <f>"38662022042411042636495"</f>
        <v>38662022042411042636495</v>
      </c>
      <c r="C2207" s="7" t="s">
        <v>24</v>
      </c>
      <c r="D2207" s="7" t="str">
        <f>"潘婉怡"</f>
        <v>潘婉怡</v>
      </c>
      <c r="E2207" s="7" t="str">
        <f t="shared" si="104"/>
        <v>女</v>
      </c>
    </row>
    <row r="2208" spans="1:5" ht="30" customHeight="1">
      <c r="A2208" s="7">
        <v>2205</v>
      </c>
      <c r="B2208" s="7" t="str">
        <f>"38662022042412320236638"</f>
        <v>38662022042412320236638</v>
      </c>
      <c r="C2208" s="7" t="s">
        <v>24</v>
      </c>
      <c r="D2208" s="7" t="str">
        <f>"张红"</f>
        <v>张红</v>
      </c>
      <c r="E2208" s="7" t="str">
        <f t="shared" si="104"/>
        <v>女</v>
      </c>
    </row>
    <row r="2209" spans="1:5" ht="30" customHeight="1">
      <c r="A2209" s="7">
        <v>2206</v>
      </c>
      <c r="B2209" s="7" t="str">
        <f>"38662022042415200136897"</f>
        <v>38662022042415200136897</v>
      </c>
      <c r="C2209" s="7" t="s">
        <v>24</v>
      </c>
      <c r="D2209" s="7" t="str">
        <f>"林苗苗"</f>
        <v>林苗苗</v>
      </c>
      <c r="E2209" s="7" t="str">
        <f t="shared" si="104"/>
        <v>女</v>
      </c>
    </row>
    <row r="2210" spans="1:5" ht="30" customHeight="1">
      <c r="A2210" s="7">
        <v>2207</v>
      </c>
      <c r="B2210" s="7" t="str">
        <f>"38662022042415381636936"</f>
        <v>38662022042415381636936</v>
      </c>
      <c r="C2210" s="7" t="s">
        <v>24</v>
      </c>
      <c r="D2210" s="7" t="str">
        <f>"简美娥"</f>
        <v>简美娥</v>
      </c>
      <c r="E2210" s="7" t="str">
        <f t="shared" si="104"/>
        <v>女</v>
      </c>
    </row>
    <row r="2211" spans="1:5" ht="30" customHeight="1">
      <c r="A2211" s="7">
        <v>2208</v>
      </c>
      <c r="B2211" s="7" t="str">
        <f>"38662022042415440636954"</f>
        <v>38662022042415440636954</v>
      </c>
      <c r="C2211" s="7" t="s">
        <v>24</v>
      </c>
      <c r="D2211" s="7" t="str">
        <f>"陈雅姿"</f>
        <v>陈雅姿</v>
      </c>
      <c r="E2211" s="7" t="str">
        <f t="shared" si="104"/>
        <v>女</v>
      </c>
    </row>
    <row r="2212" spans="1:5" ht="30" customHeight="1">
      <c r="A2212" s="7">
        <v>2209</v>
      </c>
      <c r="B2212" s="7" t="str">
        <f>"38662022042415470736963"</f>
        <v>38662022042415470736963</v>
      </c>
      <c r="C2212" s="7" t="s">
        <v>24</v>
      </c>
      <c r="D2212" s="7" t="str">
        <f>"陈珊珊"</f>
        <v>陈珊珊</v>
      </c>
      <c r="E2212" s="7" t="str">
        <f t="shared" si="104"/>
        <v>女</v>
      </c>
    </row>
    <row r="2213" spans="1:5" ht="30" customHeight="1">
      <c r="A2213" s="7">
        <v>2210</v>
      </c>
      <c r="B2213" s="7" t="str">
        <f>"38662022042417021637135"</f>
        <v>38662022042417021637135</v>
      </c>
      <c r="C2213" s="7" t="s">
        <v>24</v>
      </c>
      <c r="D2213" s="7" t="str">
        <f>"吕锡娜"</f>
        <v>吕锡娜</v>
      </c>
      <c r="E2213" s="7" t="str">
        <f t="shared" si="104"/>
        <v>女</v>
      </c>
    </row>
    <row r="2214" spans="1:5" ht="30" customHeight="1">
      <c r="A2214" s="7">
        <v>2211</v>
      </c>
      <c r="B2214" s="7" t="str">
        <f>"38662022042417244937179"</f>
        <v>38662022042417244937179</v>
      </c>
      <c r="C2214" s="7" t="s">
        <v>24</v>
      </c>
      <c r="D2214" s="7" t="str">
        <f>"符淑年"</f>
        <v>符淑年</v>
      </c>
      <c r="E2214" s="7" t="str">
        <f t="shared" si="104"/>
        <v>女</v>
      </c>
    </row>
    <row r="2215" spans="1:5" ht="30" customHeight="1">
      <c r="A2215" s="7">
        <v>2212</v>
      </c>
      <c r="B2215" s="7" t="str">
        <f>"38662022042417455137202"</f>
        <v>38662022042417455137202</v>
      </c>
      <c r="C2215" s="7" t="s">
        <v>24</v>
      </c>
      <c r="D2215" s="7" t="str">
        <f>"孟园园"</f>
        <v>孟园园</v>
      </c>
      <c r="E2215" s="7" t="str">
        <f t="shared" si="104"/>
        <v>女</v>
      </c>
    </row>
    <row r="2216" spans="1:5" ht="30" customHeight="1">
      <c r="A2216" s="7">
        <v>2213</v>
      </c>
      <c r="B2216" s="7" t="str">
        <f>"38662022042418174437259"</f>
        <v>38662022042418174437259</v>
      </c>
      <c r="C2216" s="7" t="s">
        <v>24</v>
      </c>
      <c r="D2216" s="7" t="str">
        <f>"王昌玉"</f>
        <v>王昌玉</v>
      </c>
      <c r="E2216" s="7" t="str">
        <f t="shared" si="104"/>
        <v>女</v>
      </c>
    </row>
    <row r="2217" spans="1:5" ht="30" customHeight="1">
      <c r="A2217" s="7">
        <v>2214</v>
      </c>
      <c r="B2217" s="7" t="str">
        <f>"38662022042418304537276"</f>
        <v>38662022042418304537276</v>
      </c>
      <c r="C2217" s="7" t="s">
        <v>24</v>
      </c>
      <c r="D2217" s="7" t="str">
        <f>"刘上"</f>
        <v>刘上</v>
      </c>
      <c r="E2217" s="7" t="str">
        <f>"男"</f>
        <v>男</v>
      </c>
    </row>
    <row r="2218" spans="1:5" ht="30" customHeight="1">
      <c r="A2218" s="7">
        <v>2215</v>
      </c>
      <c r="B2218" s="7" t="str">
        <f>"38662022042420101737410"</f>
        <v>38662022042420101737410</v>
      </c>
      <c r="C2218" s="7" t="s">
        <v>24</v>
      </c>
      <c r="D2218" s="7" t="str">
        <f>"符小丹"</f>
        <v>符小丹</v>
      </c>
      <c r="E2218" s="7" t="str">
        <f>"女"</f>
        <v>女</v>
      </c>
    </row>
    <row r="2219" spans="1:5" ht="30" customHeight="1">
      <c r="A2219" s="7">
        <v>2216</v>
      </c>
      <c r="B2219" s="7" t="str">
        <f>"38662022042420414237466"</f>
        <v>38662022042420414237466</v>
      </c>
      <c r="C2219" s="7" t="s">
        <v>24</v>
      </c>
      <c r="D2219" s="7" t="str">
        <f>"周雄英"</f>
        <v>周雄英</v>
      </c>
      <c r="E2219" s="7" t="str">
        <f>"女"</f>
        <v>女</v>
      </c>
    </row>
    <row r="2220" spans="1:5" ht="30" customHeight="1">
      <c r="A2220" s="7">
        <v>2217</v>
      </c>
      <c r="B2220" s="7" t="str">
        <f>"38662022042421171637536"</f>
        <v>38662022042421171637536</v>
      </c>
      <c r="C2220" s="7" t="s">
        <v>24</v>
      </c>
      <c r="D2220" s="7" t="str">
        <f>"文苹妃"</f>
        <v>文苹妃</v>
      </c>
      <c r="E2220" s="7" t="str">
        <f>"女"</f>
        <v>女</v>
      </c>
    </row>
    <row r="2221" spans="1:5" ht="30" customHeight="1">
      <c r="A2221" s="7">
        <v>2218</v>
      </c>
      <c r="B2221" s="7" t="str">
        <f>"38662022042422571737688"</f>
        <v>38662022042422571737688</v>
      </c>
      <c r="C2221" s="7" t="s">
        <v>24</v>
      </c>
      <c r="D2221" s="7" t="str">
        <f>"符英梅"</f>
        <v>符英梅</v>
      </c>
      <c r="E2221" s="7" t="str">
        <f>"女"</f>
        <v>女</v>
      </c>
    </row>
    <row r="2222" spans="1:5" ht="30" customHeight="1">
      <c r="A2222" s="7">
        <v>2219</v>
      </c>
      <c r="B2222" s="7" t="str">
        <f>"38662022042509580037939"</f>
        <v>38662022042509580037939</v>
      </c>
      <c r="C2222" s="7" t="s">
        <v>24</v>
      </c>
      <c r="D2222" s="7" t="str">
        <f>"何小妹"</f>
        <v>何小妹</v>
      </c>
      <c r="E2222" s="7" t="str">
        <f>"女"</f>
        <v>女</v>
      </c>
    </row>
    <row r="2223" spans="1:5" ht="30" customHeight="1">
      <c r="A2223" s="7">
        <v>2220</v>
      </c>
      <c r="B2223" s="7" t="str">
        <f>"38662022042510141637968"</f>
        <v>38662022042510141637968</v>
      </c>
      <c r="C2223" s="7" t="s">
        <v>24</v>
      </c>
      <c r="D2223" s="7" t="str">
        <f>"邱铄淋"</f>
        <v>邱铄淋</v>
      </c>
      <c r="E2223" s="7" t="str">
        <f>"男"</f>
        <v>男</v>
      </c>
    </row>
    <row r="2224" spans="1:5" ht="30" customHeight="1">
      <c r="A2224" s="7">
        <v>2221</v>
      </c>
      <c r="B2224" s="7" t="str">
        <f>"38662022042510564538057"</f>
        <v>38662022042510564538057</v>
      </c>
      <c r="C2224" s="7" t="s">
        <v>24</v>
      </c>
      <c r="D2224" s="7" t="str">
        <f>"苏秀玲"</f>
        <v>苏秀玲</v>
      </c>
      <c r="E2224" s="7" t="str">
        <f aca="true" t="shared" si="105" ref="E2224:E2263">"女"</f>
        <v>女</v>
      </c>
    </row>
    <row r="2225" spans="1:5" ht="30" customHeight="1">
      <c r="A2225" s="7">
        <v>2222</v>
      </c>
      <c r="B2225" s="7" t="str">
        <f>"38662022042512020338149"</f>
        <v>38662022042512020338149</v>
      </c>
      <c r="C2225" s="7" t="s">
        <v>24</v>
      </c>
      <c r="D2225" s="7" t="str">
        <f>"李若楠"</f>
        <v>李若楠</v>
      </c>
      <c r="E2225" s="7" t="str">
        <f t="shared" si="105"/>
        <v>女</v>
      </c>
    </row>
    <row r="2226" spans="1:5" ht="30" customHeight="1">
      <c r="A2226" s="7">
        <v>2223</v>
      </c>
      <c r="B2226" s="7" t="str">
        <f>"38662022042514570538315"</f>
        <v>38662022042514570538315</v>
      </c>
      <c r="C2226" s="7" t="s">
        <v>24</v>
      </c>
      <c r="D2226" s="7" t="str">
        <f>"蔡兴南"</f>
        <v>蔡兴南</v>
      </c>
      <c r="E2226" s="7" t="str">
        <f t="shared" si="105"/>
        <v>女</v>
      </c>
    </row>
    <row r="2227" spans="1:5" ht="30" customHeight="1">
      <c r="A2227" s="7">
        <v>2224</v>
      </c>
      <c r="B2227" s="7" t="str">
        <f>"38662022042515053638333"</f>
        <v>38662022042515053638333</v>
      </c>
      <c r="C2227" s="7" t="s">
        <v>24</v>
      </c>
      <c r="D2227" s="7" t="str">
        <f>"吉丹丹"</f>
        <v>吉丹丹</v>
      </c>
      <c r="E2227" s="7" t="str">
        <f t="shared" si="105"/>
        <v>女</v>
      </c>
    </row>
    <row r="2228" spans="1:5" ht="30" customHeight="1">
      <c r="A2228" s="7">
        <v>2225</v>
      </c>
      <c r="B2228" s="7" t="str">
        <f>"38662022042515193738362"</f>
        <v>38662022042515193738362</v>
      </c>
      <c r="C2228" s="7" t="s">
        <v>24</v>
      </c>
      <c r="D2228" s="7" t="str">
        <f>"陈沙沙"</f>
        <v>陈沙沙</v>
      </c>
      <c r="E2228" s="7" t="str">
        <f t="shared" si="105"/>
        <v>女</v>
      </c>
    </row>
    <row r="2229" spans="1:5" ht="30" customHeight="1">
      <c r="A2229" s="7">
        <v>2226</v>
      </c>
      <c r="B2229" s="7" t="str">
        <f>"38662022042519120438700"</f>
        <v>38662022042519120438700</v>
      </c>
      <c r="C2229" s="7" t="s">
        <v>24</v>
      </c>
      <c r="D2229" s="7" t="str">
        <f>"邱婷"</f>
        <v>邱婷</v>
      </c>
      <c r="E2229" s="7" t="str">
        <f t="shared" si="105"/>
        <v>女</v>
      </c>
    </row>
    <row r="2230" spans="1:5" ht="30" customHeight="1">
      <c r="A2230" s="7">
        <v>2227</v>
      </c>
      <c r="B2230" s="7" t="str">
        <f>"38662022042520555638823"</f>
        <v>38662022042520555638823</v>
      </c>
      <c r="C2230" s="7" t="s">
        <v>24</v>
      </c>
      <c r="D2230" s="7" t="str">
        <f>"麦洁梅"</f>
        <v>麦洁梅</v>
      </c>
      <c r="E2230" s="7" t="str">
        <f t="shared" si="105"/>
        <v>女</v>
      </c>
    </row>
    <row r="2231" spans="1:5" ht="30" customHeight="1">
      <c r="A2231" s="7">
        <v>2228</v>
      </c>
      <c r="B2231" s="7" t="str">
        <f>"38662022042521331838863"</f>
        <v>38662022042521331838863</v>
      </c>
      <c r="C2231" s="7" t="s">
        <v>24</v>
      </c>
      <c r="D2231" s="7" t="str">
        <f>"莫春梅"</f>
        <v>莫春梅</v>
      </c>
      <c r="E2231" s="7" t="str">
        <f t="shared" si="105"/>
        <v>女</v>
      </c>
    </row>
    <row r="2232" spans="1:5" ht="30" customHeight="1">
      <c r="A2232" s="7">
        <v>2229</v>
      </c>
      <c r="B2232" s="7" t="str">
        <f>"38662022042521530538900"</f>
        <v>38662022042521530538900</v>
      </c>
      <c r="C2232" s="7" t="s">
        <v>24</v>
      </c>
      <c r="D2232" s="7" t="str">
        <f>"吴成川"</f>
        <v>吴成川</v>
      </c>
      <c r="E2232" s="7" t="str">
        <f t="shared" si="105"/>
        <v>女</v>
      </c>
    </row>
    <row r="2233" spans="1:5" ht="30" customHeight="1">
      <c r="A2233" s="7">
        <v>2230</v>
      </c>
      <c r="B2233" s="7" t="str">
        <f>"38662022042523061039003"</f>
        <v>38662022042523061039003</v>
      </c>
      <c r="C2233" s="7" t="s">
        <v>24</v>
      </c>
      <c r="D2233" s="7" t="str">
        <f>"刘芳燕"</f>
        <v>刘芳燕</v>
      </c>
      <c r="E2233" s="7" t="str">
        <f t="shared" si="105"/>
        <v>女</v>
      </c>
    </row>
    <row r="2234" spans="1:5" ht="30" customHeight="1">
      <c r="A2234" s="7">
        <v>2231</v>
      </c>
      <c r="B2234" s="7" t="str">
        <f>"38662022042523593939062"</f>
        <v>38662022042523593939062</v>
      </c>
      <c r="C2234" s="7" t="s">
        <v>24</v>
      </c>
      <c r="D2234" s="7" t="str">
        <f>"王妹"</f>
        <v>王妹</v>
      </c>
      <c r="E2234" s="7" t="str">
        <f t="shared" si="105"/>
        <v>女</v>
      </c>
    </row>
    <row r="2235" spans="1:5" ht="30" customHeight="1">
      <c r="A2235" s="7">
        <v>2232</v>
      </c>
      <c r="B2235" s="7" t="str">
        <f>"38662022042609481239239"</f>
        <v>38662022042609481239239</v>
      </c>
      <c r="C2235" s="7" t="s">
        <v>24</v>
      </c>
      <c r="D2235" s="7" t="str">
        <f>"陈德静"</f>
        <v>陈德静</v>
      </c>
      <c r="E2235" s="7" t="str">
        <f t="shared" si="105"/>
        <v>女</v>
      </c>
    </row>
    <row r="2236" spans="1:5" ht="30" customHeight="1">
      <c r="A2236" s="7">
        <v>2233</v>
      </c>
      <c r="B2236" s="7" t="str">
        <f>"38662022042612090939447"</f>
        <v>38662022042612090939447</v>
      </c>
      <c r="C2236" s="7" t="s">
        <v>24</v>
      </c>
      <c r="D2236" s="7" t="str">
        <f>"邱天丽"</f>
        <v>邱天丽</v>
      </c>
      <c r="E2236" s="7" t="str">
        <f t="shared" si="105"/>
        <v>女</v>
      </c>
    </row>
    <row r="2237" spans="1:5" ht="30" customHeight="1">
      <c r="A2237" s="7">
        <v>2234</v>
      </c>
      <c r="B2237" s="7" t="str">
        <f>"38662022042612132239455"</f>
        <v>38662022042612132239455</v>
      </c>
      <c r="C2237" s="7" t="s">
        <v>24</v>
      </c>
      <c r="D2237" s="7" t="str">
        <f>"符月留"</f>
        <v>符月留</v>
      </c>
      <c r="E2237" s="7" t="str">
        <f t="shared" si="105"/>
        <v>女</v>
      </c>
    </row>
    <row r="2238" spans="1:5" ht="30" customHeight="1">
      <c r="A2238" s="7">
        <v>2235</v>
      </c>
      <c r="B2238" s="7" t="str">
        <f>"38662022042612564039507"</f>
        <v>38662022042612564039507</v>
      </c>
      <c r="C2238" s="7" t="s">
        <v>24</v>
      </c>
      <c r="D2238" s="7" t="str">
        <f>"刘玲妹"</f>
        <v>刘玲妹</v>
      </c>
      <c r="E2238" s="7" t="str">
        <f t="shared" si="105"/>
        <v>女</v>
      </c>
    </row>
    <row r="2239" spans="1:5" ht="30" customHeight="1">
      <c r="A2239" s="7">
        <v>2236</v>
      </c>
      <c r="B2239" s="7" t="str">
        <f>"38662022042613551539567"</f>
        <v>38662022042613551539567</v>
      </c>
      <c r="C2239" s="7" t="s">
        <v>24</v>
      </c>
      <c r="D2239" s="7" t="str">
        <f>"曾万英"</f>
        <v>曾万英</v>
      </c>
      <c r="E2239" s="7" t="str">
        <f t="shared" si="105"/>
        <v>女</v>
      </c>
    </row>
    <row r="2240" spans="1:5" ht="30" customHeight="1">
      <c r="A2240" s="7">
        <v>2237</v>
      </c>
      <c r="B2240" s="7" t="str">
        <f>"38662022042616334639822"</f>
        <v>38662022042616334639822</v>
      </c>
      <c r="C2240" s="7" t="s">
        <v>24</v>
      </c>
      <c r="D2240" s="7" t="str">
        <f>"羊美霞"</f>
        <v>羊美霞</v>
      </c>
      <c r="E2240" s="7" t="str">
        <f t="shared" si="105"/>
        <v>女</v>
      </c>
    </row>
    <row r="2241" spans="1:5" ht="30" customHeight="1">
      <c r="A2241" s="7">
        <v>2238</v>
      </c>
      <c r="B2241" s="7" t="str">
        <f>"38662022042616384239839"</f>
        <v>38662022042616384239839</v>
      </c>
      <c r="C2241" s="7" t="s">
        <v>24</v>
      </c>
      <c r="D2241" s="7" t="str">
        <f>"高瑜媚"</f>
        <v>高瑜媚</v>
      </c>
      <c r="E2241" s="7" t="str">
        <f t="shared" si="105"/>
        <v>女</v>
      </c>
    </row>
    <row r="2242" spans="1:5" ht="30" customHeight="1">
      <c r="A2242" s="7">
        <v>2239</v>
      </c>
      <c r="B2242" s="7" t="str">
        <f>"38662022042616480539856"</f>
        <v>38662022042616480539856</v>
      </c>
      <c r="C2242" s="7" t="s">
        <v>24</v>
      </c>
      <c r="D2242" s="7" t="str">
        <f>"林祺莹"</f>
        <v>林祺莹</v>
      </c>
      <c r="E2242" s="7" t="str">
        <f t="shared" si="105"/>
        <v>女</v>
      </c>
    </row>
    <row r="2243" spans="1:5" ht="30" customHeight="1">
      <c r="A2243" s="7">
        <v>2240</v>
      </c>
      <c r="B2243" s="7" t="str">
        <f>"38662022042618132739965"</f>
        <v>38662022042618132739965</v>
      </c>
      <c r="C2243" s="7" t="s">
        <v>24</v>
      </c>
      <c r="D2243" s="7" t="str">
        <f>"陈蕾"</f>
        <v>陈蕾</v>
      </c>
      <c r="E2243" s="7" t="str">
        <f t="shared" si="105"/>
        <v>女</v>
      </c>
    </row>
    <row r="2244" spans="1:5" ht="30" customHeight="1">
      <c r="A2244" s="7">
        <v>2241</v>
      </c>
      <c r="B2244" s="7" t="str">
        <f>"38662022042618223639976"</f>
        <v>38662022042618223639976</v>
      </c>
      <c r="C2244" s="7" t="s">
        <v>24</v>
      </c>
      <c r="D2244" s="7" t="str">
        <f>"纪小丽"</f>
        <v>纪小丽</v>
      </c>
      <c r="E2244" s="7" t="str">
        <f t="shared" si="105"/>
        <v>女</v>
      </c>
    </row>
    <row r="2245" spans="1:5" ht="30" customHeight="1">
      <c r="A2245" s="7">
        <v>2242</v>
      </c>
      <c r="B2245" s="7" t="str">
        <f>"38662022042621140540218"</f>
        <v>38662022042621140540218</v>
      </c>
      <c r="C2245" s="7" t="s">
        <v>24</v>
      </c>
      <c r="D2245" s="7" t="str">
        <f>"张晓玲"</f>
        <v>张晓玲</v>
      </c>
      <c r="E2245" s="7" t="str">
        <f t="shared" si="105"/>
        <v>女</v>
      </c>
    </row>
    <row r="2246" spans="1:5" ht="30" customHeight="1">
      <c r="A2246" s="7">
        <v>2243</v>
      </c>
      <c r="B2246" s="7" t="str">
        <f>"38662022042621233240236"</f>
        <v>38662022042621233240236</v>
      </c>
      <c r="C2246" s="7" t="s">
        <v>24</v>
      </c>
      <c r="D2246" s="7" t="str">
        <f>"符家贇"</f>
        <v>符家贇</v>
      </c>
      <c r="E2246" s="7" t="str">
        <f t="shared" si="105"/>
        <v>女</v>
      </c>
    </row>
    <row r="2247" spans="1:5" ht="30" customHeight="1">
      <c r="A2247" s="7">
        <v>2244</v>
      </c>
      <c r="B2247" s="7" t="str">
        <f>"38662022042621321940252"</f>
        <v>38662022042621321940252</v>
      </c>
      <c r="C2247" s="7" t="s">
        <v>24</v>
      </c>
      <c r="D2247" s="7" t="str">
        <f>"郑海丽"</f>
        <v>郑海丽</v>
      </c>
      <c r="E2247" s="7" t="str">
        <f t="shared" si="105"/>
        <v>女</v>
      </c>
    </row>
    <row r="2248" spans="1:5" ht="30" customHeight="1">
      <c r="A2248" s="7">
        <v>2245</v>
      </c>
      <c r="B2248" s="7" t="str">
        <f>"38662022042622422540367"</f>
        <v>38662022042622422540367</v>
      </c>
      <c r="C2248" s="7" t="s">
        <v>24</v>
      </c>
      <c r="D2248" s="7" t="str">
        <f>"韦绕选"</f>
        <v>韦绕选</v>
      </c>
      <c r="E2248" s="7" t="str">
        <f t="shared" si="105"/>
        <v>女</v>
      </c>
    </row>
    <row r="2249" spans="1:5" ht="30" customHeight="1">
      <c r="A2249" s="7">
        <v>2246</v>
      </c>
      <c r="B2249" s="7" t="str">
        <f>"38662022042623413540467"</f>
        <v>38662022042623413540467</v>
      </c>
      <c r="C2249" s="7" t="s">
        <v>24</v>
      </c>
      <c r="D2249" s="7" t="str">
        <f>"黄孟英"</f>
        <v>黄孟英</v>
      </c>
      <c r="E2249" s="7" t="str">
        <f t="shared" si="105"/>
        <v>女</v>
      </c>
    </row>
    <row r="2250" spans="1:5" ht="30" customHeight="1">
      <c r="A2250" s="7">
        <v>2247</v>
      </c>
      <c r="B2250" s="7" t="str">
        <f>"38662022042700010040491"</f>
        <v>38662022042700010040491</v>
      </c>
      <c r="C2250" s="7" t="s">
        <v>24</v>
      </c>
      <c r="D2250" s="7" t="str">
        <f>"林晓瑜"</f>
        <v>林晓瑜</v>
      </c>
      <c r="E2250" s="7" t="str">
        <f t="shared" si="105"/>
        <v>女</v>
      </c>
    </row>
    <row r="2251" spans="1:5" ht="30" customHeight="1">
      <c r="A2251" s="7">
        <v>2248</v>
      </c>
      <c r="B2251" s="7" t="str">
        <f>"38662022042700281840510"</f>
        <v>38662022042700281840510</v>
      </c>
      <c r="C2251" s="7" t="s">
        <v>24</v>
      </c>
      <c r="D2251" s="7" t="str">
        <f>"陈珊珊"</f>
        <v>陈珊珊</v>
      </c>
      <c r="E2251" s="7" t="str">
        <f t="shared" si="105"/>
        <v>女</v>
      </c>
    </row>
    <row r="2252" spans="1:5" ht="30" customHeight="1">
      <c r="A2252" s="7">
        <v>2249</v>
      </c>
      <c r="B2252" s="7" t="str">
        <f>"38662022042708241140594"</f>
        <v>38662022042708241140594</v>
      </c>
      <c r="C2252" s="7" t="s">
        <v>24</v>
      </c>
      <c r="D2252" s="7" t="str">
        <f>"宋艳芳"</f>
        <v>宋艳芳</v>
      </c>
      <c r="E2252" s="7" t="str">
        <f t="shared" si="105"/>
        <v>女</v>
      </c>
    </row>
    <row r="2253" spans="1:5" ht="30" customHeight="1">
      <c r="A2253" s="7">
        <v>2250</v>
      </c>
      <c r="B2253" s="7" t="str">
        <f>"38662022042709062840754"</f>
        <v>38662022042709062840754</v>
      </c>
      <c r="C2253" s="7" t="s">
        <v>24</v>
      </c>
      <c r="D2253" s="7" t="str">
        <f>"林子靖"</f>
        <v>林子靖</v>
      </c>
      <c r="E2253" s="7" t="str">
        <f t="shared" si="105"/>
        <v>女</v>
      </c>
    </row>
    <row r="2254" spans="1:5" ht="30" customHeight="1">
      <c r="A2254" s="7">
        <v>2251</v>
      </c>
      <c r="B2254" s="7" t="str">
        <f>"38662022042709393941204"</f>
        <v>38662022042709393941204</v>
      </c>
      <c r="C2254" s="7" t="s">
        <v>24</v>
      </c>
      <c r="D2254" s="7" t="str">
        <f>"桂小孟"</f>
        <v>桂小孟</v>
      </c>
      <c r="E2254" s="7" t="str">
        <f t="shared" si="105"/>
        <v>女</v>
      </c>
    </row>
    <row r="2255" spans="1:5" ht="30" customHeight="1">
      <c r="A2255" s="7">
        <v>2252</v>
      </c>
      <c r="B2255" s="7" t="str">
        <f>"38662022042710531442016"</f>
        <v>38662022042710531442016</v>
      </c>
      <c r="C2255" s="7" t="s">
        <v>24</v>
      </c>
      <c r="D2255" s="7" t="str">
        <f>"庞琳琳"</f>
        <v>庞琳琳</v>
      </c>
      <c r="E2255" s="7" t="str">
        <f t="shared" si="105"/>
        <v>女</v>
      </c>
    </row>
    <row r="2256" spans="1:5" ht="30" customHeight="1">
      <c r="A2256" s="7">
        <v>2253</v>
      </c>
      <c r="B2256" s="7" t="str">
        <f>"38662022042711241642288"</f>
        <v>38662022042711241642288</v>
      </c>
      <c r="C2256" s="7" t="s">
        <v>24</v>
      </c>
      <c r="D2256" s="7" t="str">
        <f>"李兰泓"</f>
        <v>李兰泓</v>
      </c>
      <c r="E2256" s="7" t="str">
        <f t="shared" si="105"/>
        <v>女</v>
      </c>
    </row>
    <row r="2257" spans="1:5" ht="30" customHeight="1">
      <c r="A2257" s="7">
        <v>2254</v>
      </c>
      <c r="B2257" s="7" t="str">
        <f>"38662022042712234942680"</f>
        <v>38662022042712234942680</v>
      </c>
      <c r="C2257" s="7" t="s">
        <v>24</v>
      </c>
      <c r="D2257" s="7" t="str">
        <f>"陈虹"</f>
        <v>陈虹</v>
      </c>
      <c r="E2257" s="7" t="str">
        <f t="shared" si="105"/>
        <v>女</v>
      </c>
    </row>
    <row r="2258" spans="1:5" ht="30" customHeight="1">
      <c r="A2258" s="7">
        <v>2255</v>
      </c>
      <c r="B2258" s="7" t="str">
        <f>"38662022042712350442748"</f>
        <v>38662022042712350442748</v>
      </c>
      <c r="C2258" s="7" t="s">
        <v>24</v>
      </c>
      <c r="D2258" s="7" t="str">
        <f>"符文群"</f>
        <v>符文群</v>
      </c>
      <c r="E2258" s="7" t="str">
        <f t="shared" si="105"/>
        <v>女</v>
      </c>
    </row>
    <row r="2259" spans="1:5" ht="30" customHeight="1">
      <c r="A2259" s="7">
        <v>2256</v>
      </c>
      <c r="B2259" s="7" t="str">
        <f>"38662022042712541742887"</f>
        <v>38662022042712541742887</v>
      </c>
      <c r="C2259" s="7" t="s">
        <v>24</v>
      </c>
      <c r="D2259" s="7" t="str">
        <f>"陈媚"</f>
        <v>陈媚</v>
      </c>
      <c r="E2259" s="7" t="str">
        <f t="shared" si="105"/>
        <v>女</v>
      </c>
    </row>
    <row r="2260" spans="1:5" ht="30" customHeight="1">
      <c r="A2260" s="7">
        <v>2257</v>
      </c>
      <c r="B2260" s="7" t="str">
        <f>"38662022042715283943833"</f>
        <v>38662022042715283943833</v>
      </c>
      <c r="C2260" s="7" t="s">
        <v>24</v>
      </c>
      <c r="D2260" s="7" t="str">
        <f>"林壹茹"</f>
        <v>林壹茹</v>
      </c>
      <c r="E2260" s="7" t="str">
        <f t="shared" si="105"/>
        <v>女</v>
      </c>
    </row>
    <row r="2261" spans="1:5" ht="30" customHeight="1">
      <c r="A2261" s="7">
        <v>2258</v>
      </c>
      <c r="B2261" s="7" t="str">
        <f>"38662022042715402143896"</f>
        <v>38662022042715402143896</v>
      </c>
      <c r="C2261" s="7" t="s">
        <v>24</v>
      </c>
      <c r="D2261" s="7" t="str">
        <f>"沈家芳"</f>
        <v>沈家芳</v>
      </c>
      <c r="E2261" s="7" t="str">
        <f t="shared" si="105"/>
        <v>女</v>
      </c>
    </row>
    <row r="2262" spans="1:5" ht="30" customHeight="1">
      <c r="A2262" s="7">
        <v>2259</v>
      </c>
      <c r="B2262" s="7" t="str">
        <f>"38662022042716271044170"</f>
        <v>38662022042716271044170</v>
      </c>
      <c r="C2262" s="7" t="s">
        <v>24</v>
      </c>
      <c r="D2262" s="7" t="str">
        <f>"陈诗瑜"</f>
        <v>陈诗瑜</v>
      </c>
      <c r="E2262" s="7" t="str">
        <f t="shared" si="105"/>
        <v>女</v>
      </c>
    </row>
    <row r="2263" spans="1:5" ht="30" customHeight="1">
      <c r="A2263" s="7">
        <v>2260</v>
      </c>
      <c r="B2263" s="7" t="str">
        <f>"38662022042109033724923"</f>
        <v>38662022042109033724923</v>
      </c>
      <c r="C2263" s="7" t="s">
        <v>25</v>
      </c>
      <c r="D2263" s="7" t="str">
        <f>"刘海鹏"</f>
        <v>刘海鹏</v>
      </c>
      <c r="E2263" s="7" t="str">
        <f t="shared" si="105"/>
        <v>女</v>
      </c>
    </row>
    <row r="2264" spans="1:5" ht="30" customHeight="1">
      <c r="A2264" s="7">
        <v>2261</v>
      </c>
      <c r="B2264" s="7" t="str">
        <f>"38662022042109342325298"</f>
        <v>38662022042109342325298</v>
      </c>
      <c r="C2264" s="7" t="s">
        <v>25</v>
      </c>
      <c r="D2264" s="7" t="str">
        <f>"谢伟耀"</f>
        <v>谢伟耀</v>
      </c>
      <c r="E2264" s="7" t="str">
        <f>"男"</f>
        <v>男</v>
      </c>
    </row>
    <row r="2265" spans="1:5" ht="30" customHeight="1">
      <c r="A2265" s="7">
        <v>2262</v>
      </c>
      <c r="B2265" s="7" t="str">
        <f>"38662022042109453625432"</f>
        <v>38662022042109453625432</v>
      </c>
      <c r="C2265" s="7" t="s">
        <v>25</v>
      </c>
      <c r="D2265" s="7" t="str">
        <f>"符汉光"</f>
        <v>符汉光</v>
      </c>
      <c r="E2265" s="7" t="str">
        <f>"男"</f>
        <v>男</v>
      </c>
    </row>
    <row r="2266" spans="1:5" ht="30" customHeight="1">
      <c r="A2266" s="7">
        <v>2263</v>
      </c>
      <c r="B2266" s="7" t="str">
        <f>"38662022042109531225530"</f>
        <v>38662022042109531225530</v>
      </c>
      <c r="C2266" s="7" t="s">
        <v>25</v>
      </c>
      <c r="D2266" s="7" t="str">
        <f>"雷宇健"</f>
        <v>雷宇健</v>
      </c>
      <c r="E2266" s="7" t="str">
        <f>"男"</f>
        <v>男</v>
      </c>
    </row>
    <row r="2267" spans="1:5" ht="30" customHeight="1">
      <c r="A2267" s="7">
        <v>2264</v>
      </c>
      <c r="B2267" s="7" t="str">
        <f>"38662022042109565825587"</f>
        <v>38662022042109565825587</v>
      </c>
      <c r="C2267" s="7" t="s">
        <v>25</v>
      </c>
      <c r="D2267" s="7" t="str">
        <f>"符繁厅"</f>
        <v>符繁厅</v>
      </c>
      <c r="E2267" s="7" t="str">
        <f>"男"</f>
        <v>男</v>
      </c>
    </row>
    <row r="2268" spans="1:5" ht="30" customHeight="1">
      <c r="A2268" s="7">
        <v>2265</v>
      </c>
      <c r="B2268" s="7" t="str">
        <f>"38662022042110294426011"</f>
        <v>38662022042110294426011</v>
      </c>
      <c r="C2268" s="7" t="s">
        <v>25</v>
      </c>
      <c r="D2268" s="7" t="str">
        <f>"王琳"</f>
        <v>王琳</v>
      </c>
      <c r="E2268" s="7" t="str">
        <f>"女"</f>
        <v>女</v>
      </c>
    </row>
    <row r="2269" spans="1:5" ht="30" customHeight="1">
      <c r="A2269" s="7">
        <v>2266</v>
      </c>
      <c r="B2269" s="7" t="str">
        <f>"38662022042111050026422"</f>
        <v>38662022042111050026422</v>
      </c>
      <c r="C2269" s="7" t="s">
        <v>25</v>
      </c>
      <c r="D2269" s="7" t="str">
        <f>"李良家"</f>
        <v>李良家</v>
      </c>
      <c r="E2269" s="7" t="str">
        <f>"男"</f>
        <v>男</v>
      </c>
    </row>
    <row r="2270" spans="1:5" ht="30" customHeight="1">
      <c r="A2270" s="7">
        <v>2267</v>
      </c>
      <c r="B2270" s="7" t="str">
        <f>"38662022042111061626430"</f>
        <v>38662022042111061626430</v>
      </c>
      <c r="C2270" s="7" t="s">
        <v>25</v>
      </c>
      <c r="D2270" s="7" t="str">
        <f>"张秋香"</f>
        <v>张秋香</v>
      </c>
      <c r="E2270" s="7" t="str">
        <f>"女"</f>
        <v>女</v>
      </c>
    </row>
    <row r="2271" spans="1:5" ht="30" customHeight="1">
      <c r="A2271" s="7">
        <v>2268</v>
      </c>
      <c r="B2271" s="7" t="str">
        <f>"38662022042112281627077"</f>
        <v>38662022042112281627077</v>
      </c>
      <c r="C2271" s="7" t="s">
        <v>25</v>
      </c>
      <c r="D2271" s="7" t="str">
        <f>"李炳健"</f>
        <v>李炳健</v>
      </c>
      <c r="E2271" s="7" t="str">
        <f>"男"</f>
        <v>男</v>
      </c>
    </row>
    <row r="2272" spans="1:5" ht="30" customHeight="1">
      <c r="A2272" s="7">
        <v>2269</v>
      </c>
      <c r="B2272" s="7" t="str">
        <f>"38662022042112462527202"</f>
        <v>38662022042112462527202</v>
      </c>
      <c r="C2272" s="7" t="s">
        <v>25</v>
      </c>
      <c r="D2272" s="7" t="str">
        <f>"林子甜"</f>
        <v>林子甜</v>
      </c>
      <c r="E2272" s="7" t="str">
        <f>"女"</f>
        <v>女</v>
      </c>
    </row>
    <row r="2273" spans="1:5" ht="30" customHeight="1">
      <c r="A2273" s="7">
        <v>2270</v>
      </c>
      <c r="B2273" s="7" t="str">
        <f>"38662022042112495727219"</f>
        <v>38662022042112495727219</v>
      </c>
      <c r="C2273" s="7" t="s">
        <v>25</v>
      </c>
      <c r="D2273" s="7" t="str">
        <f>"符鸿泽"</f>
        <v>符鸿泽</v>
      </c>
      <c r="E2273" s="7" t="str">
        <f>"男"</f>
        <v>男</v>
      </c>
    </row>
    <row r="2274" spans="1:5" ht="30" customHeight="1">
      <c r="A2274" s="7">
        <v>2271</v>
      </c>
      <c r="B2274" s="7" t="str">
        <f>"38662022042113173427376"</f>
        <v>38662022042113173427376</v>
      </c>
      <c r="C2274" s="7" t="s">
        <v>25</v>
      </c>
      <c r="D2274" s="7" t="str">
        <f>"王仔俊"</f>
        <v>王仔俊</v>
      </c>
      <c r="E2274" s="7" t="str">
        <f>"男"</f>
        <v>男</v>
      </c>
    </row>
    <row r="2275" spans="1:5" ht="30" customHeight="1">
      <c r="A2275" s="7">
        <v>2272</v>
      </c>
      <c r="B2275" s="7" t="str">
        <f>"38662022042114485227866"</f>
        <v>38662022042114485227866</v>
      </c>
      <c r="C2275" s="7" t="s">
        <v>25</v>
      </c>
      <c r="D2275" s="7" t="str">
        <f>"符元"</f>
        <v>符元</v>
      </c>
      <c r="E2275" s="7" t="str">
        <f>"男"</f>
        <v>男</v>
      </c>
    </row>
    <row r="2276" spans="1:5" ht="30" customHeight="1">
      <c r="A2276" s="7">
        <v>2273</v>
      </c>
      <c r="B2276" s="7" t="str">
        <f>"38662022042115432028329"</f>
        <v>38662022042115432028329</v>
      </c>
      <c r="C2276" s="7" t="s">
        <v>25</v>
      </c>
      <c r="D2276" s="7" t="str">
        <f>"秦代威"</f>
        <v>秦代威</v>
      </c>
      <c r="E2276" s="7" t="str">
        <f>"男"</f>
        <v>男</v>
      </c>
    </row>
    <row r="2277" spans="1:5" ht="30" customHeight="1">
      <c r="A2277" s="7">
        <v>2274</v>
      </c>
      <c r="B2277" s="7" t="str">
        <f>"38662022042116390328715"</f>
        <v>38662022042116390328715</v>
      </c>
      <c r="C2277" s="7" t="s">
        <v>25</v>
      </c>
      <c r="D2277" s="7" t="str">
        <f>"王选取"</f>
        <v>王选取</v>
      </c>
      <c r="E2277" s="7" t="str">
        <f>"男"</f>
        <v>男</v>
      </c>
    </row>
    <row r="2278" spans="1:5" ht="30" customHeight="1">
      <c r="A2278" s="7">
        <v>2275</v>
      </c>
      <c r="B2278" s="7" t="str">
        <f>"38662022042116491628784"</f>
        <v>38662022042116491628784</v>
      </c>
      <c r="C2278" s="7" t="s">
        <v>25</v>
      </c>
      <c r="D2278" s="7" t="str">
        <f>"梁朝娜"</f>
        <v>梁朝娜</v>
      </c>
      <c r="E2278" s="7" t="str">
        <f>"女"</f>
        <v>女</v>
      </c>
    </row>
    <row r="2279" spans="1:5" ht="30" customHeight="1">
      <c r="A2279" s="7">
        <v>2276</v>
      </c>
      <c r="B2279" s="7" t="str">
        <f>"38662022042118265529307"</f>
        <v>38662022042118265529307</v>
      </c>
      <c r="C2279" s="7" t="s">
        <v>25</v>
      </c>
      <c r="D2279" s="7" t="str">
        <f>"林道武"</f>
        <v>林道武</v>
      </c>
      <c r="E2279" s="7" t="str">
        <f>"男"</f>
        <v>男</v>
      </c>
    </row>
    <row r="2280" spans="1:5" ht="30" customHeight="1">
      <c r="A2280" s="7">
        <v>2277</v>
      </c>
      <c r="B2280" s="7" t="str">
        <f>"38662022042119475529666"</f>
        <v>38662022042119475529666</v>
      </c>
      <c r="C2280" s="7" t="s">
        <v>25</v>
      </c>
      <c r="D2280" s="7" t="str">
        <f>"符传妹"</f>
        <v>符传妹</v>
      </c>
      <c r="E2280" s="7" t="str">
        <f>"女"</f>
        <v>女</v>
      </c>
    </row>
    <row r="2281" spans="1:5" ht="30" customHeight="1">
      <c r="A2281" s="7">
        <v>2278</v>
      </c>
      <c r="B2281" s="7" t="str">
        <f>"38662022042120502429991"</f>
        <v>38662022042120502429991</v>
      </c>
      <c r="C2281" s="7" t="s">
        <v>25</v>
      </c>
      <c r="D2281" s="7" t="str">
        <f>"符盼臻"</f>
        <v>符盼臻</v>
      </c>
      <c r="E2281" s="7" t="str">
        <f aca="true" t="shared" si="106" ref="E2281:E2289">"男"</f>
        <v>男</v>
      </c>
    </row>
    <row r="2282" spans="1:5" ht="30" customHeight="1">
      <c r="A2282" s="7">
        <v>2279</v>
      </c>
      <c r="B2282" s="7" t="str">
        <f>"38662022042120573530016"</f>
        <v>38662022042120573530016</v>
      </c>
      <c r="C2282" s="7" t="s">
        <v>25</v>
      </c>
      <c r="D2282" s="7" t="str">
        <f>"郑必强"</f>
        <v>郑必强</v>
      </c>
      <c r="E2282" s="7" t="str">
        <f t="shared" si="106"/>
        <v>男</v>
      </c>
    </row>
    <row r="2283" spans="1:5" ht="30" customHeight="1">
      <c r="A2283" s="7">
        <v>2280</v>
      </c>
      <c r="B2283" s="7" t="str">
        <f>"38662022042122380730549"</f>
        <v>38662022042122380730549</v>
      </c>
      <c r="C2283" s="7" t="s">
        <v>25</v>
      </c>
      <c r="D2283" s="7" t="str">
        <f>"李珏"</f>
        <v>李珏</v>
      </c>
      <c r="E2283" s="7" t="str">
        <f t="shared" si="106"/>
        <v>男</v>
      </c>
    </row>
    <row r="2284" spans="1:5" ht="30" customHeight="1">
      <c r="A2284" s="7">
        <v>2281</v>
      </c>
      <c r="B2284" s="7" t="str">
        <f>"38662022042207553130931"</f>
        <v>38662022042207553130931</v>
      </c>
      <c r="C2284" s="7" t="s">
        <v>25</v>
      </c>
      <c r="D2284" s="7" t="str">
        <f>"符作衍"</f>
        <v>符作衍</v>
      </c>
      <c r="E2284" s="7" t="str">
        <f t="shared" si="106"/>
        <v>男</v>
      </c>
    </row>
    <row r="2285" spans="1:5" ht="30" customHeight="1">
      <c r="A2285" s="7">
        <v>2282</v>
      </c>
      <c r="B2285" s="7" t="str">
        <f>"38662022042208323531013"</f>
        <v>38662022042208323531013</v>
      </c>
      <c r="C2285" s="7" t="s">
        <v>25</v>
      </c>
      <c r="D2285" s="7" t="str">
        <f>"黄永钢"</f>
        <v>黄永钢</v>
      </c>
      <c r="E2285" s="7" t="str">
        <f t="shared" si="106"/>
        <v>男</v>
      </c>
    </row>
    <row r="2286" spans="1:5" ht="30" customHeight="1">
      <c r="A2286" s="7">
        <v>2283</v>
      </c>
      <c r="B2286" s="7" t="str">
        <f>"38662022042209290831262"</f>
        <v>38662022042209290831262</v>
      </c>
      <c r="C2286" s="7" t="s">
        <v>25</v>
      </c>
      <c r="D2286" s="7" t="str">
        <f>"韦文坛"</f>
        <v>韦文坛</v>
      </c>
      <c r="E2286" s="7" t="str">
        <f t="shared" si="106"/>
        <v>男</v>
      </c>
    </row>
    <row r="2287" spans="1:5" ht="30" customHeight="1">
      <c r="A2287" s="7">
        <v>2284</v>
      </c>
      <c r="B2287" s="7" t="str">
        <f>"38662022042209450631355"</f>
        <v>38662022042209450631355</v>
      </c>
      <c r="C2287" s="7" t="s">
        <v>25</v>
      </c>
      <c r="D2287" s="7" t="str">
        <f>"赵卓慧"</f>
        <v>赵卓慧</v>
      </c>
      <c r="E2287" s="7" t="str">
        <f t="shared" si="106"/>
        <v>男</v>
      </c>
    </row>
    <row r="2288" spans="1:5" ht="30" customHeight="1">
      <c r="A2288" s="7">
        <v>2285</v>
      </c>
      <c r="B2288" s="7" t="str">
        <f>"38662022042210554631787"</f>
        <v>38662022042210554631787</v>
      </c>
      <c r="C2288" s="7" t="s">
        <v>25</v>
      </c>
      <c r="D2288" s="7" t="str">
        <f>"周刚"</f>
        <v>周刚</v>
      </c>
      <c r="E2288" s="7" t="str">
        <f t="shared" si="106"/>
        <v>男</v>
      </c>
    </row>
    <row r="2289" spans="1:5" ht="30" customHeight="1">
      <c r="A2289" s="7">
        <v>2286</v>
      </c>
      <c r="B2289" s="7" t="str">
        <f>"38662022042215201233281"</f>
        <v>38662022042215201233281</v>
      </c>
      <c r="C2289" s="7" t="s">
        <v>25</v>
      </c>
      <c r="D2289" s="7" t="str">
        <f>"陆玉康"</f>
        <v>陆玉康</v>
      </c>
      <c r="E2289" s="7" t="str">
        <f t="shared" si="106"/>
        <v>男</v>
      </c>
    </row>
    <row r="2290" spans="1:5" ht="30" customHeight="1">
      <c r="A2290" s="7">
        <v>2287</v>
      </c>
      <c r="B2290" s="7" t="str">
        <f>"38662022042215375133395"</f>
        <v>38662022042215375133395</v>
      </c>
      <c r="C2290" s="7" t="s">
        <v>25</v>
      </c>
      <c r="D2290" s="7" t="str">
        <f>"吴慧敏"</f>
        <v>吴慧敏</v>
      </c>
      <c r="E2290" s="7" t="str">
        <f>"女"</f>
        <v>女</v>
      </c>
    </row>
    <row r="2291" spans="1:5" ht="30" customHeight="1">
      <c r="A2291" s="7">
        <v>2288</v>
      </c>
      <c r="B2291" s="7" t="str">
        <f>"38662022042216313833735"</f>
        <v>38662022042216313833735</v>
      </c>
      <c r="C2291" s="7" t="s">
        <v>25</v>
      </c>
      <c r="D2291" s="7" t="str">
        <f>"郑宁宇"</f>
        <v>郑宁宇</v>
      </c>
      <c r="E2291" s="7" t="str">
        <f>"男"</f>
        <v>男</v>
      </c>
    </row>
    <row r="2292" spans="1:5" ht="30" customHeight="1">
      <c r="A2292" s="7">
        <v>2289</v>
      </c>
      <c r="B2292" s="7" t="str">
        <f>"38662022042217191634034"</f>
        <v>38662022042217191634034</v>
      </c>
      <c r="C2292" s="7" t="s">
        <v>25</v>
      </c>
      <c r="D2292" s="7" t="str">
        <f>"颜玉蕊"</f>
        <v>颜玉蕊</v>
      </c>
      <c r="E2292" s="7" t="str">
        <f>"女"</f>
        <v>女</v>
      </c>
    </row>
    <row r="2293" spans="1:5" ht="30" customHeight="1">
      <c r="A2293" s="7">
        <v>2290</v>
      </c>
      <c r="B2293" s="7" t="str">
        <f>"38662022042217271534071"</f>
        <v>38662022042217271534071</v>
      </c>
      <c r="C2293" s="7" t="s">
        <v>25</v>
      </c>
      <c r="D2293" s="7" t="str">
        <f>"桂卫雄"</f>
        <v>桂卫雄</v>
      </c>
      <c r="E2293" s="7" t="str">
        <f aca="true" t="shared" si="107" ref="E2293:E2308">"男"</f>
        <v>男</v>
      </c>
    </row>
    <row r="2294" spans="1:5" ht="30" customHeight="1">
      <c r="A2294" s="7">
        <v>2291</v>
      </c>
      <c r="B2294" s="7" t="str">
        <f>"38662022042309291234953"</f>
        <v>38662022042309291234953</v>
      </c>
      <c r="C2294" s="7" t="s">
        <v>25</v>
      </c>
      <c r="D2294" s="7" t="str">
        <f>"吉育伟"</f>
        <v>吉育伟</v>
      </c>
      <c r="E2294" s="7" t="str">
        <f t="shared" si="107"/>
        <v>男</v>
      </c>
    </row>
    <row r="2295" spans="1:5" ht="30" customHeight="1">
      <c r="A2295" s="7">
        <v>2292</v>
      </c>
      <c r="B2295" s="7" t="str">
        <f>"38662022042311122535094"</f>
        <v>38662022042311122535094</v>
      </c>
      <c r="C2295" s="7" t="s">
        <v>25</v>
      </c>
      <c r="D2295" s="7" t="str">
        <f>"符高运"</f>
        <v>符高运</v>
      </c>
      <c r="E2295" s="7" t="str">
        <f t="shared" si="107"/>
        <v>男</v>
      </c>
    </row>
    <row r="2296" spans="1:5" ht="30" customHeight="1">
      <c r="A2296" s="7">
        <v>2293</v>
      </c>
      <c r="B2296" s="7" t="str">
        <f>"38662022042314244435343"</f>
        <v>38662022042314244435343</v>
      </c>
      <c r="C2296" s="7" t="s">
        <v>25</v>
      </c>
      <c r="D2296" s="7" t="str">
        <f>"潘在望"</f>
        <v>潘在望</v>
      </c>
      <c r="E2296" s="7" t="str">
        <f t="shared" si="107"/>
        <v>男</v>
      </c>
    </row>
    <row r="2297" spans="1:5" ht="30" customHeight="1">
      <c r="A2297" s="7">
        <v>2294</v>
      </c>
      <c r="B2297" s="7" t="str">
        <f>"38662022042318190635641"</f>
        <v>38662022042318190635641</v>
      </c>
      <c r="C2297" s="7" t="s">
        <v>25</v>
      </c>
      <c r="D2297" s="7" t="str">
        <f>"刘文理"</f>
        <v>刘文理</v>
      </c>
      <c r="E2297" s="7" t="str">
        <f t="shared" si="107"/>
        <v>男</v>
      </c>
    </row>
    <row r="2298" spans="1:5" ht="30" customHeight="1">
      <c r="A2298" s="7">
        <v>2295</v>
      </c>
      <c r="B2298" s="7" t="str">
        <f>"38662022042320135535753"</f>
        <v>38662022042320135535753</v>
      </c>
      <c r="C2298" s="7" t="s">
        <v>25</v>
      </c>
      <c r="D2298" s="7" t="str">
        <f>"高泽琼"</f>
        <v>高泽琼</v>
      </c>
      <c r="E2298" s="7" t="str">
        <f t="shared" si="107"/>
        <v>男</v>
      </c>
    </row>
    <row r="2299" spans="1:5" ht="30" customHeight="1">
      <c r="A2299" s="7">
        <v>2296</v>
      </c>
      <c r="B2299" s="7" t="str">
        <f>"38662022042323335136081"</f>
        <v>38662022042323335136081</v>
      </c>
      <c r="C2299" s="7" t="s">
        <v>25</v>
      </c>
      <c r="D2299" s="7" t="str">
        <f>"李兴军"</f>
        <v>李兴军</v>
      </c>
      <c r="E2299" s="7" t="str">
        <f t="shared" si="107"/>
        <v>男</v>
      </c>
    </row>
    <row r="2300" spans="1:5" ht="30" customHeight="1">
      <c r="A2300" s="7">
        <v>2297</v>
      </c>
      <c r="B2300" s="7" t="str">
        <f>"38662022042408570436232"</f>
        <v>38662022042408570436232</v>
      </c>
      <c r="C2300" s="7" t="s">
        <v>25</v>
      </c>
      <c r="D2300" s="7" t="str">
        <f>"符帝传"</f>
        <v>符帝传</v>
      </c>
      <c r="E2300" s="7" t="str">
        <f t="shared" si="107"/>
        <v>男</v>
      </c>
    </row>
    <row r="2301" spans="1:5" ht="30" customHeight="1">
      <c r="A2301" s="7">
        <v>2298</v>
      </c>
      <c r="B2301" s="7" t="str">
        <f>"38662022042411172136515"</f>
        <v>38662022042411172136515</v>
      </c>
      <c r="C2301" s="7" t="s">
        <v>25</v>
      </c>
      <c r="D2301" s="7" t="str">
        <f>"曹彭"</f>
        <v>曹彭</v>
      </c>
      <c r="E2301" s="7" t="str">
        <f t="shared" si="107"/>
        <v>男</v>
      </c>
    </row>
    <row r="2302" spans="1:5" ht="30" customHeight="1">
      <c r="A2302" s="7">
        <v>2299</v>
      </c>
      <c r="B2302" s="7" t="str">
        <f>"38662022042415001936855"</f>
        <v>38662022042415001936855</v>
      </c>
      <c r="C2302" s="7" t="s">
        <v>25</v>
      </c>
      <c r="D2302" s="7" t="str">
        <f>"苏诗中"</f>
        <v>苏诗中</v>
      </c>
      <c r="E2302" s="7" t="str">
        <f t="shared" si="107"/>
        <v>男</v>
      </c>
    </row>
    <row r="2303" spans="1:5" ht="30" customHeight="1">
      <c r="A2303" s="7">
        <v>2300</v>
      </c>
      <c r="B2303" s="7" t="str">
        <f>"38662022042419093037329"</f>
        <v>38662022042419093037329</v>
      </c>
      <c r="C2303" s="7" t="s">
        <v>25</v>
      </c>
      <c r="D2303" s="7" t="str">
        <f>"林明宇"</f>
        <v>林明宇</v>
      </c>
      <c r="E2303" s="7" t="str">
        <f t="shared" si="107"/>
        <v>男</v>
      </c>
    </row>
    <row r="2304" spans="1:5" ht="30" customHeight="1">
      <c r="A2304" s="7">
        <v>2301</v>
      </c>
      <c r="B2304" s="7" t="str">
        <f>"38662022042510334938004"</f>
        <v>38662022042510334938004</v>
      </c>
      <c r="C2304" s="7" t="s">
        <v>25</v>
      </c>
      <c r="D2304" s="7" t="str">
        <f>"郑时一"</f>
        <v>郑时一</v>
      </c>
      <c r="E2304" s="7" t="str">
        <f t="shared" si="107"/>
        <v>男</v>
      </c>
    </row>
    <row r="2305" spans="1:5" ht="30" customHeight="1">
      <c r="A2305" s="7">
        <v>2302</v>
      </c>
      <c r="B2305" s="7" t="str">
        <f>"38662022042512495338196"</f>
        <v>38662022042512495338196</v>
      </c>
      <c r="C2305" s="7" t="s">
        <v>25</v>
      </c>
      <c r="D2305" s="7" t="str">
        <f>"孙于琅"</f>
        <v>孙于琅</v>
      </c>
      <c r="E2305" s="7" t="str">
        <f t="shared" si="107"/>
        <v>男</v>
      </c>
    </row>
    <row r="2306" spans="1:5" ht="30" customHeight="1">
      <c r="A2306" s="7">
        <v>2303</v>
      </c>
      <c r="B2306" s="7" t="str">
        <f>"38662022042514582338318"</f>
        <v>38662022042514582338318</v>
      </c>
      <c r="C2306" s="7" t="s">
        <v>25</v>
      </c>
      <c r="D2306" s="7" t="str">
        <f>"林升灿"</f>
        <v>林升灿</v>
      </c>
      <c r="E2306" s="7" t="str">
        <f t="shared" si="107"/>
        <v>男</v>
      </c>
    </row>
    <row r="2307" spans="1:5" ht="30" customHeight="1">
      <c r="A2307" s="7">
        <v>2304</v>
      </c>
      <c r="B2307" s="7" t="str">
        <f>"38662022042519315038716"</f>
        <v>38662022042519315038716</v>
      </c>
      <c r="C2307" s="7" t="s">
        <v>25</v>
      </c>
      <c r="D2307" s="7" t="str">
        <f>"羊进虎"</f>
        <v>羊进虎</v>
      </c>
      <c r="E2307" s="7" t="str">
        <f t="shared" si="107"/>
        <v>男</v>
      </c>
    </row>
    <row r="2308" spans="1:5" ht="30" customHeight="1">
      <c r="A2308" s="7">
        <v>2305</v>
      </c>
      <c r="B2308" s="7" t="str">
        <f>"38662022042522343838958"</f>
        <v>38662022042522343838958</v>
      </c>
      <c r="C2308" s="7" t="s">
        <v>25</v>
      </c>
      <c r="D2308" s="7" t="str">
        <f>"黄泽翔"</f>
        <v>黄泽翔</v>
      </c>
      <c r="E2308" s="7" t="str">
        <f t="shared" si="107"/>
        <v>男</v>
      </c>
    </row>
    <row r="2309" spans="1:5" ht="30" customHeight="1">
      <c r="A2309" s="7">
        <v>2306</v>
      </c>
      <c r="B2309" s="7" t="str">
        <f>"38662022042616290439811"</f>
        <v>38662022042616290439811</v>
      </c>
      <c r="C2309" s="7" t="s">
        <v>25</v>
      </c>
      <c r="D2309" s="7" t="str">
        <f>"唐大香"</f>
        <v>唐大香</v>
      </c>
      <c r="E2309" s="7" t="str">
        <f>"女"</f>
        <v>女</v>
      </c>
    </row>
    <row r="2310" spans="1:5" ht="30" customHeight="1">
      <c r="A2310" s="7">
        <v>2307</v>
      </c>
      <c r="B2310" s="7" t="str">
        <f>"38662022042618462540008"</f>
        <v>38662022042618462540008</v>
      </c>
      <c r="C2310" s="7" t="s">
        <v>25</v>
      </c>
      <c r="D2310" s="7" t="str">
        <f>"王先清"</f>
        <v>王先清</v>
      </c>
      <c r="E2310" s="7" t="str">
        <f>"男"</f>
        <v>男</v>
      </c>
    </row>
    <row r="2311" spans="1:5" ht="30" customHeight="1">
      <c r="A2311" s="7">
        <v>2308</v>
      </c>
      <c r="B2311" s="7" t="str">
        <f>"38662022042618482440009"</f>
        <v>38662022042618482440009</v>
      </c>
      <c r="C2311" s="7" t="s">
        <v>25</v>
      </c>
      <c r="D2311" s="7" t="str">
        <f>"王国培"</f>
        <v>王国培</v>
      </c>
      <c r="E2311" s="7" t="str">
        <f>"男"</f>
        <v>男</v>
      </c>
    </row>
    <row r="2312" spans="1:5" ht="30" customHeight="1">
      <c r="A2312" s="7">
        <v>2309</v>
      </c>
      <c r="B2312" s="7" t="str">
        <f>"38662022042619413040066"</f>
        <v>38662022042619413040066</v>
      </c>
      <c r="C2312" s="7" t="s">
        <v>25</v>
      </c>
      <c r="D2312" s="7" t="str">
        <f>"符凯珍"</f>
        <v>符凯珍</v>
      </c>
      <c r="E2312" s="7" t="str">
        <f>"男"</f>
        <v>男</v>
      </c>
    </row>
    <row r="2313" spans="1:5" ht="30" customHeight="1">
      <c r="A2313" s="7">
        <v>2310</v>
      </c>
      <c r="B2313" s="7" t="str">
        <f>"38662022042708312340598"</f>
        <v>38662022042708312340598</v>
      </c>
      <c r="C2313" s="7" t="s">
        <v>25</v>
      </c>
      <c r="D2313" s="7" t="str">
        <f>"黄仁龙"</f>
        <v>黄仁龙</v>
      </c>
      <c r="E2313" s="7" t="str">
        <f>"男"</f>
        <v>男</v>
      </c>
    </row>
    <row r="2314" spans="1:5" ht="30" customHeight="1">
      <c r="A2314" s="7">
        <v>2311</v>
      </c>
      <c r="B2314" s="7" t="str">
        <f>"38662022042711510042477"</f>
        <v>38662022042711510042477</v>
      </c>
      <c r="C2314" s="7" t="s">
        <v>25</v>
      </c>
      <c r="D2314" s="7" t="str">
        <f>"薛庆娥"</f>
        <v>薛庆娥</v>
      </c>
      <c r="E2314" s="7" t="str">
        <f>"女"</f>
        <v>女</v>
      </c>
    </row>
    <row r="2315" spans="1:5" ht="30" customHeight="1">
      <c r="A2315" s="7">
        <v>2312</v>
      </c>
      <c r="B2315" s="7" t="str">
        <f>"38662022042715425343913"</f>
        <v>38662022042715425343913</v>
      </c>
      <c r="C2315" s="7" t="s">
        <v>25</v>
      </c>
      <c r="D2315" s="7" t="str">
        <f>"严锋"</f>
        <v>严锋</v>
      </c>
      <c r="E2315" s="7" t="str">
        <f>"男"</f>
        <v>男</v>
      </c>
    </row>
    <row r="2316" spans="1:5" ht="30" customHeight="1">
      <c r="A2316" s="7">
        <v>2313</v>
      </c>
      <c r="B2316" s="7" t="str">
        <f>"38662022042212315832576"</f>
        <v>38662022042212315832576</v>
      </c>
      <c r="C2316" s="7" t="s">
        <v>26</v>
      </c>
      <c r="D2316" s="7" t="str">
        <f>"周小练"</f>
        <v>周小练</v>
      </c>
      <c r="E2316" s="7" t="str">
        <f aca="true" t="shared" si="108" ref="E2316:E2328">"女"</f>
        <v>女</v>
      </c>
    </row>
    <row r="2317" spans="1:5" ht="30" customHeight="1">
      <c r="A2317" s="7">
        <v>2314</v>
      </c>
      <c r="B2317" s="7" t="str">
        <f>"38662022042219411934435"</f>
        <v>38662022042219411934435</v>
      </c>
      <c r="C2317" s="7" t="s">
        <v>26</v>
      </c>
      <c r="D2317" s="7" t="str">
        <f>"陈泰珍"</f>
        <v>陈泰珍</v>
      </c>
      <c r="E2317" s="7" t="str">
        <f t="shared" si="108"/>
        <v>女</v>
      </c>
    </row>
    <row r="2318" spans="1:5" ht="30" customHeight="1">
      <c r="A2318" s="7">
        <v>2315</v>
      </c>
      <c r="B2318" s="7" t="str">
        <f>"38662022042221055734591"</f>
        <v>38662022042221055734591</v>
      </c>
      <c r="C2318" s="7" t="s">
        <v>26</v>
      </c>
      <c r="D2318" s="7" t="str">
        <f>"吴丹"</f>
        <v>吴丹</v>
      </c>
      <c r="E2318" s="7" t="str">
        <f t="shared" si="108"/>
        <v>女</v>
      </c>
    </row>
    <row r="2319" spans="1:5" ht="30" customHeight="1">
      <c r="A2319" s="7">
        <v>2316</v>
      </c>
      <c r="B2319" s="7" t="str">
        <f>"38662022042309321534960"</f>
        <v>38662022042309321534960</v>
      </c>
      <c r="C2319" s="7" t="s">
        <v>26</v>
      </c>
      <c r="D2319" s="7" t="str">
        <f>"邢小丹"</f>
        <v>邢小丹</v>
      </c>
      <c r="E2319" s="7" t="str">
        <f t="shared" si="108"/>
        <v>女</v>
      </c>
    </row>
    <row r="2320" spans="1:5" ht="30" customHeight="1">
      <c r="A2320" s="7">
        <v>2317</v>
      </c>
      <c r="B2320" s="7" t="str">
        <f>"38662022042319495835728"</f>
        <v>38662022042319495835728</v>
      </c>
      <c r="C2320" s="7" t="s">
        <v>26</v>
      </c>
      <c r="D2320" s="7" t="str">
        <f>"徐月圆"</f>
        <v>徐月圆</v>
      </c>
      <c r="E2320" s="7" t="str">
        <f t="shared" si="108"/>
        <v>女</v>
      </c>
    </row>
    <row r="2321" spans="1:5" ht="30" customHeight="1">
      <c r="A2321" s="7">
        <v>2318</v>
      </c>
      <c r="B2321" s="7" t="str">
        <f>"38662022042415072136867"</f>
        <v>38662022042415072136867</v>
      </c>
      <c r="C2321" s="7" t="s">
        <v>26</v>
      </c>
      <c r="D2321" s="7" t="str">
        <f>"胡妹"</f>
        <v>胡妹</v>
      </c>
      <c r="E2321" s="7" t="str">
        <f t="shared" si="108"/>
        <v>女</v>
      </c>
    </row>
    <row r="2322" spans="1:5" ht="30" customHeight="1">
      <c r="A2322" s="7">
        <v>2319</v>
      </c>
      <c r="B2322" s="7" t="str">
        <f>"38662022042508211337815"</f>
        <v>38662022042508211337815</v>
      </c>
      <c r="C2322" s="7" t="s">
        <v>26</v>
      </c>
      <c r="D2322" s="7" t="str">
        <f>"余丽芳"</f>
        <v>余丽芳</v>
      </c>
      <c r="E2322" s="7" t="str">
        <f t="shared" si="108"/>
        <v>女</v>
      </c>
    </row>
    <row r="2323" spans="1:5" ht="30" customHeight="1">
      <c r="A2323" s="7">
        <v>2320</v>
      </c>
      <c r="B2323" s="7" t="str">
        <f>"38662022042109094625001"</f>
        <v>38662022042109094625001</v>
      </c>
      <c r="C2323" s="7" t="s">
        <v>27</v>
      </c>
      <c r="D2323" s="7" t="str">
        <f>"邢诗砚"</f>
        <v>邢诗砚</v>
      </c>
      <c r="E2323" s="7" t="str">
        <f t="shared" si="108"/>
        <v>女</v>
      </c>
    </row>
    <row r="2324" spans="1:5" ht="30" customHeight="1">
      <c r="A2324" s="7">
        <v>2321</v>
      </c>
      <c r="B2324" s="7" t="str">
        <f>"38662022042109115125029"</f>
        <v>38662022042109115125029</v>
      </c>
      <c r="C2324" s="7" t="s">
        <v>27</v>
      </c>
      <c r="D2324" s="7" t="str">
        <f>"陈秋月"</f>
        <v>陈秋月</v>
      </c>
      <c r="E2324" s="7" t="str">
        <f t="shared" si="108"/>
        <v>女</v>
      </c>
    </row>
    <row r="2325" spans="1:5" ht="30" customHeight="1">
      <c r="A2325" s="7">
        <v>2322</v>
      </c>
      <c r="B2325" s="7" t="str">
        <f>"38662022042109354125314"</f>
        <v>38662022042109354125314</v>
      </c>
      <c r="C2325" s="7" t="s">
        <v>27</v>
      </c>
      <c r="D2325" s="7" t="str">
        <f>"李莉芬"</f>
        <v>李莉芬</v>
      </c>
      <c r="E2325" s="7" t="str">
        <f t="shared" si="108"/>
        <v>女</v>
      </c>
    </row>
    <row r="2326" spans="1:5" ht="30" customHeight="1">
      <c r="A2326" s="7">
        <v>2323</v>
      </c>
      <c r="B2326" s="7" t="str">
        <f>"38662022042109363225323"</f>
        <v>38662022042109363225323</v>
      </c>
      <c r="C2326" s="7" t="s">
        <v>27</v>
      </c>
      <c r="D2326" s="7" t="str">
        <f>"董朝燕"</f>
        <v>董朝燕</v>
      </c>
      <c r="E2326" s="7" t="str">
        <f t="shared" si="108"/>
        <v>女</v>
      </c>
    </row>
    <row r="2327" spans="1:5" ht="30" customHeight="1">
      <c r="A2327" s="7">
        <v>2324</v>
      </c>
      <c r="B2327" s="7" t="str">
        <f>"38662022042109373925338"</f>
        <v>38662022042109373925338</v>
      </c>
      <c r="C2327" s="7" t="s">
        <v>27</v>
      </c>
      <c r="D2327" s="7" t="str">
        <f>"刘珍玲"</f>
        <v>刘珍玲</v>
      </c>
      <c r="E2327" s="7" t="str">
        <f t="shared" si="108"/>
        <v>女</v>
      </c>
    </row>
    <row r="2328" spans="1:5" ht="30" customHeight="1">
      <c r="A2328" s="7">
        <v>2325</v>
      </c>
      <c r="B2328" s="7" t="str">
        <f>"38662022042109461825440"</f>
        <v>38662022042109461825440</v>
      </c>
      <c r="C2328" s="7" t="s">
        <v>27</v>
      </c>
      <c r="D2328" s="7" t="str">
        <f>"曲鹏"</f>
        <v>曲鹏</v>
      </c>
      <c r="E2328" s="7" t="str">
        <f t="shared" si="108"/>
        <v>女</v>
      </c>
    </row>
    <row r="2329" spans="1:5" ht="30" customHeight="1">
      <c r="A2329" s="7">
        <v>2326</v>
      </c>
      <c r="B2329" s="7" t="str">
        <f>"38662022042110033425675"</f>
        <v>38662022042110033425675</v>
      </c>
      <c r="C2329" s="7" t="s">
        <v>27</v>
      </c>
      <c r="D2329" s="7" t="str">
        <f>"王亚飞"</f>
        <v>王亚飞</v>
      </c>
      <c r="E2329" s="7" t="str">
        <f>"男"</f>
        <v>男</v>
      </c>
    </row>
    <row r="2330" spans="1:5" ht="30" customHeight="1">
      <c r="A2330" s="7">
        <v>2327</v>
      </c>
      <c r="B2330" s="7" t="str">
        <f>"38662022042110202525883"</f>
        <v>38662022042110202525883</v>
      </c>
      <c r="C2330" s="7" t="s">
        <v>27</v>
      </c>
      <c r="D2330" s="7" t="str">
        <f>"丁君慧"</f>
        <v>丁君慧</v>
      </c>
      <c r="E2330" s="7" t="str">
        <f aca="true" t="shared" si="109" ref="E2330:E2342">"女"</f>
        <v>女</v>
      </c>
    </row>
    <row r="2331" spans="1:5" ht="30" customHeight="1">
      <c r="A2331" s="7">
        <v>2328</v>
      </c>
      <c r="B2331" s="7" t="str">
        <f>"38662022042110220325900"</f>
        <v>38662022042110220325900</v>
      </c>
      <c r="C2331" s="7" t="s">
        <v>27</v>
      </c>
      <c r="D2331" s="7" t="str">
        <f>"赵永祎"</f>
        <v>赵永祎</v>
      </c>
      <c r="E2331" s="7" t="str">
        <f t="shared" si="109"/>
        <v>女</v>
      </c>
    </row>
    <row r="2332" spans="1:5" ht="30" customHeight="1">
      <c r="A2332" s="7">
        <v>2329</v>
      </c>
      <c r="B2332" s="7" t="str">
        <f>"38662022042110311026030"</f>
        <v>38662022042110311026030</v>
      </c>
      <c r="C2332" s="7" t="s">
        <v>27</v>
      </c>
      <c r="D2332" s="7" t="str">
        <f>"黄朝华"</f>
        <v>黄朝华</v>
      </c>
      <c r="E2332" s="7" t="str">
        <f t="shared" si="109"/>
        <v>女</v>
      </c>
    </row>
    <row r="2333" spans="1:5" ht="30" customHeight="1">
      <c r="A2333" s="7">
        <v>2330</v>
      </c>
      <c r="B2333" s="7" t="str">
        <f>"38662022042110335326067"</f>
        <v>38662022042110335326067</v>
      </c>
      <c r="C2333" s="7" t="s">
        <v>27</v>
      </c>
      <c r="D2333" s="7" t="str">
        <f>"叶紫"</f>
        <v>叶紫</v>
      </c>
      <c r="E2333" s="7" t="str">
        <f t="shared" si="109"/>
        <v>女</v>
      </c>
    </row>
    <row r="2334" spans="1:5" ht="30" customHeight="1">
      <c r="A2334" s="7">
        <v>2331</v>
      </c>
      <c r="B2334" s="7" t="str">
        <f>"38662022042110363526096"</f>
        <v>38662022042110363526096</v>
      </c>
      <c r="C2334" s="7" t="s">
        <v>27</v>
      </c>
      <c r="D2334" s="7" t="str">
        <f>"马蕊"</f>
        <v>马蕊</v>
      </c>
      <c r="E2334" s="7" t="str">
        <f t="shared" si="109"/>
        <v>女</v>
      </c>
    </row>
    <row r="2335" spans="1:5" ht="30" customHeight="1">
      <c r="A2335" s="7">
        <v>2332</v>
      </c>
      <c r="B2335" s="7" t="str">
        <f>"38662022042110504426270"</f>
        <v>38662022042110504426270</v>
      </c>
      <c r="C2335" s="7" t="s">
        <v>27</v>
      </c>
      <c r="D2335" s="7" t="str">
        <f>"周美美"</f>
        <v>周美美</v>
      </c>
      <c r="E2335" s="7" t="str">
        <f t="shared" si="109"/>
        <v>女</v>
      </c>
    </row>
    <row r="2336" spans="1:5" ht="30" customHeight="1">
      <c r="A2336" s="7">
        <v>2333</v>
      </c>
      <c r="B2336" s="7" t="str">
        <f>"38662022042110504926272"</f>
        <v>38662022042110504926272</v>
      </c>
      <c r="C2336" s="7" t="s">
        <v>27</v>
      </c>
      <c r="D2336" s="7" t="str">
        <f>"云小丽"</f>
        <v>云小丽</v>
      </c>
      <c r="E2336" s="7" t="str">
        <f t="shared" si="109"/>
        <v>女</v>
      </c>
    </row>
    <row r="2337" spans="1:5" ht="30" customHeight="1">
      <c r="A2337" s="7">
        <v>2334</v>
      </c>
      <c r="B2337" s="7" t="str">
        <f>"38662022042111054226427"</f>
        <v>38662022042111054226427</v>
      </c>
      <c r="C2337" s="7" t="s">
        <v>27</v>
      </c>
      <c r="D2337" s="7" t="str">
        <f>"庞华南"</f>
        <v>庞华南</v>
      </c>
      <c r="E2337" s="7" t="str">
        <f t="shared" si="109"/>
        <v>女</v>
      </c>
    </row>
    <row r="2338" spans="1:5" ht="30" customHeight="1">
      <c r="A2338" s="7">
        <v>2335</v>
      </c>
      <c r="B2338" s="7" t="str">
        <f>"38662022042111324326660"</f>
        <v>38662022042111324326660</v>
      </c>
      <c r="C2338" s="7" t="s">
        <v>27</v>
      </c>
      <c r="D2338" s="7" t="str">
        <f>"黄扬恋"</f>
        <v>黄扬恋</v>
      </c>
      <c r="E2338" s="7" t="str">
        <f t="shared" si="109"/>
        <v>女</v>
      </c>
    </row>
    <row r="2339" spans="1:5" ht="30" customHeight="1">
      <c r="A2339" s="7">
        <v>2336</v>
      </c>
      <c r="B2339" s="7" t="str">
        <f>"38662022042111330526664"</f>
        <v>38662022042111330526664</v>
      </c>
      <c r="C2339" s="7" t="s">
        <v>27</v>
      </c>
      <c r="D2339" s="7" t="str">
        <f>"吕英春"</f>
        <v>吕英春</v>
      </c>
      <c r="E2339" s="7" t="str">
        <f t="shared" si="109"/>
        <v>女</v>
      </c>
    </row>
    <row r="2340" spans="1:5" ht="30" customHeight="1">
      <c r="A2340" s="7">
        <v>2337</v>
      </c>
      <c r="B2340" s="7" t="str">
        <f>"38662022042111352126686"</f>
        <v>38662022042111352126686</v>
      </c>
      <c r="C2340" s="7" t="s">
        <v>27</v>
      </c>
      <c r="D2340" s="7" t="str">
        <f>"黎玉兰"</f>
        <v>黎玉兰</v>
      </c>
      <c r="E2340" s="7" t="str">
        <f t="shared" si="109"/>
        <v>女</v>
      </c>
    </row>
    <row r="2341" spans="1:5" ht="30" customHeight="1">
      <c r="A2341" s="7">
        <v>2338</v>
      </c>
      <c r="B2341" s="7" t="str">
        <f>"38662022042111375926720"</f>
        <v>38662022042111375926720</v>
      </c>
      <c r="C2341" s="7" t="s">
        <v>27</v>
      </c>
      <c r="D2341" s="7" t="str">
        <f>"董慧敏"</f>
        <v>董慧敏</v>
      </c>
      <c r="E2341" s="7" t="str">
        <f t="shared" si="109"/>
        <v>女</v>
      </c>
    </row>
    <row r="2342" spans="1:5" ht="30" customHeight="1">
      <c r="A2342" s="7">
        <v>2339</v>
      </c>
      <c r="B2342" s="7" t="str">
        <f>"38662022042111530626844"</f>
        <v>38662022042111530626844</v>
      </c>
      <c r="C2342" s="7" t="s">
        <v>27</v>
      </c>
      <c r="D2342" s="7" t="str">
        <f>"符梦蝶"</f>
        <v>符梦蝶</v>
      </c>
      <c r="E2342" s="7" t="str">
        <f t="shared" si="109"/>
        <v>女</v>
      </c>
    </row>
    <row r="2343" spans="1:5" ht="30" customHeight="1">
      <c r="A2343" s="7">
        <v>2340</v>
      </c>
      <c r="B2343" s="7" t="str">
        <f>"38662022042111533726853"</f>
        <v>38662022042111533726853</v>
      </c>
      <c r="C2343" s="7" t="s">
        <v>27</v>
      </c>
      <c r="D2343" s="7" t="str">
        <f>"陈浩"</f>
        <v>陈浩</v>
      </c>
      <c r="E2343" s="7" t="str">
        <f>"男"</f>
        <v>男</v>
      </c>
    </row>
    <row r="2344" spans="1:5" ht="30" customHeight="1">
      <c r="A2344" s="7">
        <v>2341</v>
      </c>
      <c r="B2344" s="7" t="str">
        <f>"38662022042111590226897"</f>
        <v>38662022042111590226897</v>
      </c>
      <c r="C2344" s="7" t="s">
        <v>27</v>
      </c>
      <c r="D2344" s="7" t="str">
        <f>"符杰贤"</f>
        <v>符杰贤</v>
      </c>
      <c r="E2344" s="7" t="str">
        <f>"男"</f>
        <v>男</v>
      </c>
    </row>
    <row r="2345" spans="1:5" ht="30" customHeight="1">
      <c r="A2345" s="7">
        <v>2342</v>
      </c>
      <c r="B2345" s="7" t="str">
        <f>"38662022042112041926927"</f>
        <v>38662022042112041926927</v>
      </c>
      <c r="C2345" s="7" t="s">
        <v>27</v>
      </c>
      <c r="D2345" s="7" t="str">
        <f>"叶招私"</f>
        <v>叶招私</v>
      </c>
      <c r="E2345" s="7" t="str">
        <f aca="true" t="shared" si="110" ref="E2345:E2406">"女"</f>
        <v>女</v>
      </c>
    </row>
    <row r="2346" spans="1:5" ht="30" customHeight="1">
      <c r="A2346" s="7">
        <v>2343</v>
      </c>
      <c r="B2346" s="7" t="str">
        <f>"38662022042112241427048"</f>
        <v>38662022042112241427048</v>
      </c>
      <c r="C2346" s="7" t="s">
        <v>27</v>
      </c>
      <c r="D2346" s="7" t="str">
        <f>"洪杨婵"</f>
        <v>洪杨婵</v>
      </c>
      <c r="E2346" s="7" t="str">
        <f t="shared" si="110"/>
        <v>女</v>
      </c>
    </row>
    <row r="2347" spans="1:5" ht="30" customHeight="1">
      <c r="A2347" s="7">
        <v>2344</v>
      </c>
      <c r="B2347" s="7" t="str">
        <f>"38662022042112250527055"</f>
        <v>38662022042112250527055</v>
      </c>
      <c r="C2347" s="7" t="s">
        <v>27</v>
      </c>
      <c r="D2347" s="7" t="str">
        <f>"黎引雪"</f>
        <v>黎引雪</v>
      </c>
      <c r="E2347" s="7" t="str">
        <f t="shared" si="110"/>
        <v>女</v>
      </c>
    </row>
    <row r="2348" spans="1:5" ht="30" customHeight="1">
      <c r="A2348" s="7">
        <v>2345</v>
      </c>
      <c r="B2348" s="7" t="str">
        <f>"38662022042113023727295"</f>
        <v>38662022042113023727295</v>
      </c>
      <c r="C2348" s="7" t="s">
        <v>27</v>
      </c>
      <c r="D2348" s="7" t="str">
        <f>"符冬雪"</f>
        <v>符冬雪</v>
      </c>
      <c r="E2348" s="7" t="str">
        <f t="shared" si="110"/>
        <v>女</v>
      </c>
    </row>
    <row r="2349" spans="1:5" ht="30" customHeight="1">
      <c r="A2349" s="7">
        <v>2346</v>
      </c>
      <c r="B2349" s="7" t="str">
        <f>"38662022042114480927856"</f>
        <v>38662022042114480927856</v>
      </c>
      <c r="C2349" s="7" t="s">
        <v>27</v>
      </c>
      <c r="D2349" s="7" t="str">
        <f>"王碧"</f>
        <v>王碧</v>
      </c>
      <c r="E2349" s="7" t="str">
        <f t="shared" si="110"/>
        <v>女</v>
      </c>
    </row>
    <row r="2350" spans="1:5" ht="30" customHeight="1">
      <c r="A2350" s="7">
        <v>2347</v>
      </c>
      <c r="B2350" s="7" t="str">
        <f>"38662022042115133728088"</f>
        <v>38662022042115133728088</v>
      </c>
      <c r="C2350" s="7" t="s">
        <v>27</v>
      </c>
      <c r="D2350" s="7" t="str">
        <f>"黄英姿"</f>
        <v>黄英姿</v>
      </c>
      <c r="E2350" s="7" t="str">
        <f t="shared" si="110"/>
        <v>女</v>
      </c>
    </row>
    <row r="2351" spans="1:5" ht="30" customHeight="1">
      <c r="A2351" s="7">
        <v>2348</v>
      </c>
      <c r="B2351" s="7" t="str">
        <f>"38662022042115565628431"</f>
        <v>38662022042115565628431</v>
      </c>
      <c r="C2351" s="7" t="s">
        <v>27</v>
      </c>
      <c r="D2351" s="7" t="str">
        <f>"郑春颜"</f>
        <v>郑春颜</v>
      </c>
      <c r="E2351" s="7" t="str">
        <f t="shared" si="110"/>
        <v>女</v>
      </c>
    </row>
    <row r="2352" spans="1:5" ht="30" customHeight="1">
      <c r="A2352" s="7">
        <v>2349</v>
      </c>
      <c r="B2352" s="7" t="str">
        <f>"38662022042117040528876"</f>
        <v>38662022042117040528876</v>
      </c>
      <c r="C2352" s="7" t="s">
        <v>27</v>
      </c>
      <c r="D2352" s="7" t="str">
        <f>"张小莉"</f>
        <v>张小莉</v>
      </c>
      <c r="E2352" s="7" t="str">
        <f t="shared" si="110"/>
        <v>女</v>
      </c>
    </row>
    <row r="2353" spans="1:5" ht="30" customHeight="1">
      <c r="A2353" s="7">
        <v>2350</v>
      </c>
      <c r="B2353" s="7" t="str">
        <f>"38662022042117251229024"</f>
        <v>38662022042117251229024</v>
      </c>
      <c r="C2353" s="7" t="s">
        <v>27</v>
      </c>
      <c r="D2353" s="7" t="str">
        <f>"钱小云"</f>
        <v>钱小云</v>
      </c>
      <c r="E2353" s="7" t="str">
        <f t="shared" si="110"/>
        <v>女</v>
      </c>
    </row>
    <row r="2354" spans="1:5" ht="30" customHeight="1">
      <c r="A2354" s="7">
        <v>2351</v>
      </c>
      <c r="B2354" s="7" t="str">
        <f>"38662022042117402529101"</f>
        <v>38662022042117402529101</v>
      </c>
      <c r="C2354" s="7" t="s">
        <v>27</v>
      </c>
      <c r="D2354" s="7" t="str">
        <f>"林杨"</f>
        <v>林杨</v>
      </c>
      <c r="E2354" s="7" t="str">
        <f t="shared" si="110"/>
        <v>女</v>
      </c>
    </row>
    <row r="2355" spans="1:5" ht="30" customHeight="1">
      <c r="A2355" s="7">
        <v>2352</v>
      </c>
      <c r="B2355" s="7" t="str">
        <f>"38662022042117425929114"</f>
        <v>38662022042117425929114</v>
      </c>
      <c r="C2355" s="7" t="s">
        <v>27</v>
      </c>
      <c r="D2355" s="7" t="str">
        <f>"杭苗心"</f>
        <v>杭苗心</v>
      </c>
      <c r="E2355" s="7" t="str">
        <f t="shared" si="110"/>
        <v>女</v>
      </c>
    </row>
    <row r="2356" spans="1:5" ht="30" customHeight="1">
      <c r="A2356" s="7">
        <v>2353</v>
      </c>
      <c r="B2356" s="7" t="str">
        <f>"38662022042118004429212"</f>
        <v>38662022042118004429212</v>
      </c>
      <c r="C2356" s="7" t="s">
        <v>27</v>
      </c>
      <c r="D2356" s="7" t="str">
        <f>"吴儒菊"</f>
        <v>吴儒菊</v>
      </c>
      <c r="E2356" s="7" t="str">
        <f t="shared" si="110"/>
        <v>女</v>
      </c>
    </row>
    <row r="2357" spans="1:5" ht="30" customHeight="1">
      <c r="A2357" s="7">
        <v>2354</v>
      </c>
      <c r="B2357" s="7" t="str">
        <f>"38662022042118593929444"</f>
        <v>38662022042118593929444</v>
      </c>
      <c r="C2357" s="7" t="s">
        <v>27</v>
      </c>
      <c r="D2357" s="7" t="str">
        <f>"陈未"</f>
        <v>陈未</v>
      </c>
      <c r="E2357" s="7" t="str">
        <f t="shared" si="110"/>
        <v>女</v>
      </c>
    </row>
    <row r="2358" spans="1:5" ht="30" customHeight="1">
      <c r="A2358" s="7">
        <v>2355</v>
      </c>
      <c r="B2358" s="7" t="str">
        <f>"38662022042119144529511"</f>
        <v>38662022042119144529511</v>
      </c>
      <c r="C2358" s="7" t="s">
        <v>27</v>
      </c>
      <c r="D2358" s="7" t="str">
        <f>"吴文妹"</f>
        <v>吴文妹</v>
      </c>
      <c r="E2358" s="7" t="str">
        <f t="shared" si="110"/>
        <v>女</v>
      </c>
    </row>
    <row r="2359" spans="1:5" ht="30" customHeight="1">
      <c r="A2359" s="7">
        <v>2356</v>
      </c>
      <c r="B2359" s="7" t="str">
        <f>"38662022042120054829744"</f>
        <v>38662022042120054829744</v>
      </c>
      <c r="C2359" s="7" t="s">
        <v>27</v>
      </c>
      <c r="D2359" s="7" t="str">
        <f>"李小琴"</f>
        <v>李小琴</v>
      </c>
      <c r="E2359" s="7" t="str">
        <f t="shared" si="110"/>
        <v>女</v>
      </c>
    </row>
    <row r="2360" spans="1:5" ht="30" customHeight="1">
      <c r="A2360" s="7">
        <v>2357</v>
      </c>
      <c r="B2360" s="7" t="str">
        <f>"38662022042121034230059"</f>
        <v>38662022042121034230059</v>
      </c>
      <c r="C2360" s="7" t="s">
        <v>27</v>
      </c>
      <c r="D2360" s="7" t="str">
        <f>"王艺淇"</f>
        <v>王艺淇</v>
      </c>
      <c r="E2360" s="7" t="str">
        <f t="shared" si="110"/>
        <v>女</v>
      </c>
    </row>
    <row r="2361" spans="1:5" ht="30" customHeight="1">
      <c r="A2361" s="7">
        <v>2358</v>
      </c>
      <c r="B2361" s="7" t="str">
        <f>"38662022042121200230151"</f>
        <v>38662022042121200230151</v>
      </c>
      <c r="C2361" s="7" t="s">
        <v>27</v>
      </c>
      <c r="D2361" s="7" t="str">
        <f>"俞春丽"</f>
        <v>俞春丽</v>
      </c>
      <c r="E2361" s="7" t="str">
        <f t="shared" si="110"/>
        <v>女</v>
      </c>
    </row>
    <row r="2362" spans="1:5" ht="30" customHeight="1">
      <c r="A2362" s="7">
        <v>2359</v>
      </c>
      <c r="B2362" s="7" t="str">
        <f>"38662022042121280630193"</f>
        <v>38662022042121280630193</v>
      </c>
      <c r="C2362" s="7" t="s">
        <v>27</v>
      </c>
      <c r="D2362" s="7" t="str">
        <f>"刘小坤"</f>
        <v>刘小坤</v>
      </c>
      <c r="E2362" s="7" t="str">
        <f t="shared" si="110"/>
        <v>女</v>
      </c>
    </row>
    <row r="2363" spans="1:5" ht="30" customHeight="1">
      <c r="A2363" s="7">
        <v>2360</v>
      </c>
      <c r="B2363" s="7" t="str">
        <f>"38662022042121300730206"</f>
        <v>38662022042121300730206</v>
      </c>
      <c r="C2363" s="7" t="s">
        <v>27</v>
      </c>
      <c r="D2363" s="7" t="str">
        <f>"赵坤相"</f>
        <v>赵坤相</v>
      </c>
      <c r="E2363" s="7" t="str">
        <f t="shared" si="110"/>
        <v>女</v>
      </c>
    </row>
    <row r="2364" spans="1:5" ht="30" customHeight="1">
      <c r="A2364" s="7">
        <v>2361</v>
      </c>
      <c r="B2364" s="7" t="str">
        <f>"38662022042208395631032"</f>
        <v>38662022042208395631032</v>
      </c>
      <c r="C2364" s="7" t="s">
        <v>27</v>
      </c>
      <c r="D2364" s="7" t="str">
        <f>"李小晶"</f>
        <v>李小晶</v>
      </c>
      <c r="E2364" s="7" t="str">
        <f t="shared" si="110"/>
        <v>女</v>
      </c>
    </row>
    <row r="2365" spans="1:5" ht="30" customHeight="1">
      <c r="A2365" s="7">
        <v>2362</v>
      </c>
      <c r="B2365" s="7" t="str">
        <f>"38662022042213245332791"</f>
        <v>38662022042213245332791</v>
      </c>
      <c r="C2365" s="7" t="s">
        <v>27</v>
      </c>
      <c r="D2365" s="7" t="str">
        <f>"陈演娜"</f>
        <v>陈演娜</v>
      </c>
      <c r="E2365" s="7" t="str">
        <f t="shared" si="110"/>
        <v>女</v>
      </c>
    </row>
    <row r="2366" spans="1:5" ht="30" customHeight="1">
      <c r="A2366" s="7">
        <v>2363</v>
      </c>
      <c r="B2366" s="7" t="str">
        <f>"38662022042214534933125"</f>
        <v>38662022042214534933125</v>
      </c>
      <c r="C2366" s="7" t="s">
        <v>27</v>
      </c>
      <c r="D2366" s="7" t="str">
        <f>"任喜芊"</f>
        <v>任喜芊</v>
      </c>
      <c r="E2366" s="7" t="str">
        <f t="shared" si="110"/>
        <v>女</v>
      </c>
    </row>
    <row r="2367" spans="1:5" ht="30" customHeight="1">
      <c r="A2367" s="7">
        <v>2364</v>
      </c>
      <c r="B2367" s="7" t="str">
        <f>"38662022042215154333250"</f>
        <v>38662022042215154333250</v>
      </c>
      <c r="C2367" s="7" t="s">
        <v>27</v>
      </c>
      <c r="D2367" s="7" t="str">
        <f>"田宇"</f>
        <v>田宇</v>
      </c>
      <c r="E2367" s="7" t="str">
        <f t="shared" si="110"/>
        <v>女</v>
      </c>
    </row>
    <row r="2368" spans="1:5" ht="30" customHeight="1">
      <c r="A2368" s="7">
        <v>2365</v>
      </c>
      <c r="B2368" s="7" t="str">
        <f>"38662022042215513633485"</f>
        <v>38662022042215513633485</v>
      </c>
      <c r="C2368" s="7" t="s">
        <v>27</v>
      </c>
      <c r="D2368" s="7" t="str">
        <f>"张娜"</f>
        <v>张娜</v>
      </c>
      <c r="E2368" s="7" t="str">
        <f t="shared" si="110"/>
        <v>女</v>
      </c>
    </row>
    <row r="2369" spans="1:5" ht="30" customHeight="1">
      <c r="A2369" s="7">
        <v>2366</v>
      </c>
      <c r="B2369" s="7" t="str">
        <f>"38662022042217363534122"</f>
        <v>38662022042217363534122</v>
      </c>
      <c r="C2369" s="7" t="s">
        <v>27</v>
      </c>
      <c r="D2369" s="7" t="str">
        <f>"段茜"</f>
        <v>段茜</v>
      </c>
      <c r="E2369" s="7" t="str">
        <f t="shared" si="110"/>
        <v>女</v>
      </c>
    </row>
    <row r="2370" spans="1:5" ht="30" customHeight="1">
      <c r="A2370" s="7">
        <v>2367</v>
      </c>
      <c r="B2370" s="7" t="str">
        <f>"38662022042217530234184"</f>
        <v>38662022042217530234184</v>
      </c>
      <c r="C2370" s="7" t="s">
        <v>27</v>
      </c>
      <c r="D2370" s="7" t="str">
        <f>"范媛媛"</f>
        <v>范媛媛</v>
      </c>
      <c r="E2370" s="7" t="str">
        <f t="shared" si="110"/>
        <v>女</v>
      </c>
    </row>
    <row r="2371" spans="1:5" ht="30" customHeight="1">
      <c r="A2371" s="7">
        <v>2368</v>
      </c>
      <c r="B2371" s="7" t="str">
        <f>"38662022042217535934191"</f>
        <v>38662022042217535934191</v>
      </c>
      <c r="C2371" s="7" t="s">
        <v>27</v>
      </c>
      <c r="D2371" s="7" t="str">
        <f>"魏丽婷"</f>
        <v>魏丽婷</v>
      </c>
      <c r="E2371" s="7" t="str">
        <f t="shared" si="110"/>
        <v>女</v>
      </c>
    </row>
    <row r="2372" spans="1:5" ht="30" customHeight="1">
      <c r="A2372" s="7">
        <v>2369</v>
      </c>
      <c r="B2372" s="7" t="str">
        <f>"38662022042219133334382"</f>
        <v>38662022042219133334382</v>
      </c>
      <c r="C2372" s="7" t="s">
        <v>27</v>
      </c>
      <c r="D2372" s="7" t="str">
        <f>"洪小冰"</f>
        <v>洪小冰</v>
      </c>
      <c r="E2372" s="7" t="str">
        <f t="shared" si="110"/>
        <v>女</v>
      </c>
    </row>
    <row r="2373" spans="1:5" ht="30" customHeight="1">
      <c r="A2373" s="7">
        <v>2370</v>
      </c>
      <c r="B2373" s="7" t="str">
        <f>"38662022042222153434719"</f>
        <v>38662022042222153434719</v>
      </c>
      <c r="C2373" s="7" t="s">
        <v>27</v>
      </c>
      <c r="D2373" s="7" t="str">
        <f>"薛琼"</f>
        <v>薛琼</v>
      </c>
      <c r="E2373" s="7" t="str">
        <f t="shared" si="110"/>
        <v>女</v>
      </c>
    </row>
    <row r="2374" spans="1:5" ht="30" customHeight="1">
      <c r="A2374" s="7">
        <v>2371</v>
      </c>
      <c r="B2374" s="7" t="str">
        <f>"38662022042307031834875"</f>
        <v>38662022042307031834875</v>
      </c>
      <c r="C2374" s="7" t="s">
        <v>27</v>
      </c>
      <c r="D2374" s="7" t="str">
        <f>"何靖"</f>
        <v>何靖</v>
      </c>
      <c r="E2374" s="7" t="str">
        <f t="shared" si="110"/>
        <v>女</v>
      </c>
    </row>
    <row r="2375" spans="1:5" ht="30" customHeight="1">
      <c r="A2375" s="7">
        <v>2372</v>
      </c>
      <c r="B2375" s="7" t="str">
        <f>"38662022042310444935058"</f>
        <v>38662022042310444935058</v>
      </c>
      <c r="C2375" s="7" t="s">
        <v>27</v>
      </c>
      <c r="D2375" s="7" t="str">
        <f>"黎慧怡"</f>
        <v>黎慧怡</v>
      </c>
      <c r="E2375" s="7" t="str">
        <f t="shared" si="110"/>
        <v>女</v>
      </c>
    </row>
    <row r="2376" spans="1:5" ht="30" customHeight="1">
      <c r="A2376" s="7">
        <v>2373</v>
      </c>
      <c r="B2376" s="7" t="str">
        <f>"38662022042311060535081"</f>
        <v>38662022042311060535081</v>
      </c>
      <c r="C2376" s="7" t="s">
        <v>27</v>
      </c>
      <c r="D2376" s="7" t="str">
        <f>"史源平"</f>
        <v>史源平</v>
      </c>
      <c r="E2376" s="7" t="str">
        <f t="shared" si="110"/>
        <v>女</v>
      </c>
    </row>
    <row r="2377" spans="1:5" ht="30" customHeight="1">
      <c r="A2377" s="7">
        <v>2374</v>
      </c>
      <c r="B2377" s="7" t="str">
        <f>"38662022042312075135181"</f>
        <v>38662022042312075135181</v>
      </c>
      <c r="C2377" s="7" t="s">
        <v>27</v>
      </c>
      <c r="D2377" s="7" t="str">
        <f>"王少换"</f>
        <v>王少换</v>
      </c>
      <c r="E2377" s="7" t="str">
        <f t="shared" si="110"/>
        <v>女</v>
      </c>
    </row>
    <row r="2378" spans="1:5" ht="30" customHeight="1">
      <c r="A2378" s="7">
        <v>2375</v>
      </c>
      <c r="B2378" s="7" t="str">
        <f>"38662022042314131135330"</f>
        <v>38662022042314131135330</v>
      </c>
      <c r="C2378" s="7" t="s">
        <v>27</v>
      </c>
      <c r="D2378" s="7" t="str">
        <f>"林婷"</f>
        <v>林婷</v>
      </c>
      <c r="E2378" s="7" t="str">
        <f t="shared" si="110"/>
        <v>女</v>
      </c>
    </row>
    <row r="2379" spans="1:5" ht="30" customHeight="1">
      <c r="A2379" s="7">
        <v>2376</v>
      </c>
      <c r="B2379" s="7" t="str">
        <f>"38662022042315143635400"</f>
        <v>38662022042315143635400</v>
      </c>
      <c r="C2379" s="7" t="s">
        <v>27</v>
      </c>
      <c r="D2379" s="7" t="str">
        <f>"范玉玲"</f>
        <v>范玉玲</v>
      </c>
      <c r="E2379" s="7" t="str">
        <f t="shared" si="110"/>
        <v>女</v>
      </c>
    </row>
    <row r="2380" spans="1:5" ht="30" customHeight="1">
      <c r="A2380" s="7">
        <v>2377</v>
      </c>
      <c r="B2380" s="7" t="str">
        <f>"38662022042319141835686"</f>
        <v>38662022042319141835686</v>
      </c>
      <c r="C2380" s="7" t="s">
        <v>27</v>
      </c>
      <c r="D2380" s="7" t="str">
        <f>"陈洁"</f>
        <v>陈洁</v>
      </c>
      <c r="E2380" s="7" t="str">
        <f t="shared" si="110"/>
        <v>女</v>
      </c>
    </row>
    <row r="2381" spans="1:5" ht="30" customHeight="1">
      <c r="A2381" s="7">
        <v>2378</v>
      </c>
      <c r="B2381" s="7" t="str">
        <f>"38662022042320165035758"</f>
        <v>38662022042320165035758</v>
      </c>
      <c r="C2381" s="7" t="s">
        <v>27</v>
      </c>
      <c r="D2381" s="7" t="str">
        <f>"陈红艳"</f>
        <v>陈红艳</v>
      </c>
      <c r="E2381" s="7" t="str">
        <f t="shared" si="110"/>
        <v>女</v>
      </c>
    </row>
    <row r="2382" spans="1:5" ht="30" customHeight="1">
      <c r="A2382" s="7">
        <v>2379</v>
      </c>
      <c r="B2382" s="7" t="str">
        <f>"38662022042321405435905"</f>
        <v>38662022042321405435905</v>
      </c>
      <c r="C2382" s="7" t="s">
        <v>27</v>
      </c>
      <c r="D2382" s="7" t="str">
        <f>"林小娜"</f>
        <v>林小娜</v>
      </c>
      <c r="E2382" s="7" t="str">
        <f t="shared" si="110"/>
        <v>女</v>
      </c>
    </row>
    <row r="2383" spans="1:5" ht="30" customHeight="1">
      <c r="A2383" s="7">
        <v>2380</v>
      </c>
      <c r="B2383" s="7" t="str">
        <f>"38662022042407310536150"</f>
        <v>38662022042407310536150</v>
      </c>
      <c r="C2383" s="7" t="s">
        <v>27</v>
      </c>
      <c r="D2383" s="7" t="str">
        <f>"谭向冰"</f>
        <v>谭向冰</v>
      </c>
      <c r="E2383" s="7" t="str">
        <f t="shared" si="110"/>
        <v>女</v>
      </c>
    </row>
    <row r="2384" spans="1:5" ht="30" customHeight="1">
      <c r="A2384" s="7">
        <v>2381</v>
      </c>
      <c r="B2384" s="7" t="str">
        <f>"38662022042408453836211"</f>
        <v>38662022042408453836211</v>
      </c>
      <c r="C2384" s="7" t="s">
        <v>27</v>
      </c>
      <c r="D2384" s="7" t="str">
        <f>"王海云"</f>
        <v>王海云</v>
      </c>
      <c r="E2384" s="7" t="str">
        <f t="shared" si="110"/>
        <v>女</v>
      </c>
    </row>
    <row r="2385" spans="1:5" ht="30" customHeight="1">
      <c r="A2385" s="7">
        <v>2382</v>
      </c>
      <c r="B2385" s="7" t="str">
        <f>"38662022042411231436526"</f>
        <v>38662022042411231436526</v>
      </c>
      <c r="C2385" s="7" t="s">
        <v>27</v>
      </c>
      <c r="D2385" s="7" t="str">
        <f>"陆小云"</f>
        <v>陆小云</v>
      </c>
      <c r="E2385" s="7" t="str">
        <f t="shared" si="110"/>
        <v>女</v>
      </c>
    </row>
    <row r="2386" spans="1:5" ht="30" customHeight="1">
      <c r="A2386" s="7">
        <v>2383</v>
      </c>
      <c r="B2386" s="7" t="str">
        <f>"38662022042412115736613"</f>
        <v>38662022042412115736613</v>
      </c>
      <c r="C2386" s="7" t="s">
        <v>27</v>
      </c>
      <c r="D2386" s="7" t="str">
        <f>"张小慧"</f>
        <v>张小慧</v>
      </c>
      <c r="E2386" s="7" t="str">
        <f t="shared" si="110"/>
        <v>女</v>
      </c>
    </row>
    <row r="2387" spans="1:5" ht="30" customHeight="1">
      <c r="A2387" s="7">
        <v>2384</v>
      </c>
      <c r="B2387" s="7" t="str">
        <f>"38662022042412414036660"</f>
        <v>38662022042412414036660</v>
      </c>
      <c r="C2387" s="7" t="s">
        <v>27</v>
      </c>
      <c r="D2387" s="7" t="str">
        <f>"李华成"</f>
        <v>李华成</v>
      </c>
      <c r="E2387" s="7" t="str">
        <f t="shared" si="110"/>
        <v>女</v>
      </c>
    </row>
    <row r="2388" spans="1:5" ht="30" customHeight="1">
      <c r="A2388" s="7">
        <v>2385</v>
      </c>
      <c r="B2388" s="7" t="str">
        <f>"38662022042412445936668"</f>
        <v>38662022042412445936668</v>
      </c>
      <c r="C2388" s="7" t="s">
        <v>27</v>
      </c>
      <c r="D2388" s="7" t="str">
        <f>"钟丽娜"</f>
        <v>钟丽娜</v>
      </c>
      <c r="E2388" s="7" t="str">
        <f t="shared" si="110"/>
        <v>女</v>
      </c>
    </row>
    <row r="2389" spans="1:5" ht="30" customHeight="1">
      <c r="A2389" s="7">
        <v>2386</v>
      </c>
      <c r="B2389" s="7" t="str">
        <f>"38662022042413462036763"</f>
        <v>38662022042413462036763</v>
      </c>
      <c r="C2389" s="7" t="s">
        <v>27</v>
      </c>
      <c r="D2389" s="7" t="str">
        <f>"黄丹"</f>
        <v>黄丹</v>
      </c>
      <c r="E2389" s="7" t="str">
        <f t="shared" si="110"/>
        <v>女</v>
      </c>
    </row>
    <row r="2390" spans="1:5" ht="30" customHeight="1">
      <c r="A2390" s="7">
        <v>2387</v>
      </c>
      <c r="B2390" s="7" t="str">
        <f>"38662022042417101637151"</f>
        <v>38662022042417101637151</v>
      </c>
      <c r="C2390" s="7" t="s">
        <v>27</v>
      </c>
      <c r="D2390" s="7" t="str">
        <f>"王慧"</f>
        <v>王慧</v>
      </c>
      <c r="E2390" s="7" t="str">
        <f t="shared" si="110"/>
        <v>女</v>
      </c>
    </row>
    <row r="2391" spans="1:5" ht="30" customHeight="1">
      <c r="A2391" s="7">
        <v>2388</v>
      </c>
      <c r="B2391" s="7" t="str">
        <f>"38662022042417131937157"</f>
        <v>38662022042417131937157</v>
      </c>
      <c r="C2391" s="7" t="s">
        <v>27</v>
      </c>
      <c r="D2391" s="7" t="str">
        <f>"吴瑜"</f>
        <v>吴瑜</v>
      </c>
      <c r="E2391" s="7" t="str">
        <f t="shared" si="110"/>
        <v>女</v>
      </c>
    </row>
    <row r="2392" spans="1:5" ht="30" customHeight="1">
      <c r="A2392" s="7">
        <v>2389</v>
      </c>
      <c r="B2392" s="7" t="str">
        <f>"38662022042418071337244"</f>
        <v>38662022042418071337244</v>
      </c>
      <c r="C2392" s="7" t="s">
        <v>27</v>
      </c>
      <c r="D2392" s="7" t="str">
        <f>"余鼎鼎"</f>
        <v>余鼎鼎</v>
      </c>
      <c r="E2392" s="7" t="str">
        <f t="shared" si="110"/>
        <v>女</v>
      </c>
    </row>
    <row r="2393" spans="1:5" ht="30" customHeight="1">
      <c r="A2393" s="7">
        <v>2390</v>
      </c>
      <c r="B2393" s="7" t="str">
        <f>"38662022042420464437476"</f>
        <v>38662022042420464437476</v>
      </c>
      <c r="C2393" s="7" t="s">
        <v>27</v>
      </c>
      <c r="D2393" s="7" t="str">
        <f>"毛冬梅"</f>
        <v>毛冬梅</v>
      </c>
      <c r="E2393" s="7" t="str">
        <f t="shared" si="110"/>
        <v>女</v>
      </c>
    </row>
    <row r="2394" spans="1:5" ht="30" customHeight="1">
      <c r="A2394" s="7">
        <v>2391</v>
      </c>
      <c r="B2394" s="7" t="str">
        <f>"38662022042421045537511"</f>
        <v>38662022042421045537511</v>
      </c>
      <c r="C2394" s="7" t="s">
        <v>27</v>
      </c>
      <c r="D2394" s="7" t="str">
        <f>"许芳"</f>
        <v>许芳</v>
      </c>
      <c r="E2394" s="7" t="str">
        <f t="shared" si="110"/>
        <v>女</v>
      </c>
    </row>
    <row r="2395" spans="1:5" ht="30" customHeight="1">
      <c r="A2395" s="7">
        <v>2392</v>
      </c>
      <c r="B2395" s="7" t="str">
        <f>"38662022042508044337803"</f>
        <v>38662022042508044337803</v>
      </c>
      <c r="C2395" s="7" t="s">
        <v>27</v>
      </c>
      <c r="D2395" s="7" t="str">
        <f>"李紫媛"</f>
        <v>李紫媛</v>
      </c>
      <c r="E2395" s="7" t="str">
        <f t="shared" si="110"/>
        <v>女</v>
      </c>
    </row>
    <row r="2396" spans="1:5" ht="30" customHeight="1">
      <c r="A2396" s="7">
        <v>2393</v>
      </c>
      <c r="B2396" s="7" t="str">
        <f>"38662022042509342537895"</f>
        <v>38662022042509342537895</v>
      </c>
      <c r="C2396" s="7" t="s">
        <v>27</v>
      </c>
      <c r="D2396" s="7" t="str">
        <f>"云艳苗"</f>
        <v>云艳苗</v>
      </c>
      <c r="E2396" s="7" t="str">
        <f t="shared" si="110"/>
        <v>女</v>
      </c>
    </row>
    <row r="2397" spans="1:5" ht="30" customHeight="1">
      <c r="A2397" s="7">
        <v>2394</v>
      </c>
      <c r="B2397" s="7" t="str">
        <f>"38662022042509454437919"</f>
        <v>38662022042509454437919</v>
      </c>
      <c r="C2397" s="7" t="s">
        <v>27</v>
      </c>
      <c r="D2397" s="7" t="str">
        <f>"谢金花"</f>
        <v>谢金花</v>
      </c>
      <c r="E2397" s="7" t="str">
        <f t="shared" si="110"/>
        <v>女</v>
      </c>
    </row>
    <row r="2398" spans="1:5" ht="30" customHeight="1">
      <c r="A2398" s="7">
        <v>2395</v>
      </c>
      <c r="B2398" s="7" t="str">
        <f>"38662022042510214937979"</f>
        <v>38662022042510214937979</v>
      </c>
      <c r="C2398" s="7" t="s">
        <v>27</v>
      </c>
      <c r="D2398" s="7" t="str">
        <f>"符香妍"</f>
        <v>符香妍</v>
      </c>
      <c r="E2398" s="7" t="str">
        <f t="shared" si="110"/>
        <v>女</v>
      </c>
    </row>
    <row r="2399" spans="1:5" ht="30" customHeight="1">
      <c r="A2399" s="7">
        <v>2396</v>
      </c>
      <c r="B2399" s="7" t="str">
        <f>"38662022042511012438067"</f>
        <v>38662022042511012438067</v>
      </c>
      <c r="C2399" s="7" t="s">
        <v>27</v>
      </c>
      <c r="D2399" s="7" t="str">
        <f>"黄小槟"</f>
        <v>黄小槟</v>
      </c>
      <c r="E2399" s="7" t="str">
        <f t="shared" si="110"/>
        <v>女</v>
      </c>
    </row>
    <row r="2400" spans="1:5" ht="30" customHeight="1">
      <c r="A2400" s="7">
        <v>2397</v>
      </c>
      <c r="B2400" s="7" t="str">
        <f>"38662022042511211438106"</f>
        <v>38662022042511211438106</v>
      </c>
      <c r="C2400" s="7" t="s">
        <v>27</v>
      </c>
      <c r="D2400" s="7" t="str">
        <f>"姚必文"</f>
        <v>姚必文</v>
      </c>
      <c r="E2400" s="7" t="str">
        <f t="shared" si="110"/>
        <v>女</v>
      </c>
    </row>
    <row r="2401" spans="1:5" ht="30" customHeight="1">
      <c r="A2401" s="7">
        <v>2398</v>
      </c>
      <c r="B2401" s="7" t="str">
        <f>"38662022042512185538161"</f>
        <v>38662022042512185538161</v>
      </c>
      <c r="C2401" s="7" t="s">
        <v>27</v>
      </c>
      <c r="D2401" s="7" t="str">
        <f>"郑帝娥"</f>
        <v>郑帝娥</v>
      </c>
      <c r="E2401" s="7" t="str">
        <f t="shared" si="110"/>
        <v>女</v>
      </c>
    </row>
    <row r="2402" spans="1:5" ht="30" customHeight="1">
      <c r="A2402" s="7">
        <v>2399</v>
      </c>
      <c r="B2402" s="7" t="str">
        <f>"38662022042512544338203"</f>
        <v>38662022042512544338203</v>
      </c>
      <c r="C2402" s="7" t="s">
        <v>27</v>
      </c>
      <c r="D2402" s="7" t="str">
        <f>"王永敏"</f>
        <v>王永敏</v>
      </c>
      <c r="E2402" s="7" t="str">
        <f t="shared" si="110"/>
        <v>女</v>
      </c>
    </row>
    <row r="2403" spans="1:5" ht="30" customHeight="1">
      <c r="A2403" s="7">
        <v>2400</v>
      </c>
      <c r="B2403" s="7" t="str">
        <f>"38662022042514205838269"</f>
        <v>38662022042514205838269</v>
      </c>
      <c r="C2403" s="7" t="s">
        <v>27</v>
      </c>
      <c r="D2403" s="7" t="str">
        <f>"尹妃"</f>
        <v>尹妃</v>
      </c>
      <c r="E2403" s="7" t="str">
        <f t="shared" si="110"/>
        <v>女</v>
      </c>
    </row>
    <row r="2404" spans="1:5" ht="30" customHeight="1">
      <c r="A2404" s="7">
        <v>2401</v>
      </c>
      <c r="B2404" s="7" t="str">
        <f>"38662022042517103338552"</f>
        <v>38662022042517103338552</v>
      </c>
      <c r="C2404" s="7" t="s">
        <v>27</v>
      </c>
      <c r="D2404" s="7" t="str">
        <f>"羊芳娟"</f>
        <v>羊芳娟</v>
      </c>
      <c r="E2404" s="7" t="str">
        <f t="shared" si="110"/>
        <v>女</v>
      </c>
    </row>
    <row r="2405" spans="1:5" ht="30" customHeight="1">
      <c r="A2405" s="7">
        <v>2402</v>
      </c>
      <c r="B2405" s="7" t="str">
        <f>"38662022042518203038634"</f>
        <v>38662022042518203038634</v>
      </c>
      <c r="C2405" s="7" t="s">
        <v>27</v>
      </c>
      <c r="D2405" s="7" t="str">
        <f>"黎井爱"</f>
        <v>黎井爱</v>
      </c>
      <c r="E2405" s="7" t="str">
        <f t="shared" si="110"/>
        <v>女</v>
      </c>
    </row>
    <row r="2406" spans="1:5" ht="30" customHeight="1">
      <c r="A2406" s="7">
        <v>2403</v>
      </c>
      <c r="B2406" s="7" t="str">
        <f>"38662022042519131338702"</f>
        <v>38662022042519131338702</v>
      </c>
      <c r="C2406" s="7" t="s">
        <v>27</v>
      </c>
      <c r="D2406" s="7" t="str">
        <f>"唐梦茜"</f>
        <v>唐梦茜</v>
      </c>
      <c r="E2406" s="7" t="str">
        <f t="shared" si="110"/>
        <v>女</v>
      </c>
    </row>
    <row r="2407" spans="1:5" ht="30" customHeight="1">
      <c r="A2407" s="7">
        <v>2404</v>
      </c>
      <c r="B2407" s="7" t="str">
        <f>"38662022042520392438795"</f>
        <v>38662022042520392438795</v>
      </c>
      <c r="C2407" s="7" t="s">
        <v>27</v>
      </c>
      <c r="D2407" s="7" t="str">
        <f>"李瑞东"</f>
        <v>李瑞东</v>
      </c>
      <c r="E2407" s="7" t="str">
        <f>"男"</f>
        <v>男</v>
      </c>
    </row>
    <row r="2408" spans="1:5" ht="30" customHeight="1">
      <c r="A2408" s="7">
        <v>2405</v>
      </c>
      <c r="B2408" s="7" t="str">
        <f>"38662022042521103738836"</f>
        <v>38662022042521103738836</v>
      </c>
      <c r="C2408" s="7" t="s">
        <v>27</v>
      </c>
      <c r="D2408" s="7" t="str">
        <f>"吴丽格"</f>
        <v>吴丽格</v>
      </c>
      <c r="E2408" s="7" t="str">
        <f aca="true" t="shared" si="111" ref="E2408:E2433">"女"</f>
        <v>女</v>
      </c>
    </row>
    <row r="2409" spans="1:5" ht="30" customHeight="1">
      <c r="A2409" s="7">
        <v>2406</v>
      </c>
      <c r="B2409" s="7" t="str">
        <f>"38662022042521465238891"</f>
        <v>38662022042521465238891</v>
      </c>
      <c r="C2409" s="7" t="s">
        <v>27</v>
      </c>
      <c r="D2409" s="7" t="str">
        <f>"陈文婷"</f>
        <v>陈文婷</v>
      </c>
      <c r="E2409" s="7" t="str">
        <f t="shared" si="111"/>
        <v>女</v>
      </c>
    </row>
    <row r="2410" spans="1:5" ht="30" customHeight="1">
      <c r="A2410" s="7">
        <v>2407</v>
      </c>
      <c r="B2410" s="7" t="str">
        <f>"38662022042522130738925"</f>
        <v>38662022042522130738925</v>
      </c>
      <c r="C2410" s="7" t="s">
        <v>27</v>
      </c>
      <c r="D2410" s="7" t="str">
        <f>"李念容"</f>
        <v>李念容</v>
      </c>
      <c r="E2410" s="7" t="str">
        <f t="shared" si="111"/>
        <v>女</v>
      </c>
    </row>
    <row r="2411" spans="1:5" ht="30" customHeight="1">
      <c r="A2411" s="7">
        <v>2408</v>
      </c>
      <c r="B2411" s="7" t="str">
        <f>"38662022042608574439164"</f>
        <v>38662022042608574439164</v>
      </c>
      <c r="C2411" s="7" t="s">
        <v>27</v>
      </c>
      <c r="D2411" s="7" t="str">
        <f>"陈丹女"</f>
        <v>陈丹女</v>
      </c>
      <c r="E2411" s="7" t="str">
        <f t="shared" si="111"/>
        <v>女</v>
      </c>
    </row>
    <row r="2412" spans="1:5" ht="30" customHeight="1">
      <c r="A2412" s="7">
        <v>2409</v>
      </c>
      <c r="B2412" s="7" t="str">
        <f>"38662022042610120539275"</f>
        <v>38662022042610120539275</v>
      </c>
      <c r="C2412" s="7" t="s">
        <v>27</v>
      </c>
      <c r="D2412" s="7" t="str">
        <f>"周善鸾"</f>
        <v>周善鸾</v>
      </c>
      <c r="E2412" s="7" t="str">
        <f t="shared" si="111"/>
        <v>女</v>
      </c>
    </row>
    <row r="2413" spans="1:5" ht="30" customHeight="1">
      <c r="A2413" s="7">
        <v>2410</v>
      </c>
      <c r="B2413" s="7" t="str">
        <f>"38662022042611052339358"</f>
        <v>38662022042611052339358</v>
      </c>
      <c r="C2413" s="7" t="s">
        <v>27</v>
      </c>
      <c r="D2413" s="7" t="str">
        <f>"甘露"</f>
        <v>甘露</v>
      </c>
      <c r="E2413" s="7" t="str">
        <f t="shared" si="111"/>
        <v>女</v>
      </c>
    </row>
    <row r="2414" spans="1:5" ht="30" customHeight="1">
      <c r="A2414" s="7">
        <v>2411</v>
      </c>
      <c r="B2414" s="7" t="str">
        <f>"38662022042612431239490"</f>
        <v>38662022042612431239490</v>
      </c>
      <c r="C2414" s="7" t="s">
        <v>27</v>
      </c>
      <c r="D2414" s="7" t="str">
        <f>"张杏"</f>
        <v>张杏</v>
      </c>
      <c r="E2414" s="7" t="str">
        <f t="shared" si="111"/>
        <v>女</v>
      </c>
    </row>
    <row r="2415" spans="1:5" ht="30" customHeight="1">
      <c r="A2415" s="7">
        <v>2412</v>
      </c>
      <c r="B2415" s="7" t="str">
        <f>"38662022042612563739506"</f>
        <v>38662022042612563739506</v>
      </c>
      <c r="C2415" s="7" t="s">
        <v>27</v>
      </c>
      <c r="D2415" s="7" t="str">
        <f>"何佳欣"</f>
        <v>何佳欣</v>
      </c>
      <c r="E2415" s="7" t="str">
        <f t="shared" si="111"/>
        <v>女</v>
      </c>
    </row>
    <row r="2416" spans="1:5" ht="30" customHeight="1">
      <c r="A2416" s="7">
        <v>2413</v>
      </c>
      <c r="B2416" s="7" t="str">
        <f>"38662022042614192139584"</f>
        <v>38662022042614192139584</v>
      </c>
      <c r="C2416" s="7" t="s">
        <v>27</v>
      </c>
      <c r="D2416" s="7" t="str">
        <f>"陈夏惠"</f>
        <v>陈夏惠</v>
      </c>
      <c r="E2416" s="7" t="str">
        <f t="shared" si="111"/>
        <v>女</v>
      </c>
    </row>
    <row r="2417" spans="1:5" ht="30" customHeight="1">
      <c r="A2417" s="7">
        <v>2414</v>
      </c>
      <c r="B2417" s="7" t="str">
        <f>"38662022042614510239612"</f>
        <v>38662022042614510239612</v>
      </c>
      <c r="C2417" s="7" t="s">
        <v>27</v>
      </c>
      <c r="D2417" s="7" t="str">
        <f>"杨小香"</f>
        <v>杨小香</v>
      </c>
      <c r="E2417" s="7" t="str">
        <f t="shared" si="111"/>
        <v>女</v>
      </c>
    </row>
    <row r="2418" spans="1:5" ht="30" customHeight="1">
      <c r="A2418" s="7">
        <v>2415</v>
      </c>
      <c r="B2418" s="7" t="str">
        <f>"38662022042615064439644"</f>
        <v>38662022042615064439644</v>
      </c>
      <c r="C2418" s="7" t="s">
        <v>27</v>
      </c>
      <c r="D2418" s="7" t="str">
        <f>"李环媚"</f>
        <v>李环媚</v>
      </c>
      <c r="E2418" s="7" t="str">
        <f t="shared" si="111"/>
        <v>女</v>
      </c>
    </row>
    <row r="2419" spans="1:5" ht="30" customHeight="1">
      <c r="A2419" s="7">
        <v>2416</v>
      </c>
      <c r="B2419" s="7" t="str">
        <f>"38662022042615150139662"</f>
        <v>38662022042615150139662</v>
      </c>
      <c r="C2419" s="7" t="s">
        <v>27</v>
      </c>
      <c r="D2419" s="7" t="str">
        <f>"陈嫦初"</f>
        <v>陈嫦初</v>
      </c>
      <c r="E2419" s="7" t="str">
        <f t="shared" si="111"/>
        <v>女</v>
      </c>
    </row>
    <row r="2420" spans="1:5" ht="30" customHeight="1">
      <c r="A2420" s="7">
        <v>2417</v>
      </c>
      <c r="B2420" s="7" t="str">
        <f>"38662022042616024039761"</f>
        <v>38662022042616024039761</v>
      </c>
      <c r="C2420" s="7" t="s">
        <v>27</v>
      </c>
      <c r="D2420" s="7" t="str">
        <f>"王应妹"</f>
        <v>王应妹</v>
      </c>
      <c r="E2420" s="7" t="str">
        <f t="shared" si="111"/>
        <v>女</v>
      </c>
    </row>
    <row r="2421" spans="1:5" ht="30" customHeight="1">
      <c r="A2421" s="7">
        <v>2418</v>
      </c>
      <c r="B2421" s="7" t="str">
        <f>"38662022042616480739857"</f>
        <v>38662022042616480739857</v>
      </c>
      <c r="C2421" s="7" t="s">
        <v>27</v>
      </c>
      <c r="D2421" s="7" t="str">
        <f>"李文洁"</f>
        <v>李文洁</v>
      </c>
      <c r="E2421" s="7" t="str">
        <f t="shared" si="111"/>
        <v>女</v>
      </c>
    </row>
    <row r="2422" spans="1:5" ht="30" customHeight="1">
      <c r="A2422" s="7">
        <v>2419</v>
      </c>
      <c r="B2422" s="7" t="str">
        <f>"38662022042616561139873"</f>
        <v>38662022042616561139873</v>
      </c>
      <c r="C2422" s="7" t="s">
        <v>27</v>
      </c>
      <c r="D2422" s="7" t="str">
        <f>"赵桐 "</f>
        <v>赵桐 </v>
      </c>
      <c r="E2422" s="7" t="str">
        <f t="shared" si="111"/>
        <v>女</v>
      </c>
    </row>
    <row r="2423" spans="1:5" ht="30" customHeight="1">
      <c r="A2423" s="7">
        <v>2420</v>
      </c>
      <c r="B2423" s="7" t="str">
        <f>"38662022042617452039935"</f>
        <v>38662022042617452039935</v>
      </c>
      <c r="C2423" s="7" t="s">
        <v>27</v>
      </c>
      <c r="D2423" s="7" t="str">
        <f>"周晓红"</f>
        <v>周晓红</v>
      </c>
      <c r="E2423" s="7" t="str">
        <f t="shared" si="111"/>
        <v>女</v>
      </c>
    </row>
    <row r="2424" spans="1:5" ht="30" customHeight="1">
      <c r="A2424" s="7">
        <v>2421</v>
      </c>
      <c r="B2424" s="7" t="str">
        <f>"38662022042617590039952"</f>
        <v>38662022042617590039952</v>
      </c>
      <c r="C2424" s="7" t="s">
        <v>27</v>
      </c>
      <c r="D2424" s="7" t="str">
        <f>"黄金怡"</f>
        <v>黄金怡</v>
      </c>
      <c r="E2424" s="7" t="str">
        <f t="shared" si="111"/>
        <v>女</v>
      </c>
    </row>
    <row r="2425" spans="1:5" ht="30" customHeight="1">
      <c r="A2425" s="7">
        <v>2422</v>
      </c>
      <c r="B2425" s="8" t="str">
        <f>"38662022042619445640069"</f>
        <v>38662022042619445640069</v>
      </c>
      <c r="C2425" s="8" t="s">
        <v>27</v>
      </c>
      <c r="D2425" s="8" t="str">
        <f>"王彩妹"</f>
        <v>王彩妹</v>
      </c>
      <c r="E2425" s="8" t="str">
        <f t="shared" si="111"/>
        <v>女</v>
      </c>
    </row>
    <row r="2426" spans="1:5" ht="30" customHeight="1">
      <c r="A2426" s="7">
        <v>2423</v>
      </c>
      <c r="B2426" s="7" t="str">
        <f>"38662022042619575240084"</f>
        <v>38662022042619575240084</v>
      </c>
      <c r="C2426" s="7" t="s">
        <v>27</v>
      </c>
      <c r="D2426" s="7" t="str">
        <f>"卢烷"</f>
        <v>卢烷</v>
      </c>
      <c r="E2426" s="7" t="str">
        <f t="shared" si="111"/>
        <v>女</v>
      </c>
    </row>
    <row r="2427" spans="1:5" ht="30" customHeight="1">
      <c r="A2427" s="7">
        <v>2424</v>
      </c>
      <c r="B2427" s="7" t="str">
        <f>"38662022042620444240161"</f>
        <v>38662022042620444240161</v>
      </c>
      <c r="C2427" s="7" t="s">
        <v>27</v>
      </c>
      <c r="D2427" s="7" t="str">
        <f>"王转珠"</f>
        <v>王转珠</v>
      </c>
      <c r="E2427" s="7" t="str">
        <f t="shared" si="111"/>
        <v>女</v>
      </c>
    </row>
    <row r="2428" spans="1:5" ht="30" customHeight="1">
      <c r="A2428" s="7">
        <v>2425</v>
      </c>
      <c r="B2428" s="7" t="str">
        <f>"38662022042620444640162"</f>
        <v>38662022042620444640162</v>
      </c>
      <c r="C2428" s="7" t="s">
        <v>27</v>
      </c>
      <c r="D2428" s="7" t="str">
        <f>"刘虹杏"</f>
        <v>刘虹杏</v>
      </c>
      <c r="E2428" s="7" t="str">
        <f t="shared" si="111"/>
        <v>女</v>
      </c>
    </row>
    <row r="2429" spans="1:5" ht="30" customHeight="1">
      <c r="A2429" s="7">
        <v>2426</v>
      </c>
      <c r="B2429" s="7" t="str">
        <f>"38662022042620484540168"</f>
        <v>38662022042620484540168</v>
      </c>
      <c r="C2429" s="7" t="s">
        <v>27</v>
      </c>
      <c r="D2429" s="7" t="str">
        <f>"林贵月"</f>
        <v>林贵月</v>
      </c>
      <c r="E2429" s="7" t="str">
        <f t="shared" si="111"/>
        <v>女</v>
      </c>
    </row>
    <row r="2430" spans="1:5" ht="30" customHeight="1">
      <c r="A2430" s="7">
        <v>2427</v>
      </c>
      <c r="B2430" s="7" t="str">
        <f>"38662022042621253540239"</f>
        <v>38662022042621253540239</v>
      </c>
      <c r="C2430" s="7" t="s">
        <v>27</v>
      </c>
      <c r="D2430" s="7" t="str">
        <f>"符玉庆"</f>
        <v>符玉庆</v>
      </c>
      <c r="E2430" s="7" t="str">
        <f t="shared" si="111"/>
        <v>女</v>
      </c>
    </row>
    <row r="2431" spans="1:5" ht="30" customHeight="1">
      <c r="A2431" s="7">
        <v>2428</v>
      </c>
      <c r="B2431" s="7" t="str">
        <f>"38662022042622243340332"</f>
        <v>38662022042622243340332</v>
      </c>
      <c r="C2431" s="7" t="s">
        <v>27</v>
      </c>
      <c r="D2431" s="7" t="str">
        <f>"田野"</f>
        <v>田野</v>
      </c>
      <c r="E2431" s="7" t="str">
        <f t="shared" si="111"/>
        <v>女</v>
      </c>
    </row>
    <row r="2432" spans="1:5" ht="30" customHeight="1">
      <c r="A2432" s="7">
        <v>2429</v>
      </c>
      <c r="B2432" s="7" t="str">
        <f>"38662022042622452240369"</f>
        <v>38662022042622452240369</v>
      </c>
      <c r="C2432" s="7" t="s">
        <v>27</v>
      </c>
      <c r="D2432" s="7" t="str">
        <f>"陈宇慧"</f>
        <v>陈宇慧</v>
      </c>
      <c r="E2432" s="7" t="str">
        <f t="shared" si="111"/>
        <v>女</v>
      </c>
    </row>
    <row r="2433" spans="1:5" ht="30" customHeight="1">
      <c r="A2433" s="7">
        <v>2430</v>
      </c>
      <c r="B2433" s="7" t="str">
        <f>"38662022042623114540421"</f>
        <v>38662022042623114540421</v>
      </c>
      <c r="C2433" s="7" t="s">
        <v>27</v>
      </c>
      <c r="D2433" s="7" t="str">
        <f>"马丁赫懿"</f>
        <v>马丁赫懿</v>
      </c>
      <c r="E2433" s="7" t="str">
        <f t="shared" si="111"/>
        <v>女</v>
      </c>
    </row>
    <row r="2434" spans="1:5" ht="30" customHeight="1">
      <c r="A2434" s="7">
        <v>2431</v>
      </c>
      <c r="B2434" s="7" t="str">
        <f>"38662022042702492640537"</f>
        <v>38662022042702492640537</v>
      </c>
      <c r="C2434" s="7" t="s">
        <v>27</v>
      </c>
      <c r="D2434" s="7" t="str">
        <f>"蔡於良"</f>
        <v>蔡於良</v>
      </c>
      <c r="E2434" s="7" t="str">
        <f>"男"</f>
        <v>男</v>
      </c>
    </row>
    <row r="2435" spans="1:5" ht="30" customHeight="1">
      <c r="A2435" s="7">
        <v>2432</v>
      </c>
      <c r="B2435" s="7" t="str">
        <f>"38662022042708311740597"</f>
        <v>38662022042708311740597</v>
      </c>
      <c r="C2435" s="7" t="s">
        <v>27</v>
      </c>
      <c r="D2435" s="7" t="str">
        <f>"王秋"</f>
        <v>王秋</v>
      </c>
      <c r="E2435" s="7" t="str">
        <f aca="true" t="shared" si="112" ref="E2435:E2452">"女"</f>
        <v>女</v>
      </c>
    </row>
    <row r="2436" spans="1:5" ht="30" customHeight="1">
      <c r="A2436" s="7">
        <v>2433</v>
      </c>
      <c r="B2436" s="7" t="str">
        <f>"38662022042709063240757"</f>
        <v>38662022042709063240757</v>
      </c>
      <c r="C2436" s="7" t="s">
        <v>27</v>
      </c>
      <c r="D2436" s="7" t="str">
        <f>"李晓晓"</f>
        <v>李晓晓</v>
      </c>
      <c r="E2436" s="7" t="str">
        <f t="shared" si="112"/>
        <v>女</v>
      </c>
    </row>
    <row r="2437" spans="1:5" ht="30" customHeight="1">
      <c r="A2437" s="7">
        <v>2434</v>
      </c>
      <c r="B2437" s="7" t="str">
        <f>"38662022042710393941873"</f>
        <v>38662022042710393941873</v>
      </c>
      <c r="C2437" s="7" t="s">
        <v>27</v>
      </c>
      <c r="D2437" s="7" t="str">
        <f>"方倩倩"</f>
        <v>方倩倩</v>
      </c>
      <c r="E2437" s="7" t="str">
        <f t="shared" si="112"/>
        <v>女</v>
      </c>
    </row>
    <row r="2438" spans="1:5" ht="30" customHeight="1">
      <c r="A2438" s="7">
        <v>2435</v>
      </c>
      <c r="B2438" s="7" t="str">
        <f>"38662022042710512342000"</f>
        <v>38662022042710512342000</v>
      </c>
      <c r="C2438" s="7" t="s">
        <v>27</v>
      </c>
      <c r="D2438" s="7" t="str">
        <f>"陈秀妃"</f>
        <v>陈秀妃</v>
      </c>
      <c r="E2438" s="7" t="str">
        <f t="shared" si="112"/>
        <v>女</v>
      </c>
    </row>
    <row r="2439" spans="1:5" ht="30" customHeight="1">
      <c r="A2439" s="7">
        <v>2436</v>
      </c>
      <c r="B2439" s="7" t="str">
        <f>"38662022042712053042573"</f>
        <v>38662022042712053042573</v>
      </c>
      <c r="C2439" s="7" t="s">
        <v>27</v>
      </c>
      <c r="D2439" s="7" t="str">
        <f>"林珊珊"</f>
        <v>林珊珊</v>
      </c>
      <c r="E2439" s="7" t="str">
        <f t="shared" si="112"/>
        <v>女</v>
      </c>
    </row>
    <row r="2440" spans="1:5" ht="30" customHeight="1">
      <c r="A2440" s="7">
        <v>2437</v>
      </c>
      <c r="B2440" s="7" t="str">
        <f>"38662022042712581942912"</f>
        <v>38662022042712581942912</v>
      </c>
      <c r="C2440" s="7" t="s">
        <v>27</v>
      </c>
      <c r="D2440" s="7" t="str">
        <f>"李杏"</f>
        <v>李杏</v>
      </c>
      <c r="E2440" s="7" t="str">
        <f t="shared" si="112"/>
        <v>女</v>
      </c>
    </row>
    <row r="2441" spans="1:5" ht="30" customHeight="1">
      <c r="A2441" s="7">
        <v>2438</v>
      </c>
      <c r="B2441" s="7" t="str">
        <f>"38662022042713092542985"</f>
        <v>38662022042713092542985</v>
      </c>
      <c r="C2441" s="7" t="s">
        <v>27</v>
      </c>
      <c r="D2441" s="7" t="str">
        <f>"曾琼莹"</f>
        <v>曾琼莹</v>
      </c>
      <c r="E2441" s="7" t="str">
        <f t="shared" si="112"/>
        <v>女</v>
      </c>
    </row>
    <row r="2442" spans="1:5" ht="30" customHeight="1">
      <c r="A2442" s="7">
        <v>2439</v>
      </c>
      <c r="B2442" s="7" t="str">
        <f>"38662022042714494643582"</f>
        <v>38662022042714494643582</v>
      </c>
      <c r="C2442" s="7" t="s">
        <v>27</v>
      </c>
      <c r="D2442" s="7" t="str">
        <f>"邓如环"</f>
        <v>邓如环</v>
      </c>
      <c r="E2442" s="7" t="str">
        <f t="shared" si="112"/>
        <v>女</v>
      </c>
    </row>
    <row r="2443" spans="1:5" ht="30" customHeight="1">
      <c r="A2443" s="7">
        <v>2440</v>
      </c>
      <c r="B2443" s="7" t="str">
        <f>"38662022042715110543716"</f>
        <v>38662022042715110543716</v>
      </c>
      <c r="C2443" s="7" t="s">
        <v>27</v>
      </c>
      <c r="D2443" s="7" t="str">
        <f>"黄云清"</f>
        <v>黄云清</v>
      </c>
      <c r="E2443" s="7" t="str">
        <f t="shared" si="112"/>
        <v>女</v>
      </c>
    </row>
    <row r="2444" spans="1:5" ht="30" customHeight="1">
      <c r="A2444" s="7">
        <v>2441</v>
      </c>
      <c r="B2444" s="7" t="str">
        <f>"38662022042716172844114"</f>
        <v>38662022042716172844114</v>
      </c>
      <c r="C2444" s="7" t="s">
        <v>27</v>
      </c>
      <c r="D2444" s="7" t="str">
        <f>"唐空 "</f>
        <v>唐空 </v>
      </c>
      <c r="E2444" s="7" t="str">
        <f t="shared" si="112"/>
        <v>女</v>
      </c>
    </row>
    <row r="2445" spans="1:5" ht="30" customHeight="1">
      <c r="A2445" s="7">
        <v>2442</v>
      </c>
      <c r="B2445" s="7" t="str">
        <f>"38662022042109041024932"</f>
        <v>38662022042109041024932</v>
      </c>
      <c r="C2445" s="7" t="s">
        <v>28</v>
      </c>
      <c r="D2445" s="7" t="str">
        <f>"武彩"</f>
        <v>武彩</v>
      </c>
      <c r="E2445" s="7" t="str">
        <f t="shared" si="112"/>
        <v>女</v>
      </c>
    </row>
    <row r="2446" spans="1:5" ht="30" customHeight="1">
      <c r="A2446" s="7">
        <v>2443</v>
      </c>
      <c r="B2446" s="7" t="str">
        <f>"38662022042109365225330"</f>
        <v>38662022042109365225330</v>
      </c>
      <c r="C2446" s="7" t="s">
        <v>28</v>
      </c>
      <c r="D2446" s="7" t="str">
        <f>"高睿玉"</f>
        <v>高睿玉</v>
      </c>
      <c r="E2446" s="7" t="str">
        <f t="shared" si="112"/>
        <v>女</v>
      </c>
    </row>
    <row r="2447" spans="1:5" ht="30" customHeight="1">
      <c r="A2447" s="7">
        <v>2444</v>
      </c>
      <c r="B2447" s="8" t="str">
        <f>"38662022042109424225403"</f>
        <v>38662022042109424225403</v>
      </c>
      <c r="C2447" s="8" t="s">
        <v>28</v>
      </c>
      <c r="D2447" s="8" t="str">
        <f>"程守慧"</f>
        <v>程守慧</v>
      </c>
      <c r="E2447" s="8" t="str">
        <f t="shared" si="112"/>
        <v>女</v>
      </c>
    </row>
    <row r="2448" spans="1:5" ht="30" customHeight="1">
      <c r="A2448" s="7">
        <v>2445</v>
      </c>
      <c r="B2448" s="7" t="str">
        <f>"38662022042109472325455"</f>
        <v>38662022042109472325455</v>
      </c>
      <c r="C2448" s="7" t="s">
        <v>28</v>
      </c>
      <c r="D2448" s="7" t="str">
        <f>"朱彦颖"</f>
        <v>朱彦颖</v>
      </c>
      <c r="E2448" s="7" t="str">
        <f t="shared" si="112"/>
        <v>女</v>
      </c>
    </row>
    <row r="2449" spans="1:5" ht="30" customHeight="1">
      <c r="A2449" s="7">
        <v>2446</v>
      </c>
      <c r="B2449" s="7" t="str">
        <f>"38662022042109501625490"</f>
        <v>38662022042109501625490</v>
      </c>
      <c r="C2449" s="7" t="s">
        <v>28</v>
      </c>
      <c r="D2449" s="7" t="str">
        <f>"王明玉"</f>
        <v>王明玉</v>
      </c>
      <c r="E2449" s="7" t="str">
        <f t="shared" si="112"/>
        <v>女</v>
      </c>
    </row>
    <row r="2450" spans="1:5" ht="30" customHeight="1">
      <c r="A2450" s="7">
        <v>2447</v>
      </c>
      <c r="B2450" s="7" t="str">
        <f>"38662022042110163325834"</f>
        <v>38662022042110163325834</v>
      </c>
      <c r="C2450" s="7" t="s">
        <v>28</v>
      </c>
      <c r="D2450" s="7" t="str">
        <f>"谈凉芹"</f>
        <v>谈凉芹</v>
      </c>
      <c r="E2450" s="7" t="str">
        <f t="shared" si="112"/>
        <v>女</v>
      </c>
    </row>
    <row r="2451" spans="1:5" ht="30" customHeight="1">
      <c r="A2451" s="7">
        <v>2448</v>
      </c>
      <c r="B2451" s="7" t="str">
        <f>"38662022042110302526020"</f>
        <v>38662022042110302526020</v>
      </c>
      <c r="C2451" s="7" t="s">
        <v>28</v>
      </c>
      <c r="D2451" s="7" t="str">
        <f>"钟珍翠"</f>
        <v>钟珍翠</v>
      </c>
      <c r="E2451" s="7" t="str">
        <f t="shared" si="112"/>
        <v>女</v>
      </c>
    </row>
    <row r="2452" spans="1:5" ht="30" customHeight="1">
      <c r="A2452" s="7">
        <v>2449</v>
      </c>
      <c r="B2452" s="7" t="str">
        <f>"38662022042110345826076"</f>
        <v>38662022042110345826076</v>
      </c>
      <c r="C2452" s="7" t="s">
        <v>28</v>
      </c>
      <c r="D2452" s="7" t="str">
        <f>"苻海俊"</f>
        <v>苻海俊</v>
      </c>
      <c r="E2452" s="7" t="str">
        <f t="shared" si="112"/>
        <v>女</v>
      </c>
    </row>
    <row r="2453" spans="1:5" ht="30" customHeight="1">
      <c r="A2453" s="7">
        <v>2450</v>
      </c>
      <c r="B2453" s="7" t="str">
        <f>"38662022042111124626492"</f>
        <v>38662022042111124626492</v>
      </c>
      <c r="C2453" s="7" t="s">
        <v>28</v>
      </c>
      <c r="D2453" s="7" t="str">
        <f>"洪祥琪"</f>
        <v>洪祥琪</v>
      </c>
      <c r="E2453" s="7" t="str">
        <f>"男"</f>
        <v>男</v>
      </c>
    </row>
    <row r="2454" spans="1:5" ht="30" customHeight="1">
      <c r="A2454" s="7">
        <v>2451</v>
      </c>
      <c r="B2454" s="7" t="str">
        <f>"38662022042111192326553"</f>
        <v>38662022042111192326553</v>
      </c>
      <c r="C2454" s="7" t="s">
        <v>28</v>
      </c>
      <c r="D2454" s="7" t="str">
        <f>"杨柳"</f>
        <v>杨柳</v>
      </c>
      <c r="E2454" s="7" t="str">
        <f>"女"</f>
        <v>女</v>
      </c>
    </row>
    <row r="2455" spans="1:5" ht="30" customHeight="1">
      <c r="A2455" s="7">
        <v>2452</v>
      </c>
      <c r="B2455" s="7" t="str">
        <f>"38662022042111371326704"</f>
        <v>38662022042111371326704</v>
      </c>
      <c r="C2455" s="7" t="s">
        <v>28</v>
      </c>
      <c r="D2455" s="7" t="str">
        <f>"唐元秀"</f>
        <v>唐元秀</v>
      </c>
      <c r="E2455" s="7" t="str">
        <f>"女"</f>
        <v>女</v>
      </c>
    </row>
    <row r="2456" spans="1:5" ht="30" customHeight="1">
      <c r="A2456" s="7">
        <v>2453</v>
      </c>
      <c r="B2456" s="7" t="str">
        <f>"38662022042113420127478"</f>
        <v>38662022042113420127478</v>
      </c>
      <c r="C2456" s="7" t="s">
        <v>28</v>
      </c>
      <c r="D2456" s="7" t="str">
        <f>"万燃"</f>
        <v>万燃</v>
      </c>
      <c r="E2456" s="7" t="str">
        <f>"女"</f>
        <v>女</v>
      </c>
    </row>
    <row r="2457" spans="1:5" ht="30" customHeight="1">
      <c r="A2457" s="7">
        <v>2454</v>
      </c>
      <c r="B2457" s="7" t="str">
        <f>"38662022042114180027652"</f>
        <v>38662022042114180027652</v>
      </c>
      <c r="C2457" s="7" t="s">
        <v>28</v>
      </c>
      <c r="D2457" s="7" t="str">
        <f>"付连连"</f>
        <v>付连连</v>
      </c>
      <c r="E2457" s="7" t="str">
        <f>"男"</f>
        <v>男</v>
      </c>
    </row>
    <row r="2458" spans="1:5" ht="30" customHeight="1">
      <c r="A2458" s="7">
        <v>2455</v>
      </c>
      <c r="B2458" s="7" t="str">
        <f>"38662022042116344528687"</f>
        <v>38662022042116344528687</v>
      </c>
      <c r="C2458" s="7" t="s">
        <v>28</v>
      </c>
      <c r="D2458" s="7" t="str">
        <f>"吴全珍"</f>
        <v>吴全珍</v>
      </c>
      <c r="E2458" s="7" t="str">
        <f>"男"</f>
        <v>男</v>
      </c>
    </row>
    <row r="2459" spans="1:5" ht="30" customHeight="1">
      <c r="A2459" s="7">
        <v>2456</v>
      </c>
      <c r="B2459" s="8" t="str">
        <f>"38662022042117521429163"</f>
        <v>38662022042117521429163</v>
      </c>
      <c r="C2459" s="8" t="s">
        <v>28</v>
      </c>
      <c r="D2459" s="8" t="str">
        <f>"林秀雨"</f>
        <v>林秀雨</v>
      </c>
      <c r="E2459" s="8" t="str">
        <f>"女"</f>
        <v>女</v>
      </c>
    </row>
    <row r="2460" spans="1:5" ht="30" customHeight="1">
      <c r="A2460" s="7">
        <v>2457</v>
      </c>
      <c r="B2460" s="7" t="str">
        <f>"38662022042118282229315"</f>
        <v>38662022042118282229315</v>
      </c>
      <c r="C2460" s="7" t="s">
        <v>28</v>
      </c>
      <c r="D2460" s="7" t="str">
        <f>"吴俊安"</f>
        <v>吴俊安</v>
      </c>
      <c r="E2460" s="7" t="str">
        <f>"男"</f>
        <v>男</v>
      </c>
    </row>
    <row r="2461" spans="1:5" ht="30" customHeight="1">
      <c r="A2461" s="7">
        <v>2458</v>
      </c>
      <c r="B2461" s="7" t="str">
        <f>"38662022042118381029355"</f>
        <v>38662022042118381029355</v>
      </c>
      <c r="C2461" s="7" t="s">
        <v>28</v>
      </c>
      <c r="D2461" s="7" t="str">
        <f>"云晓惠"</f>
        <v>云晓惠</v>
      </c>
      <c r="E2461" s="7" t="str">
        <f>"女"</f>
        <v>女</v>
      </c>
    </row>
    <row r="2462" spans="1:5" ht="30" customHeight="1">
      <c r="A2462" s="7">
        <v>2459</v>
      </c>
      <c r="B2462" s="7" t="str">
        <f>"38662022042118384629359"</f>
        <v>38662022042118384629359</v>
      </c>
      <c r="C2462" s="7" t="s">
        <v>28</v>
      </c>
      <c r="D2462" s="7" t="str">
        <f>"邱彬"</f>
        <v>邱彬</v>
      </c>
      <c r="E2462" s="7" t="str">
        <f>"男"</f>
        <v>男</v>
      </c>
    </row>
    <row r="2463" spans="1:5" ht="30" customHeight="1">
      <c r="A2463" s="7">
        <v>2460</v>
      </c>
      <c r="B2463" s="7" t="str">
        <f>"38662022042121180230133"</f>
        <v>38662022042121180230133</v>
      </c>
      <c r="C2463" s="7" t="s">
        <v>28</v>
      </c>
      <c r="D2463" s="7" t="str">
        <f>"邓传慧"</f>
        <v>邓传慧</v>
      </c>
      <c r="E2463" s="7" t="str">
        <f>"女"</f>
        <v>女</v>
      </c>
    </row>
    <row r="2464" spans="1:5" ht="30" customHeight="1">
      <c r="A2464" s="7">
        <v>2461</v>
      </c>
      <c r="B2464" s="7" t="str">
        <f>"38662022042123054230652"</f>
        <v>38662022042123054230652</v>
      </c>
      <c r="C2464" s="7" t="s">
        <v>28</v>
      </c>
      <c r="D2464" s="7" t="str">
        <f>"韩宇"</f>
        <v>韩宇</v>
      </c>
      <c r="E2464" s="7" t="str">
        <f>"男"</f>
        <v>男</v>
      </c>
    </row>
    <row r="2465" spans="1:5" ht="30" customHeight="1">
      <c r="A2465" s="7">
        <v>2462</v>
      </c>
      <c r="B2465" s="7" t="str">
        <f>"38662022042123444630773"</f>
        <v>38662022042123444630773</v>
      </c>
      <c r="C2465" s="7" t="s">
        <v>28</v>
      </c>
      <c r="D2465" s="7" t="str">
        <f>"吴源权"</f>
        <v>吴源权</v>
      </c>
      <c r="E2465" s="7" t="str">
        <f>"男"</f>
        <v>男</v>
      </c>
    </row>
    <row r="2466" spans="1:5" ht="30" customHeight="1">
      <c r="A2466" s="7">
        <v>2463</v>
      </c>
      <c r="B2466" s="7" t="str">
        <f>"38662022042207581830934"</f>
        <v>38662022042207581830934</v>
      </c>
      <c r="C2466" s="7" t="s">
        <v>28</v>
      </c>
      <c r="D2466" s="7" t="str">
        <f>"孙昌志"</f>
        <v>孙昌志</v>
      </c>
      <c r="E2466" s="7" t="str">
        <f>"男"</f>
        <v>男</v>
      </c>
    </row>
    <row r="2467" spans="1:5" ht="30" customHeight="1">
      <c r="A2467" s="7">
        <v>2464</v>
      </c>
      <c r="B2467" s="7" t="str">
        <f>"38662022042208153330963"</f>
        <v>38662022042208153330963</v>
      </c>
      <c r="C2467" s="7" t="s">
        <v>28</v>
      </c>
      <c r="D2467" s="7" t="str">
        <f>"刘小容"</f>
        <v>刘小容</v>
      </c>
      <c r="E2467" s="7" t="str">
        <f>"女"</f>
        <v>女</v>
      </c>
    </row>
    <row r="2468" spans="1:5" ht="30" customHeight="1">
      <c r="A2468" s="7">
        <v>2465</v>
      </c>
      <c r="B2468" s="7" t="str">
        <f>"38662022042209185531210"</f>
        <v>38662022042209185531210</v>
      </c>
      <c r="C2468" s="7" t="s">
        <v>28</v>
      </c>
      <c r="D2468" s="7" t="str">
        <f>"朱雪娇"</f>
        <v>朱雪娇</v>
      </c>
      <c r="E2468" s="7" t="str">
        <f>"女"</f>
        <v>女</v>
      </c>
    </row>
    <row r="2469" spans="1:5" ht="30" customHeight="1">
      <c r="A2469" s="7">
        <v>2466</v>
      </c>
      <c r="B2469" s="7" t="str">
        <f>"38662022042210340531655"</f>
        <v>38662022042210340531655</v>
      </c>
      <c r="C2469" s="7" t="s">
        <v>28</v>
      </c>
      <c r="D2469" s="7" t="str">
        <f>"黄晖"</f>
        <v>黄晖</v>
      </c>
      <c r="E2469" s="7" t="str">
        <f>"女"</f>
        <v>女</v>
      </c>
    </row>
    <row r="2470" spans="1:5" ht="30" customHeight="1">
      <c r="A2470" s="7">
        <v>2467</v>
      </c>
      <c r="B2470" s="7" t="str">
        <f>"38662022042211212932105"</f>
        <v>38662022042211212932105</v>
      </c>
      <c r="C2470" s="7" t="s">
        <v>28</v>
      </c>
      <c r="D2470" s="7" t="str">
        <f>"刘雪娟"</f>
        <v>刘雪娟</v>
      </c>
      <c r="E2470" s="7" t="str">
        <f>"女"</f>
        <v>女</v>
      </c>
    </row>
    <row r="2471" spans="1:5" ht="30" customHeight="1">
      <c r="A2471" s="7">
        <v>2468</v>
      </c>
      <c r="B2471" s="7" t="str">
        <f>"38662022042212561432669"</f>
        <v>38662022042212561432669</v>
      </c>
      <c r="C2471" s="7" t="s">
        <v>28</v>
      </c>
      <c r="D2471" s="7" t="str">
        <f>"万美"</f>
        <v>万美</v>
      </c>
      <c r="E2471" s="7" t="str">
        <f>"女"</f>
        <v>女</v>
      </c>
    </row>
    <row r="2472" spans="1:5" ht="30" customHeight="1">
      <c r="A2472" s="7">
        <v>2469</v>
      </c>
      <c r="B2472" s="7" t="str">
        <f>"38662022042215390533405"</f>
        <v>38662022042215390533405</v>
      </c>
      <c r="C2472" s="7" t="s">
        <v>28</v>
      </c>
      <c r="D2472" s="7" t="str">
        <f>"李常林"</f>
        <v>李常林</v>
      </c>
      <c r="E2472" s="7" t="str">
        <f>"男"</f>
        <v>男</v>
      </c>
    </row>
    <row r="2473" spans="1:5" ht="30" customHeight="1">
      <c r="A2473" s="7">
        <v>2470</v>
      </c>
      <c r="B2473" s="7" t="str">
        <f>"38662022042217110733992"</f>
        <v>38662022042217110733992</v>
      </c>
      <c r="C2473" s="7" t="s">
        <v>28</v>
      </c>
      <c r="D2473" s="7" t="str">
        <f>"陈太汝"</f>
        <v>陈太汝</v>
      </c>
      <c r="E2473" s="7" t="str">
        <f aca="true" t="shared" si="113" ref="E2473:E2478">"女"</f>
        <v>女</v>
      </c>
    </row>
    <row r="2474" spans="1:5" ht="30" customHeight="1">
      <c r="A2474" s="7">
        <v>2471</v>
      </c>
      <c r="B2474" s="7" t="str">
        <f>"38662022042218120334245"</f>
        <v>38662022042218120334245</v>
      </c>
      <c r="C2474" s="7" t="s">
        <v>28</v>
      </c>
      <c r="D2474" s="7" t="str">
        <f>"吴璠"</f>
        <v>吴璠</v>
      </c>
      <c r="E2474" s="7" t="str">
        <f t="shared" si="113"/>
        <v>女</v>
      </c>
    </row>
    <row r="2475" spans="1:5" ht="30" customHeight="1">
      <c r="A2475" s="7">
        <v>2472</v>
      </c>
      <c r="B2475" s="7" t="str">
        <f>"38662022042220211534507"</f>
        <v>38662022042220211534507</v>
      </c>
      <c r="C2475" s="7" t="s">
        <v>28</v>
      </c>
      <c r="D2475" s="7" t="str">
        <f>"许樱潇"</f>
        <v>许樱潇</v>
      </c>
      <c r="E2475" s="7" t="str">
        <f t="shared" si="113"/>
        <v>女</v>
      </c>
    </row>
    <row r="2476" spans="1:5" ht="30" customHeight="1">
      <c r="A2476" s="7">
        <v>2473</v>
      </c>
      <c r="B2476" s="7" t="str">
        <f>"38662022042222212634733"</f>
        <v>38662022042222212634733</v>
      </c>
      <c r="C2476" s="7" t="s">
        <v>28</v>
      </c>
      <c r="D2476" s="7" t="str">
        <f>"胡倩倩"</f>
        <v>胡倩倩</v>
      </c>
      <c r="E2476" s="7" t="str">
        <f t="shared" si="113"/>
        <v>女</v>
      </c>
    </row>
    <row r="2477" spans="1:5" ht="30" customHeight="1">
      <c r="A2477" s="7">
        <v>2474</v>
      </c>
      <c r="B2477" s="7" t="str">
        <f>"38662022042223233234812"</f>
        <v>38662022042223233234812</v>
      </c>
      <c r="C2477" s="7" t="s">
        <v>28</v>
      </c>
      <c r="D2477" s="7" t="str">
        <f>"苏泓"</f>
        <v>苏泓</v>
      </c>
      <c r="E2477" s="7" t="str">
        <f t="shared" si="113"/>
        <v>女</v>
      </c>
    </row>
    <row r="2478" spans="1:5" ht="30" customHeight="1">
      <c r="A2478" s="7">
        <v>2475</v>
      </c>
      <c r="B2478" s="7" t="str">
        <f>"38662022042312171535191"</f>
        <v>38662022042312171535191</v>
      </c>
      <c r="C2478" s="7" t="s">
        <v>28</v>
      </c>
      <c r="D2478" s="7" t="str">
        <f>"陈永妃"</f>
        <v>陈永妃</v>
      </c>
      <c r="E2478" s="7" t="str">
        <f t="shared" si="113"/>
        <v>女</v>
      </c>
    </row>
    <row r="2479" spans="1:5" ht="30" customHeight="1">
      <c r="A2479" s="7">
        <v>2476</v>
      </c>
      <c r="B2479" s="7" t="str">
        <f>"38662022042315091435391"</f>
        <v>38662022042315091435391</v>
      </c>
      <c r="C2479" s="7" t="s">
        <v>28</v>
      </c>
      <c r="D2479" s="7" t="str">
        <f>"曾金俊"</f>
        <v>曾金俊</v>
      </c>
      <c r="E2479" s="7" t="str">
        <f>"男"</f>
        <v>男</v>
      </c>
    </row>
    <row r="2480" spans="1:5" ht="30" customHeight="1">
      <c r="A2480" s="7">
        <v>2477</v>
      </c>
      <c r="B2480" s="7" t="str">
        <f>"38662022042315363035427"</f>
        <v>38662022042315363035427</v>
      </c>
      <c r="C2480" s="7" t="s">
        <v>28</v>
      </c>
      <c r="D2480" s="7" t="str">
        <f>"闫冉冉"</f>
        <v>闫冉冉</v>
      </c>
      <c r="E2480" s="7" t="str">
        <f>"女"</f>
        <v>女</v>
      </c>
    </row>
    <row r="2481" spans="1:5" ht="30" customHeight="1">
      <c r="A2481" s="7">
        <v>2478</v>
      </c>
      <c r="B2481" s="7" t="str">
        <f>"38662022042321281235878"</f>
        <v>38662022042321281235878</v>
      </c>
      <c r="C2481" s="7" t="s">
        <v>28</v>
      </c>
      <c r="D2481" s="7" t="str">
        <f>"李淑鸾"</f>
        <v>李淑鸾</v>
      </c>
      <c r="E2481" s="7" t="str">
        <f>"女"</f>
        <v>女</v>
      </c>
    </row>
    <row r="2482" spans="1:5" ht="30" customHeight="1">
      <c r="A2482" s="7">
        <v>2479</v>
      </c>
      <c r="B2482" s="7" t="str">
        <f>"38662022042322243735977"</f>
        <v>38662022042322243735977</v>
      </c>
      <c r="C2482" s="7" t="s">
        <v>28</v>
      </c>
      <c r="D2482" s="7" t="str">
        <f>"陈小雪"</f>
        <v>陈小雪</v>
      </c>
      <c r="E2482" s="7" t="str">
        <f>"女"</f>
        <v>女</v>
      </c>
    </row>
    <row r="2483" spans="1:5" ht="30" customHeight="1">
      <c r="A2483" s="7">
        <v>2480</v>
      </c>
      <c r="B2483" s="7" t="str">
        <f>"38662022042414230036792"</f>
        <v>38662022042414230036792</v>
      </c>
      <c r="C2483" s="7" t="s">
        <v>28</v>
      </c>
      <c r="D2483" s="7" t="str">
        <f>"谭邦雪"</f>
        <v>谭邦雪</v>
      </c>
      <c r="E2483" s="7" t="str">
        <f>"女"</f>
        <v>女</v>
      </c>
    </row>
    <row r="2484" spans="1:5" ht="30" customHeight="1">
      <c r="A2484" s="7">
        <v>2481</v>
      </c>
      <c r="B2484" s="7" t="str">
        <f>"38662022042416165837030"</f>
        <v>38662022042416165837030</v>
      </c>
      <c r="C2484" s="7" t="s">
        <v>28</v>
      </c>
      <c r="D2484" s="7" t="str">
        <f>"吴锡贵"</f>
        <v>吴锡贵</v>
      </c>
      <c r="E2484" s="7" t="str">
        <f>"男"</f>
        <v>男</v>
      </c>
    </row>
    <row r="2485" spans="1:5" ht="30" customHeight="1">
      <c r="A2485" s="7">
        <v>2482</v>
      </c>
      <c r="B2485" s="7" t="str">
        <f>"38662022042416343137073"</f>
        <v>38662022042416343137073</v>
      </c>
      <c r="C2485" s="7" t="s">
        <v>28</v>
      </c>
      <c r="D2485" s="7" t="str">
        <f>"张鸿韬"</f>
        <v>张鸿韬</v>
      </c>
      <c r="E2485" s="7" t="str">
        <f>"男"</f>
        <v>男</v>
      </c>
    </row>
    <row r="2486" spans="1:5" ht="30" customHeight="1">
      <c r="A2486" s="7">
        <v>2483</v>
      </c>
      <c r="B2486" s="7" t="str">
        <f>"38662022042417153237161"</f>
        <v>38662022042417153237161</v>
      </c>
      <c r="C2486" s="7" t="s">
        <v>28</v>
      </c>
      <c r="D2486" s="7" t="str">
        <f>"符砚欣"</f>
        <v>符砚欣</v>
      </c>
      <c r="E2486" s="7" t="str">
        <f>"女"</f>
        <v>女</v>
      </c>
    </row>
    <row r="2487" spans="1:5" ht="30" customHeight="1">
      <c r="A2487" s="7">
        <v>2484</v>
      </c>
      <c r="B2487" s="7" t="str">
        <f>"38662022042419454137376"</f>
        <v>38662022042419454137376</v>
      </c>
      <c r="C2487" s="7" t="s">
        <v>28</v>
      </c>
      <c r="D2487" s="7" t="str">
        <f>"袁霞"</f>
        <v>袁霞</v>
      </c>
      <c r="E2487" s="7" t="str">
        <f>"女"</f>
        <v>女</v>
      </c>
    </row>
    <row r="2488" spans="1:5" ht="30" customHeight="1">
      <c r="A2488" s="7">
        <v>2485</v>
      </c>
      <c r="B2488" s="7" t="str">
        <f>"38662022042420404037465"</f>
        <v>38662022042420404037465</v>
      </c>
      <c r="C2488" s="7" t="s">
        <v>28</v>
      </c>
      <c r="D2488" s="7" t="str">
        <f>"韩梦妮"</f>
        <v>韩梦妮</v>
      </c>
      <c r="E2488" s="7" t="str">
        <f>"女"</f>
        <v>女</v>
      </c>
    </row>
    <row r="2489" spans="1:5" ht="30" customHeight="1">
      <c r="A2489" s="7">
        <v>2486</v>
      </c>
      <c r="B2489" s="7" t="str">
        <f>"38662022042421040437507"</f>
        <v>38662022042421040437507</v>
      </c>
      <c r="C2489" s="7" t="s">
        <v>28</v>
      </c>
      <c r="D2489" s="7" t="str">
        <f>"符丽娟"</f>
        <v>符丽娟</v>
      </c>
      <c r="E2489" s="7" t="str">
        <f>"女"</f>
        <v>女</v>
      </c>
    </row>
    <row r="2490" spans="1:5" ht="30" customHeight="1">
      <c r="A2490" s="7">
        <v>2487</v>
      </c>
      <c r="B2490" s="7" t="str">
        <f>"38662022042512150638158"</f>
        <v>38662022042512150638158</v>
      </c>
      <c r="C2490" s="7" t="s">
        <v>28</v>
      </c>
      <c r="D2490" s="7" t="str">
        <f>"王镛"</f>
        <v>王镛</v>
      </c>
      <c r="E2490" s="7" t="str">
        <f>"男"</f>
        <v>男</v>
      </c>
    </row>
    <row r="2491" spans="1:5" ht="30" customHeight="1">
      <c r="A2491" s="7">
        <v>2488</v>
      </c>
      <c r="B2491" s="7" t="str">
        <f>"38662022042515465838426"</f>
        <v>38662022042515465838426</v>
      </c>
      <c r="C2491" s="7" t="s">
        <v>28</v>
      </c>
      <c r="D2491" s="7" t="str">
        <f>"丁鑫"</f>
        <v>丁鑫</v>
      </c>
      <c r="E2491" s="7" t="str">
        <f>"女"</f>
        <v>女</v>
      </c>
    </row>
    <row r="2492" spans="1:5" ht="30" customHeight="1">
      <c r="A2492" s="7">
        <v>2489</v>
      </c>
      <c r="B2492" s="7" t="str">
        <f>"38662022042517242638576"</f>
        <v>38662022042517242638576</v>
      </c>
      <c r="C2492" s="7" t="s">
        <v>28</v>
      </c>
      <c r="D2492" s="7" t="str">
        <f>"孙越"</f>
        <v>孙越</v>
      </c>
      <c r="E2492" s="7" t="str">
        <f>"女"</f>
        <v>女</v>
      </c>
    </row>
    <row r="2493" spans="1:5" ht="30" customHeight="1">
      <c r="A2493" s="7">
        <v>2490</v>
      </c>
      <c r="B2493" s="7" t="str">
        <f>"38662022042612583239510"</f>
        <v>38662022042612583239510</v>
      </c>
      <c r="C2493" s="7" t="s">
        <v>28</v>
      </c>
      <c r="D2493" s="7" t="str">
        <f>"符策坤"</f>
        <v>符策坤</v>
      </c>
      <c r="E2493" s="7" t="str">
        <f>"男"</f>
        <v>男</v>
      </c>
    </row>
    <row r="2494" spans="1:5" ht="30" customHeight="1">
      <c r="A2494" s="7">
        <v>2491</v>
      </c>
      <c r="B2494" s="7" t="str">
        <f>"38662022042616111439772"</f>
        <v>38662022042616111439772</v>
      </c>
      <c r="C2494" s="7" t="s">
        <v>28</v>
      </c>
      <c r="D2494" s="7" t="str">
        <f>"林军"</f>
        <v>林军</v>
      </c>
      <c r="E2494" s="7" t="str">
        <f>"女"</f>
        <v>女</v>
      </c>
    </row>
    <row r="2495" spans="1:5" ht="30" customHeight="1">
      <c r="A2495" s="7">
        <v>2492</v>
      </c>
      <c r="B2495" s="7" t="str">
        <f>"38662022042619081640024"</f>
        <v>38662022042619081640024</v>
      </c>
      <c r="C2495" s="7" t="s">
        <v>28</v>
      </c>
      <c r="D2495" s="7" t="str">
        <f>"罗嘉晶"</f>
        <v>罗嘉晶</v>
      </c>
      <c r="E2495" s="7" t="str">
        <f>"女"</f>
        <v>女</v>
      </c>
    </row>
    <row r="2496" spans="1:5" ht="30" customHeight="1">
      <c r="A2496" s="7">
        <v>2493</v>
      </c>
      <c r="B2496" s="7" t="str">
        <f>"38662022042619522240078"</f>
        <v>38662022042619522240078</v>
      </c>
      <c r="C2496" s="7" t="s">
        <v>28</v>
      </c>
      <c r="D2496" s="7" t="str">
        <f>"何江"</f>
        <v>何江</v>
      </c>
      <c r="E2496" s="7" t="str">
        <f>"男"</f>
        <v>男</v>
      </c>
    </row>
    <row r="2497" spans="1:5" ht="30" customHeight="1">
      <c r="A2497" s="7">
        <v>2494</v>
      </c>
      <c r="B2497" s="7" t="str">
        <f>"38662022042708001340574"</f>
        <v>38662022042708001340574</v>
      </c>
      <c r="C2497" s="7" t="s">
        <v>28</v>
      </c>
      <c r="D2497" s="7" t="str">
        <f>"麦世兵"</f>
        <v>麦世兵</v>
      </c>
      <c r="E2497" s="7" t="str">
        <f>"男"</f>
        <v>男</v>
      </c>
    </row>
    <row r="2498" spans="1:5" ht="30" customHeight="1">
      <c r="A2498" s="7">
        <v>2495</v>
      </c>
      <c r="B2498" s="7" t="str">
        <f>"38662022042708571640629"</f>
        <v>38662022042708571640629</v>
      </c>
      <c r="C2498" s="7" t="s">
        <v>28</v>
      </c>
      <c r="D2498" s="7" t="str">
        <f>"杜兴雨"</f>
        <v>杜兴雨</v>
      </c>
      <c r="E2498" s="7" t="str">
        <f>"女"</f>
        <v>女</v>
      </c>
    </row>
    <row r="2499" spans="1:5" ht="30" customHeight="1">
      <c r="A2499" s="7">
        <v>2496</v>
      </c>
      <c r="B2499" s="7" t="str">
        <f>"38662022042709341041132"</f>
        <v>38662022042709341041132</v>
      </c>
      <c r="C2499" s="7" t="s">
        <v>28</v>
      </c>
      <c r="D2499" s="7" t="str">
        <f>"范迪"</f>
        <v>范迪</v>
      </c>
      <c r="E2499" s="7" t="str">
        <f>"女"</f>
        <v>女</v>
      </c>
    </row>
    <row r="2500" spans="1:5" ht="30" customHeight="1">
      <c r="A2500" s="7">
        <v>2497</v>
      </c>
      <c r="B2500" s="7" t="str">
        <f>"38662022042710044741509"</f>
        <v>38662022042710044741509</v>
      </c>
      <c r="C2500" s="7" t="s">
        <v>28</v>
      </c>
      <c r="D2500" s="7" t="str">
        <f>"蔡汝强"</f>
        <v>蔡汝强</v>
      </c>
      <c r="E2500" s="7" t="str">
        <f>"男"</f>
        <v>男</v>
      </c>
    </row>
    <row r="2501" spans="1:5" ht="30" customHeight="1">
      <c r="A2501" s="7">
        <v>2498</v>
      </c>
      <c r="B2501" s="7" t="str">
        <f>"38662022042713272043096"</f>
        <v>38662022042713272043096</v>
      </c>
      <c r="C2501" s="7" t="s">
        <v>28</v>
      </c>
      <c r="D2501" s="7" t="str">
        <f>"马俊杰"</f>
        <v>马俊杰</v>
      </c>
      <c r="E2501" s="7" t="str">
        <f>"男"</f>
        <v>男</v>
      </c>
    </row>
    <row r="2502" spans="1:5" ht="30" customHeight="1">
      <c r="A2502" s="7">
        <v>2499</v>
      </c>
      <c r="B2502" s="7" t="str">
        <f>"38662022042714523943596"</f>
        <v>38662022042714523943596</v>
      </c>
      <c r="C2502" s="7" t="s">
        <v>28</v>
      </c>
      <c r="D2502" s="7" t="str">
        <f>"曲宗宝"</f>
        <v>曲宗宝</v>
      </c>
      <c r="E2502" s="7" t="str">
        <f>"男"</f>
        <v>男</v>
      </c>
    </row>
    <row r="2503" spans="1:5" ht="30" customHeight="1">
      <c r="A2503" s="7">
        <v>2500</v>
      </c>
      <c r="B2503" s="7" t="str">
        <f>"38662022042714553443610"</f>
        <v>38662022042714553443610</v>
      </c>
      <c r="C2503" s="7" t="s">
        <v>28</v>
      </c>
      <c r="D2503" s="7" t="str">
        <f>"蒙绘如"</f>
        <v>蒙绘如</v>
      </c>
      <c r="E2503" s="7" t="str">
        <f>"女"</f>
        <v>女</v>
      </c>
    </row>
    <row r="2504" spans="1:5" ht="30" customHeight="1">
      <c r="A2504" s="7">
        <v>2501</v>
      </c>
      <c r="B2504" s="7" t="str">
        <f>"38662022042716221044144"</f>
        <v>38662022042716221044144</v>
      </c>
      <c r="C2504" s="7" t="s">
        <v>28</v>
      </c>
      <c r="D2504" s="7" t="str">
        <f>"柯利达"</f>
        <v>柯利达</v>
      </c>
      <c r="E2504" s="7" t="str">
        <f>"男"</f>
        <v>男</v>
      </c>
    </row>
    <row r="2505" spans="1:5" ht="30" customHeight="1">
      <c r="A2505" s="7">
        <v>2502</v>
      </c>
      <c r="B2505" s="7" t="str">
        <f>"38662022042109125025042"</f>
        <v>38662022042109125025042</v>
      </c>
      <c r="C2505" s="7" t="s">
        <v>29</v>
      </c>
      <c r="D2505" s="7" t="str">
        <f>"羊昆妮"</f>
        <v>羊昆妮</v>
      </c>
      <c r="E2505" s="7" t="str">
        <f aca="true" t="shared" si="114" ref="E2505:E2511">"女"</f>
        <v>女</v>
      </c>
    </row>
    <row r="2506" spans="1:5" ht="30" customHeight="1">
      <c r="A2506" s="7">
        <v>2503</v>
      </c>
      <c r="B2506" s="7" t="str">
        <f>"38662022042109131125049"</f>
        <v>38662022042109131125049</v>
      </c>
      <c r="C2506" s="7" t="s">
        <v>29</v>
      </c>
      <c r="D2506" s="7" t="str">
        <f>"郭雅丽"</f>
        <v>郭雅丽</v>
      </c>
      <c r="E2506" s="7" t="str">
        <f t="shared" si="114"/>
        <v>女</v>
      </c>
    </row>
    <row r="2507" spans="1:5" ht="30" customHeight="1">
      <c r="A2507" s="7">
        <v>2504</v>
      </c>
      <c r="B2507" s="7" t="str">
        <f>"38662022042109150325067"</f>
        <v>38662022042109150325067</v>
      </c>
      <c r="C2507" s="7" t="s">
        <v>29</v>
      </c>
      <c r="D2507" s="7" t="str">
        <f>"黄杏丁"</f>
        <v>黄杏丁</v>
      </c>
      <c r="E2507" s="7" t="str">
        <f t="shared" si="114"/>
        <v>女</v>
      </c>
    </row>
    <row r="2508" spans="1:5" ht="30" customHeight="1">
      <c r="A2508" s="7">
        <v>2505</v>
      </c>
      <c r="B2508" s="7" t="str">
        <f>"38662022042109183425109"</f>
        <v>38662022042109183425109</v>
      </c>
      <c r="C2508" s="7" t="s">
        <v>29</v>
      </c>
      <c r="D2508" s="7" t="str">
        <f>"赵玉丹"</f>
        <v>赵玉丹</v>
      </c>
      <c r="E2508" s="7" t="str">
        <f t="shared" si="114"/>
        <v>女</v>
      </c>
    </row>
    <row r="2509" spans="1:5" ht="30" customHeight="1">
      <c r="A2509" s="7">
        <v>2506</v>
      </c>
      <c r="B2509" s="7" t="str">
        <f>"38662022042109450425427"</f>
        <v>38662022042109450425427</v>
      </c>
      <c r="C2509" s="7" t="s">
        <v>29</v>
      </c>
      <c r="D2509" s="7" t="str">
        <f>"于昕阳"</f>
        <v>于昕阳</v>
      </c>
      <c r="E2509" s="7" t="str">
        <f t="shared" si="114"/>
        <v>女</v>
      </c>
    </row>
    <row r="2510" spans="1:5" ht="30" customHeight="1">
      <c r="A2510" s="7">
        <v>2507</v>
      </c>
      <c r="B2510" s="7" t="str">
        <f>"38662022042109450425428"</f>
        <v>38662022042109450425428</v>
      </c>
      <c r="C2510" s="7" t="s">
        <v>29</v>
      </c>
      <c r="D2510" s="7" t="str">
        <f>"吴贵美"</f>
        <v>吴贵美</v>
      </c>
      <c r="E2510" s="7" t="str">
        <f t="shared" si="114"/>
        <v>女</v>
      </c>
    </row>
    <row r="2511" spans="1:5" ht="30" customHeight="1">
      <c r="A2511" s="7">
        <v>2508</v>
      </c>
      <c r="B2511" s="7" t="str">
        <f>"38662022042110122625784"</f>
        <v>38662022042110122625784</v>
      </c>
      <c r="C2511" s="7" t="s">
        <v>29</v>
      </c>
      <c r="D2511" s="7" t="str">
        <f>"谢克振"</f>
        <v>谢克振</v>
      </c>
      <c r="E2511" s="7" t="str">
        <f t="shared" si="114"/>
        <v>女</v>
      </c>
    </row>
    <row r="2512" spans="1:5" ht="30" customHeight="1">
      <c r="A2512" s="7">
        <v>2509</v>
      </c>
      <c r="B2512" s="7" t="str">
        <f>"38662022042110231925926"</f>
        <v>38662022042110231925926</v>
      </c>
      <c r="C2512" s="7" t="s">
        <v>29</v>
      </c>
      <c r="D2512" s="7" t="str">
        <f>"钟学帆"</f>
        <v>钟学帆</v>
      </c>
      <c r="E2512" s="7" t="str">
        <f>"男"</f>
        <v>男</v>
      </c>
    </row>
    <row r="2513" spans="1:5" ht="30" customHeight="1">
      <c r="A2513" s="7">
        <v>2510</v>
      </c>
      <c r="B2513" s="7" t="str">
        <f>"38662022042110340926070"</f>
        <v>38662022042110340926070</v>
      </c>
      <c r="C2513" s="7" t="s">
        <v>29</v>
      </c>
      <c r="D2513" s="7" t="str">
        <f>"冯海平"</f>
        <v>冯海平</v>
      </c>
      <c r="E2513" s="7" t="str">
        <f aca="true" t="shared" si="115" ref="E2513:E2522">"女"</f>
        <v>女</v>
      </c>
    </row>
    <row r="2514" spans="1:5" ht="30" customHeight="1">
      <c r="A2514" s="7">
        <v>2511</v>
      </c>
      <c r="B2514" s="7" t="str">
        <f>"38662022042110424126165"</f>
        <v>38662022042110424126165</v>
      </c>
      <c r="C2514" s="7" t="s">
        <v>29</v>
      </c>
      <c r="D2514" s="7" t="str">
        <f>"洪水兰"</f>
        <v>洪水兰</v>
      </c>
      <c r="E2514" s="7" t="str">
        <f t="shared" si="115"/>
        <v>女</v>
      </c>
    </row>
    <row r="2515" spans="1:5" ht="30" customHeight="1">
      <c r="A2515" s="7">
        <v>2512</v>
      </c>
      <c r="B2515" s="7" t="str">
        <f>"38662022042110430026171"</f>
        <v>38662022042110430026171</v>
      </c>
      <c r="C2515" s="7" t="s">
        <v>29</v>
      </c>
      <c r="D2515" s="7" t="str">
        <f>"梅海英"</f>
        <v>梅海英</v>
      </c>
      <c r="E2515" s="7" t="str">
        <f t="shared" si="115"/>
        <v>女</v>
      </c>
    </row>
    <row r="2516" spans="1:5" ht="30" customHeight="1">
      <c r="A2516" s="7">
        <v>2513</v>
      </c>
      <c r="B2516" s="7" t="str">
        <f>"38662022042110582926355"</f>
        <v>38662022042110582926355</v>
      </c>
      <c r="C2516" s="7" t="s">
        <v>29</v>
      </c>
      <c r="D2516" s="7" t="str">
        <f>"符蕊"</f>
        <v>符蕊</v>
      </c>
      <c r="E2516" s="7" t="str">
        <f t="shared" si="115"/>
        <v>女</v>
      </c>
    </row>
    <row r="2517" spans="1:5" ht="30" customHeight="1">
      <c r="A2517" s="7">
        <v>2514</v>
      </c>
      <c r="B2517" s="7" t="str">
        <f>"38662022042111110626476"</f>
        <v>38662022042111110626476</v>
      </c>
      <c r="C2517" s="7" t="s">
        <v>29</v>
      </c>
      <c r="D2517" s="7" t="str">
        <f>"范东永"</f>
        <v>范东永</v>
      </c>
      <c r="E2517" s="7" t="str">
        <f t="shared" si="115"/>
        <v>女</v>
      </c>
    </row>
    <row r="2518" spans="1:5" ht="30" customHeight="1">
      <c r="A2518" s="7">
        <v>2515</v>
      </c>
      <c r="B2518" s="7" t="str">
        <f>"38662022042111510526826"</f>
        <v>38662022042111510526826</v>
      </c>
      <c r="C2518" s="7" t="s">
        <v>29</v>
      </c>
      <c r="D2518" s="7" t="str">
        <f>"兰丹利"</f>
        <v>兰丹利</v>
      </c>
      <c r="E2518" s="7" t="str">
        <f t="shared" si="115"/>
        <v>女</v>
      </c>
    </row>
    <row r="2519" spans="1:5" ht="30" customHeight="1">
      <c r="A2519" s="7">
        <v>2516</v>
      </c>
      <c r="B2519" s="7" t="str">
        <f>"38662022042112191227010"</f>
        <v>38662022042112191227010</v>
      </c>
      <c r="C2519" s="7" t="s">
        <v>29</v>
      </c>
      <c r="D2519" s="7" t="str">
        <f>"李小莲"</f>
        <v>李小莲</v>
      </c>
      <c r="E2519" s="7" t="str">
        <f t="shared" si="115"/>
        <v>女</v>
      </c>
    </row>
    <row r="2520" spans="1:5" ht="30" customHeight="1">
      <c r="A2520" s="7">
        <v>2517</v>
      </c>
      <c r="B2520" s="7" t="str">
        <f>"38662022042112215627031"</f>
        <v>38662022042112215627031</v>
      </c>
      <c r="C2520" s="7" t="s">
        <v>29</v>
      </c>
      <c r="D2520" s="7" t="str">
        <f>"符丽颜"</f>
        <v>符丽颜</v>
      </c>
      <c r="E2520" s="7" t="str">
        <f t="shared" si="115"/>
        <v>女</v>
      </c>
    </row>
    <row r="2521" spans="1:5" ht="30" customHeight="1">
      <c r="A2521" s="7">
        <v>2518</v>
      </c>
      <c r="B2521" s="7" t="str">
        <f>"38662022042112232627042"</f>
        <v>38662022042112232627042</v>
      </c>
      <c r="C2521" s="7" t="s">
        <v>29</v>
      </c>
      <c r="D2521" s="7" t="str">
        <f>"包莹莹"</f>
        <v>包莹莹</v>
      </c>
      <c r="E2521" s="7" t="str">
        <f t="shared" si="115"/>
        <v>女</v>
      </c>
    </row>
    <row r="2522" spans="1:5" ht="30" customHeight="1">
      <c r="A2522" s="7">
        <v>2519</v>
      </c>
      <c r="B2522" s="7" t="str">
        <f>"38662022042112251527059"</f>
        <v>38662022042112251527059</v>
      </c>
      <c r="C2522" s="7" t="s">
        <v>29</v>
      </c>
      <c r="D2522" s="7" t="str">
        <f>"陈小卉"</f>
        <v>陈小卉</v>
      </c>
      <c r="E2522" s="7" t="str">
        <f t="shared" si="115"/>
        <v>女</v>
      </c>
    </row>
    <row r="2523" spans="1:5" ht="30" customHeight="1">
      <c r="A2523" s="7">
        <v>2520</v>
      </c>
      <c r="B2523" s="7" t="str">
        <f>"38662022042112321427111"</f>
        <v>38662022042112321427111</v>
      </c>
      <c r="C2523" s="7" t="s">
        <v>29</v>
      </c>
      <c r="D2523" s="7" t="str">
        <f>"黄祥奇"</f>
        <v>黄祥奇</v>
      </c>
      <c r="E2523" s="7" t="str">
        <f>"男"</f>
        <v>男</v>
      </c>
    </row>
    <row r="2524" spans="1:5" ht="30" customHeight="1">
      <c r="A2524" s="7">
        <v>2521</v>
      </c>
      <c r="B2524" s="7" t="str">
        <f>"38662022042112381927151"</f>
        <v>38662022042112381927151</v>
      </c>
      <c r="C2524" s="7" t="s">
        <v>29</v>
      </c>
      <c r="D2524" s="7" t="str">
        <f>"李平丹"</f>
        <v>李平丹</v>
      </c>
      <c r="E2524" s="7" t="str">
        <f>"女"</f>
        <v>女</v>
      </c>
    </row>
    <row r="2525" spans="1:5" ht="30" customHeight="1">
      <c r="A2525" s="7">
        <v>2522</v>
      </c>
      <c r="B2525" s="7" t="str">
        <f>"38662022042114143527634"</f>
        <v>38662022042114143527634</v>
      </c>
      <c r="C2525" s="7" t="s">
        <v>29</v>
      </c>
      <c r="D2525" s="7" t="str">
        <f>"邢迎"</f>
        <v>邢迎</v>
      </c>
      <c r="E2525" s="7" t="str">
        <f>"女"</f>
        <v>女</v>
      </c>
    </row>
    <row r="2526" spans="1:5" ht="30" customHeight="1">
      <c r="A2526" s="7">
        <v>2523</v>
      </c>
      <c r="B2526" s="7" t="str">
        <f>"38662022042114501327880"</f>
        <v>38662022042114501327880</v>
      </c>
      <c r="C2526" s="7" t="s">
        <v>29</v>
      </c>
      <c r="D2526" s="7" t="str">
        <f>"曲佳佳"</f>
        <v>曲佳佳</v>
      </c>
      <c r="E2526" s="7" t="str">
        <f>"女"</f>
        <v>女</v>
      </c>
    </row>
    <row r="2527" spans="1:5" ht="30" customHeight="1">
      <c r="A2527" s="7">
        <v>2524</v>
      </c>
      <c r="B2527" s="7" t="str">
        <f>"38662022042115035227994"</f>
        <v>38662022042115035227994</v>
      </c>
      <c r="C2527" s="7" t="s">
        <v>29</v>
      </c>
      <c r="D2527" s="7" t="str">
        <f>"黎秋霞"</f>
        <v>黎秋霞</v>
      </c>
      <c r="E2527" s="7" t="str">
        <f>"女"</f>
        <v>女</v>
      </c>
    </row>
    <row r="2528" spans="1:5" ht="30" customHeight="1">
      <c r="A2528" s="7">
        <v>2525</v>
      </c>
      <c r="B2528" s="7" t="str">
        <f>"38662022042115044328002"</f>
        <v>38662022042115044328002</v>
      </c>
      <c r="C2528" s="7" t="s">
        <v>29</v>
      </c>
      <c r="D2528" s="7" t="str">
        <f>"杨镇铭"</f>
        <v>杨镇铭</v>
      </c>
      <c r="E2528" s="7" t="str">
        <f>"男"</f>
        <v>男</v>
      </c>
    </row>
    <row r="2529" spans="1:5" ht="30" customHeight="1">
      <c r="A2529" s="7">
        <v>2526</v>
      </c>
      <c r="B2529" s="8" t="str">
        <f>"38662022042115144928101"</f>
        <v>38662022042115144928101</v>
      </c>
      <c r="C2529" s="8" t="s">
        <v>29</v>
      </c>
      <c r="D2529" s="8" t="str">
        <f>"符荣芝"</f>
        <v>符荣芝</v>
      </c>
      <c r="E2529" s="8" t="str">
        <f>"女"</f>
        <v>女</v>
      </c>
    </row>
    <row r="2530" spans="1:5" ht="30" customHeight="1">
      <c r="A2530" s="7">
        <v>2527</v>
      </c>
      <c r="B2530" s="7" t="str">
        <f>"38662022042115150628104"</f>
        <v>38662022042115150628104</v>
      </c>
      <c r="C2530" s="7" t="s">
        <v>29</v>
      </c>
      <c r="D2530" s="7" t="str">
        <f>"张美虹"</f>
        <v>张美虹</v>
      </c>
      <c r="E2530" s="7" t="str">
        <f>"女"</f>
        <v>女</v>
      </c>
    </row>
    <row r="2531" spans="1:5" ht="30" customHeight="1">
      <c r="A2531" s="7">
        <v>2528</v>
      </c>
      <c r="B2531" s="7" t="str">
        <f>"38662022042115165528125"</f>
        <v>38662022042115165528125</v>
      </c>
      <c r="C2531" s="7" t="s">
        <v>29</v>
      </c>
      <c r="D2531" s="7" t="str">
        <f>"徐发吉"</f>
        <v>徐发吉</v>
      </c>
      <c r="E2531" s="7" t="str">
        <f>"男"</f>
        <v>男</v>
      </c>
    </row>
    <row r="2532" spans="1:5" ht="30" customHeight="1">
      <c r="A2532" s="7">
        <v>2529</v>
      </c>
      <c r="B2532" s="7" t="str">
        <f>"38662022042115303128236"</f>
        <v>38662022042115303128236</v>
      </c>
      <c r="C2532" s="7" t="s">
        <v>29</v>
      </c>
      <c r="D2532" s="7" t="str">
        <f>"谢爱娜"</f>
        <v>谢爱娜</v>
      </c>
      <c r="E2532" s="7" t="str">
        <f aca="true" t="shared" si="116" ref="E2532:E2538">"女"</f>
        <v>女</v>
      </c>
    </row>
    <row r="2533" spans="1:5" ht="30" customHeight="1">
      <c r="A2533" s="7">
        <v>2530</v>
      </c>
      <c r="B2533" s="7" t="str">
        <f>"38662022042115453128355"</f>
        <v>38662022042115453128355</v>
      </c>
      <c r="C2533" s="7" t="s">
        <v>29</v>
      </c>
      <c r="D2533" s="7" t="str">
        <f>"羊丽梅"</f>
        <v>羊丽梅</v>
      </c>
      <c r="E2533" s="7" t="str">
        <f t="shared" si="116"/>
        <v>女</v>
      </c>
    </row>
    <row r="2534" spans="1:5" ht="30" customHeight="1">
      <c r="A2534" s="7">
        <v>2531</v>
      </c>
      <c r="B2534" s="7" t="str">
        <f>"38662022042116030328466"</f>
        <v>38662022042116030328466</v>
      </c>
      <c r="C2534" s="7" t="s">
        <v>29</v>
      </c>
      <c r="D2534" s="7" t="str">
        <f>"郭政萍"</f>
        <v>郭政萍</v>
      </c>
      <c r="E2534" s="7" t="str">
        <f t="shared" si="116"/>
        <v>女</v>
      </c>
    </row>
    <row r="2535" spans="1:5" ht="30" customHeight="1">
      <c r="A2535" s="7">
        <v>2532</v>
      </c>
      <c r="B2535" s="7" t="str">
        <f>"38662022042116044528480"</f>
        <v>38662022042116044528480</v>
      </c>
      <c r="C2535" s="7" t="s">
        <v>29</v>
      </c>
      <c r="D2535" s="7" t="str">
        <f>"邓冠香"</f>
        <v>邓冠香</v>
      </c>
      <c r="E2535" s="7" t="str">
        <f t="shared" si="116"/>
        <v>女</v>
      </c>
    </row>
    <row r="2536" spans="1:5" ht="30" customHeight="1">
      <c r="A2536" s="7">
        <v>2533</v>
      </c>
      <c r="B2536" s="7" t="str">
        <f>"38662022042116051028484"</f>
        <v>38662022042116051028484</v>
      </c>
      <c r="C2536" s="7" t="s">
        <v>29</v>
      </c>
      <c r="D2536" s="7" t="str">
        <f>"李佳玲"</f>
        <v>李佳玲</v>
      </c>
      <c r="E2536" s="7" t="str">
        <f t="shared" si="116"/>
        <v>女</v>
      </c>
    </row>
    <row r="2537" spans="1:5" ht="30" customHeight="1">
      <c r="A2537" s="7">
        <v>2534</v>
      </c>
      <c r="B2537" s="7" t="str">
        <f>"38662022042116104728511"</f>
        <v>38662022042116104728511</v>
      </c>
      <c r="C2537" s="7" t="s">
        <v>29</v>
      </c>
      <c r="D2537" s="7" t="str">
        <f>"刘桃桃"</f>
        <v>刘桃桃</v>
      </c>
      <c r="E2537" s="7" t="str">
        <f t="shared" si="116"/>
        <v>女</v>
      </c>
    </row>
    <row r="2538" spans="1:5" ht="30" customHeight="1">
      <c r="A2538" s="7">
        <v>2535</v>
      </c>
      <c r="B2538" s="7" t="str">
        <f>"38662022042116444528754"</f>
        <v>38662022042116444528754</v>
      </c>
      <c r="C2538" s="7" t="s">
        <v>29</v>
      </c>
      <c r="D2538" s="7" t="str">
        <f>"莫文惠"</f>
        <v>莫文惠</v>
      </c>
      <c r="E2538" s="7" t="str">
        <f t="shared" si="116"/>
        <v>女</v>
      </c>
    </row>
    <row r="2539" spans="1:5" ht="30" customHeight="1">
      <c r="A2539" s="7">
        <v>2536</v>
      </c>
      <c r="B2539" s="7" t="str">
        <f>"38662022042116483128780"</f>
        <v>38662022042116483128780</v>
      </c>
      <c r="C2539" s="7" t="s">
        <v>29</v>
      </c>
      <c r="D2539" s="7" t="str">
        <f>"李广珍"</f>
        <v>李广珍</v>
      </c>
      <c r="E2539" s="7" t="str">
        <f>"男"</f>
        <v>男</v>
      </c>
    </row>
    <row r="2540" spans="1:5" ht="30" customHeight="1">
      <c r="A2540" s="7">
        <v>2537</v>
      </c>
      <c r="B2540" s="7" t="str">
        <f>"38662022042116523128809"</f>
        <v>38662022042116523128809</v>
      </c>
      <c r="C2540" s="7" t="s">
        <v>29</v>
      </c>
      <c r="D2540" s="7" t="str">
        <f>"许彩熊"</f>
        <v>许彩熊</v>
      </c>
      <c r="E2540" s="7" t="str">
        <f>"女"</f>
        <v>女</v>
      </c>
    </row>
    <row r="2541" spans="1:5" ht="30" customHeight="1">
      <c r="A2541" s="7">
        <v>2538</v>
      </c>
      <c r="B2541" s="7" t="str">
        <f>"38662022042117045728883"</f>
        <v>38662022042117045728883</v>
      </c>
      <c r="C2541" s="7" t="s">
        <v>29</v>
      </c>
      <c r="D2541" s="7" t="str">
        <f>"王小琴"</f>
        <v>王小琴</v>
      </c>
      <c r="E2541" s="7" t="str">
        <f>"女"</f>
        <v>女</v>
      </c>
    </row>
    <row r="2542" spans="1:5" ht="30" customHeight="1">
      <c r="A2542" s="7">
        <v>2539</v>
      </c>
      <c r="B2542" s="7" t="str">
        <f>"38662022042117102828924"</f>
        <v>38662022042117102828924</v>
      </c>
      <c r="C2542" s="7" t="s">
        <v>29</v>
      </c>
      <c r="D2542" s="7" t="str">
        <f>"吴清泳"</f>
        <v>吴清泳</v>
      </c>
      <c r="E2542" s="7" t="str">
        <f>"女"</f>
        <v>女</v>
      </c>
    </row>
    <row r="2543" spans="1:5" ht="30" customHeight="1">
      <c r="A2543" s="7">
        <v>2540</v>
      </c>
      <c r="B2543" s="7" t="str">
        <f>"38662022042117180028979"</f>
        <v>38662022042117180028979</v>
      </c>
      <c r="C2543" s="7" t="s">
        <v>29</v>
      </c>
      <c r="D2543" s="7" t="str">
        <f>"陈海娜"</f>
        <v>陈海娜</v>
      </c>
      <c r="E2543" s="7" t="str">
        <f>"女"</f>
        <v>女</v>
      </c>
    </row>
    <row r="2544" spans="1:5" ht="30" customHeight="1">
      <c r="A2544" s="7">
        <v>2541</v>
      </c>
      <c r="B2544" s="7" t="str">
        <f>"38662022042117451629123"</f>
        <v>38662022042117451629123</v>
      </c>
      <c r="C2544" s="7" t="s">
        <v>29</v>
      </c>
      <c r="D2544" s="7" t="str">
        <f>"黎丁菲"</f>
        <v>黎丁菲</v>
      </c>
      <c r="E2544" s="7" t="str">
        <f>"女"</f>
        <v>女</v>
      </c>
    </row>
    <row r="2545" spans="1:5" ht="30" customHeight="1">
      <c r="A2545" s="7">
        <v>2542</v>
      </c>
      <c r="B2545" s="7" t="str">
        <f>"38662022042117591729198"</f>
        <v>38662022042117591729198</v>
      </c>
      <c r="C2545" s="7" t="s">
        <v>29</v>
      </c>
      <c r="D2545" s="7" t="str">
        <f>"李俊杰"</f>
        <v>李俊杰</v>
      </c>
      <c r="E2545" s="7" t="str">
        <f>"男"</f>
        <v>男</v>
      </c>
    </row>
    <row r="2546" spans="1:5" ht="30" customHeight="1">
      <c r="A2546" s="7">
        <v>2543</v>
      </c>
      <c r="B2546" s="7" t="str">
        <f>"38662022042118054029232"</f>
        <v>38662022042118054029232</v>
      </c>
      <c r="C2546" s="7" t="s">
        <v>29</v>
      </c>
      <c r="D2546" s="7" t="str">
        <f>"王彩玉"</f>
        <v>王彩玉</v>
      </c>
      <c r="E2546" s="7" t="str">
        <f aca="true" t="shared" si="117" ref="E2546:E2557">"女"</f>
        <v>女</v>
      </c>
    </row>
    <row r="2547" spans="1:5" ht="30" customHeight="1">
      <c r="A2547" s="7">
        <v>2544</v>
      </c>
      <c r="B2547" s="7" t="str">
        <f>"38662022042118280229314"</f>
        <v>38662022042118280229314</v>
      </c>
      <c r="C2547" s="7" t="s">
        <v>29</v>
      </c>
      <c r="D2547" s="7" t="str">
        <f>"刘欣欣"</f>
        <v>刘欣欣</v>
      </c>
      <c r="E2547" s="7" t="str">
        <f t="shared" si="117"/>
        <v>女</v>
      </c>
    </row>
    <row r="2548" spans="1:5" ht="30" customHeight="1">
      <c r="A2548" s="7">
        <v>2545</v>
      </c>
      <c r="B2548" s="7" t="str">
        <f>"38662022042119554229693"</f>
        <v>38662022042119554229693</v>
      </c>
      <c r="C2548" s="7" t="s">
        <v>29</v>
      </c>
      <c r="D2548" s="7" t="str">
        <f>"冼星好"</f>
        <v>冼星好</v>
      </c>
      <c r="E2548" s="7" t="str">
        <f t="shared" si="117"/>
        <v>女</v>
      </c>
    </row>
    <row r="2549" spans="1:5" ht="30" customHeight="1">
      <c r="A2549" s="7">
        <v>2546</v>
      </c>
      <c r="B2549" s="7" t="str">
        <f>"38662022042120044829737"</f>
        <v>38662022042120044829737</v>
      </c>
      <c r="C2549" s="7" t="s">
        <v>29</v>
      </c>
      <c r="D2549" s="7" t="str">
        <f>"王慧丽"</f>
        <v>王慧丽</v>
      </c>
      <c r="E2549" s="7" t="str">
        <f t="shared" si="117"/>
        <v>女</v>
      </c>
    </row>
    <row r="2550" spans="1:5" ht="30" customHeight="1">
      <c r="A2550" s="7">
        <v>2547</v>
      </c>
      <c r="B2550" s="7" t="str">
        <f>"38662022042120095829762"</f>
        <v>38662022042120095829762</v>
      </c>
      <c r="C2550" s="7" t="s">
        <v>29</v>
      </c>
      <c r="D2550" s="7" t="str">
        <f>"蒲子佳"</f>
        <v>蒲子佳</v>
      </c>
      <c r="E2550" s="7" t="str">
        <f t="shared" si="117"/>
        <v>女</v>
      </c>
    </row>
    <row r="2551" spans="1:5" ht="30" customHeight="1">
      <c r="A2551" s="7">
        <v>2548</v>
      </c>
      <c r="B2551" s="7" t="str">
        <f>"38662022042120225629827"</f>
        <v>38662022042120225629827</v>
      </c>
      <c r="C2551" s="7" t="s">
        <v>29</v>
      </c>
      <c r="D2551" s="7" t="str">
        <f>"赵日周"</f>
        <v>赵日周</v>
      </c>
      <c r="E2551" s="7" t="str">
        <f t="shared" si="117"/>
        <v>女</v>
      </c>
    </row>
    <row r="2552" spans="1:5" ht="30" customHeight="1">
      <c r="A2552" s="7">
        <v>2549</v>
      </c>
      <c r="B2552" s="7" t="str">
        <f>"38662022042120331829887"</f>
        <v>38662022042120331829887</v>
      </c>
      <c r="C2552" s="7" t="s">
        <v>29</v>
      </c>
      <c r="D2552" s="7" t="str">
        <f>"朱蕾"</f>
        <v>朱蕾</v>
      </c>
      <c r="E2552" s="7" t="str">
        <f t="shared" si="117"/>
        <v>女</v>
      </c>
    </row>
    <row r="2553" spans="1:5" ht="30" customHeight="1">
      <c r="A2553" s="7">
        <v>2550</v>
      </c>
      <c r="B2553" s="7" t="str">
        <f>"38662022042120363129907"</f>
        <v>38662022042120363129907</v>
      </c>
      <c r="C2553" s="7" t="s">
        <v>29</v>
      </c>
      <c r="D2553" s="7" t="str">
        <f>"罗莘"</f>
        <v>罗莘</v>
      </c>
      <c r="E2553" s="7" t="str">
        <f t="shared" si="117"/>
        <v>女</v>
      </c>
    </row>
    <row r="2554" spans="1:5" ht="30" customHeight="1">
      <c r="A2554" s="7">
        <v>2551</v>
      </c>
      <c r="B2554" s="7" t="str">
        <f>"38662022042121571230336"</f>
        <v>38662022042121571230336</v>
      </c>
      <c r="C2554" s="7" t="s">
        <v>29</v>
      </c>
      <c r="D2554" s="7" t="str">
        <f>"朱奕烹"</f>
        <v>朱奕烹</v>
      </c>
      <c r="E2554" s="7" t="str">
        <f t="shared" si="117"/>
        <v>女</v>
      </c>
    </row>
    <row r="2555" spans="1:5" ht="30" customHeight="1">
      <c r="A2555" s="7">
        <v>2552</v>
      </c>
      <c r="B2555" s="7" t="str">
        <f>"38662022042122400830556"</f>
        <v>38662022042122400830556</v>
      </c>
      <c r="C2555" s="7" t="s">
        <v>29</v>
      </c>
      <c r="D2555" s="7" t="str">
        <f>"周家欣"</f>
        <v>周家欣</v>
      </c>
      <c r="E2555" s="7" t="str">
        <f t="shared" si="117"/>
        <v>女</v>
      </c>
    </row>
    <row r="2556" spans="1:5" ht="30" customHeight="1">
      <c r="A2556" s="7">
        <v>2553</v>
      </c>
      <c r="B2556" s="7" t="str">
        <f>"38662022042123064930658"</f>
        <v>38662022042123064930658</v>
      </c>
      <c r="C2556" s="7" t="s">
        <v>29</v>
      </c>
      <c r="D2556" s="7" t="str">
        <f>"董佳佳"</f>
        <v>董佳佳</v>
      </c>
      <c r="E2556" s="7" t="str">
        <f t="shared" si="117"/>
        <v>女</v>
      </c>
    </row>
    <row r="2557" spans="1:5" ht="30" customHeight="1">
      <c r="A2557" s="7">
        <v>2554</v>
      </c>
      <c r="B2557" s="7" t="str">
        <f>"38662022042123075330663"</f>
        <v>38662022042123075330663</v>
      </c>
      <c r="C2557" s="7" t="s">
        <v>29</v>
      </c>
      <c r="D2557" s="7" t="str">
        <f>"罗晓欣"</f>
        <v>罗晓欣</v>
      </c>
      <c r="E2557" s="7" t="str">
        <f t="shared" si="117"/>
        <v>女</v>
      </c>
    </row>
    <row r="2558" spans="1:5" ht="30" customHeight="1">
      <c r="A2558" s="7">
        <v>2555</v>
      </c>
      <c r="B2558" s="7" t="str">
        <f>"38662022042123205130715"</f>
        <v>38662022042123205130715</v>
      </c>
      <c r="C2558" s="7" t="s">
        <v>29</v>
      </c>
      <c r="D2558" s="7" t="str">
        <f>"王祺定"</f>
        <v>王祺定</v>
      </c>
      <c r="E2558" s="7" t="str">
        <f>"男"</f>
        <v>男</v>
      </c>
    </row>
    <row r="2559" spans="1:5" ht="30" customHeight="1">
      <c r="A2559" s="7">
        <v>2556</v>
      </c>
      <c r="B2559" s="7" t="str">
        <f>"38662022042123381830759"</f>
        <v>38662022042123381830759</v>
      </c>
      <c r="C2559" s="7" t="s">
        <v>29</v>
      </c>
      <c r="D2559" s="7" t="str">
        <f>"陈瑶"</f>
        <v>陈瑶</v>
      </c>
      <c r="E2559" s="7" t="str">
        <f>"女"</f>
        <v>女</v>
      </c>
    </row>
    <row r="2560" spans="1:5" ht="30" customHeight="1">
      <c r="A2560" s="7">
        <v>2557</v>
      </c>
      <c r="B2560" s="7" t="str">
        <f>"38662022042208280630992"</f>
        <v>38662022042208280630992</v>
      </c>
      <c r="C2560" s="7" t="s">
        <v>29</v>
      </c>
      <c r="D2560" s="7" t="str">
        <f>"曾麟"</f>
        <v>曾麟</v>
      </c>
      <c r="E2560" s="7" t="str">
        <f>"男"</f>
        <v>男</v>
      </c>
    </row>
    <row r="2561" spans="1:5" ht="30" customHeight="1">
      <c r="A2561" s="7">
        <v>2558</v>
      </c>
      <c r="B2561" s="7" t="str">
        <f>"38662022042208453231050"</f>
        <v>38662022042208453231050</v>
      </c>
      <c r="C2561" s="7" t="s">
        <v>29</v>
      </c>
      <c r="D2561" s="7" t="str">
        <f>"李亚丽"</f>
        <v>李亚丽</v>
      </c>
      <c r="E2561" s="7" t="str">
        <f aca="true" t="shared" si="118" ref="E2561:E2590">"女"</f>
        <v>女</v>
      </c>
    </row>
    <row r="2562" spans="1:5" ht="30" customHeight="1">
      <c r="A2562" s="7">
        <v>2559</v>
      </c>
      <c r="B2562" s="7" t="str">
        <f>"38662022042208561731102"</f>
        <v>38662022042208561731102</v>
      </c>
      <c r="C2562" s="7" t="s">
        <v>29</v>
      </c>
      <c r="D2562" s="7" t="str">
        <f>"刘夏雨"</f>
        <v>刘夏雨</v>
      </c>
      <c r="E2562" s="7" t="str">
        <f t="shared" si="118"/>
        <v>女</v>
      </c>
    </row>
    <row r="2563" spans="1:5" ht="30" customHeight="1">
      <c r="A2563" s="7">
        <v>2560</v>
      </c>
      <c r="B2563" s="7" t="str">
        <f>"38662022042209310831275"</f>
        <v>38662022042209310831275</v>
      </c>
      <c r="C2563" s="7" t="s">
        <v>29</v>
      </c>
      <c r="D2563" s="7" t="str">
        <f>"何秋燕"</f>
        <v>何秋燕</v>
      </c>
      <c r="E2563" s="7" t="str">
        <f t="shared" si="118"/>
        <v>女</v>
      </c>
    </row>
    <row r="2564" spans="1:5" ht="30" customHeight="1">
      <c r="A2564" s="7">
        <v>2561</v>
      </c>
      <c r="B2564" s="7" t="str">
        <f>"38662022042209360831299"</f>
        <v>38662022042209360831299</v>
      </c>
      <c r="C2564" s="7" t="s">
        <v>29</v>
      </c>
      <c r="D2564" s="7" t="str">
        <f>"王三逢"</f>
        <v>王三逢</v>
      </c>
      <c r="E2564" s="7" t="str">
        <f t="shared" si="118"/>
        <v>女</v>
      </c>
    </row>
    <row r="2565" spans="1:5" ht="30" customHeight="1">
      <c r="A2565" s="7">
        <v>2562</v>
      </c>
      <c r="B2565" s="7" t="str">
        <f>"38662022042210175931558"</f>
        <v>38662022042210175931558</v>
      </c>
      <c r="C2565" s="7" t="s">
        <v>29</v>
      </c>
      <c r="D2565" s="7" t="str">
        <f>"李娜"</f>
        <v>李娜</v>
      </c>
      <c r="E2565" s="7" t="str">
        <f t="shared" si="118"/>
        <v>女</v>
      </c>
    </row>
    <row r="2566" spans="1:5" ht="30" customHeight="1">
      <c r="A2566" s="7">
        <v>2563</v>
      </c>
      <c r="B2566" s="7" t="str">
        <f>"38662022042210210431576"</f>
        <v>38662022042210210431576</v>
      </c>
      <c r="C2566" s="7" t="s">
        <v>29</v>
      </c>
      <c r="D2566" s="7" t="str">
        <f>"周云莉"</f>
        <v>周云莉</v>
      </c>
      <c r="E2566" s="7" t="str">
        <f t="shared" si="118"/>
        <v>女</v>
      </c>
    </row>
    <row r="2567" spans="1:5" ht="30" customHeight="1">
      <c r="A2567" s="7">
        <v>2564</v>
      </c>
      <c r="B2567" s="7" t="str">
        <f>"38662022042210264831615"</f>
        <v>38662022042210264831615</v>
      </c>
      <c r="C2567" s="7" t="s">
        <v>29</v>
      </c>
      <c r="D2567" s="7" t="str">
        <f>"陈少宛"</f>
        <v>陈少宛</v>
      </c>
      <c r="E2567" s="7" t="str">
        <f t="shared" si="118"/>
        <v>女</v>
      </c>
    </row>
    <row r="2568" spans="1:5" ht="30" customHeight="1">
      <c r="A2568" s="7">
        <v>2565</v>
      </c>
      <c r="B2568" s="7" t="str">
        <f>"38662022042211142931897"</f>
        <v>38662022042211142931897</v>
      </c>
      <c r="C2568" s="7" t="s">
        <v>29</v>
      </c>
      <c r="D2568" s="7" t="str">
        <f>"黎正花"</f>
        <v>黎正花</v>
      </c>
      <c r="E2568" s="7" t="str">
        <f t="shared" si="118"/>
        <v>女</v>
      </c>
    </row>
    <row r="2569" spans="1:5" ht="30" customHeight="1">
      <c r="A2569" s="7">
        <v>2566</v>
      </c>
      <c r="B2569" s="7" t="str">
        <f>"38662022042211325432322"</f>
        <v>38662022042211325432322</v>
      </c>
      <c r="C2569" s="7" t="s">
        <v>29</v>
      </c>
      <c r="D2569" s="7" t="str">
        <f>"邢雯琳"</f>
        <v>邢雯琳</v>
      </c>
      <c r="E2569" s="7" t="str">
        <f t="shared" si="118"/>
        <v>女</v>
      </c>
    </row>
    <row r="2570" spans="1:5" ht="30" customHeight="1">
      <c r="A2570" s="7">
        <v>2567</v>
      </c>
      <c r="B2570" s="7" t="str">
        <f>"38662022042211481432407"</f>
        <v>38662022042211481432407</v>
      </c>
      <c r="C2570" s="7" t="s">
        <v>29</v>
      </c>
      <c r="D2570" s="7" t="str">
        <f>"程娟"</f>
        <v>程娟</v>
      </c>
      <c r="E2570" s="7" t="str">
        <f t="shared" si="118"/>
        <v>女</v>
      </c>
    </row>
    <row r="2571" spans="1:5" ht="30" customHeight="1">
      <c r="A2571" s="7">
        <v>2568</v>
      </c>
      <c r="B2571" s="7" t="str">
        <f>"38662022042214372433049"</f>
        <v>38662022042214372433049</v>
      </c>
      <c r="C2571" s="7" t="s">
        <v>29</v>
      </c>
      <c r="D2571" s="7" t="str">
        <f>"郑青见"</f>
        <v>郑青见</v>
      </c>
      <c r="E2571" s="7" t="str">
        <f t="shared" si="118"/>
        <v>女</v>
      </c>
    </row>
    <row r="2572" spans="1:5" ht="30" customHeight="1">
      <c r="A2572" s="7">
        <v>2569</v>
      </c>
      <c r="B2572" s="7" t="str">
        <f>"38662022042214572833155"</f>
        <v>38662022042214572833155</v>
      </c>
      <c r="C2572" s="7" t="s">
        <v>29</v>
      </c>
      <c r="D2572" s="7" t="str">
        <f>"张春婵"</f>
        <v>张春婵</v>
      </c>
      <c r="E2572" s="7" t="str">
        <f t="shared" si="118"/>
        <v>女</v>
      </c>
    </row>
    <row r="2573" spans="1:5" ht="30" customHeight="1">
      <c r="A2573" s="7">
        <v>2570</v>
      </c>
      <c r="B2573" s="7" t="str">
        <f>"38662022042215074233207"</f>
        <v>38662022042215074233207</v>
      </c>
      <c r="C2573" s="7" t="s">
        <v>29</v>
      </c>
      <c r="D2573" s="7" t="str">
        <f>"周彩今"</f>
        <v>周彩今</v>
      </c>
      <c r="E2573" s="7" t="str">
        <f t="shared" si="118"/>
        <v>女</v>
      </c>
    </row>
    <row r="2574" spans="1:5" ht="30" customHeight="1">
      <c r="A2574" s="7">
        <v>2571</v>
      </c>
      <c r="B2574" s="7" t="str">
        <f>"38662022042215231533309"</f>
        <v>38662022042215231533309</v>
      </c>
      <c r="C2574" s="7" t="s">
        <v>29</v>
      </c>
      <c r="D2574" s="7" t="str">
        <f>"周碟"</f>
        <v>周碟</v>
      </c>
      <c r="E2574" s="7" t="str">
        <f t="shared" si="118"/>
        <v>女</v>
      </c>
    </row>
    <row r="2575" spans="1:5" ht="30" customHeight="1">
      <c r="A2575" s="7">
        <v>2572</v>
      </c>
      <c r="B2575" s="7" t="str">
        <f>"38662022042215563033515"</f>
        <v>38662022042215563033515</v>
      </c>
      <c r="C2575" s="7" t="s">
        <v>29</v>
      </c>
      <c r="D2575" s="7" t="str">
        <f>"陈银"</f>
        <v>陈银</v>
      </c>
      <c r="E2575" s="7" t="str">
        <f t="shared" si="118"/>
        <v>女</v>
      </c>
    </row>
    <row r="2576" spans="1:5" ht="30" customHeight="1">
      <c r="A2576" s="7">
        <v>2573</v>
      </c>
      <c r="B2576" s="7" t="str">
        <f>"38662022042216130033626"</f>
        <v>38662022042216130033626</v>
      </c>
      <c r="C2576" s="7" t="s">
        <v>29</v>
      </c>
      <c r="D2576" s="7" t="str">
        <f>"吴原榕"</f>
        <v>吴原榕</v>
      </c>
      <c r="E2576" s="7" t="str">
        <f t="shared" si="118"/>
        <v>女</v>
      </c>
    </row>
    <row r="2577" spans="1:5" ht="30" customHeight="1">
      <c r="A2577" s="7">
        <v>2574</v>
      </c>
      <c r="B2577" s="7" t="str">
        <f>"38662022042216294533723"</f>
        <v>38662022042216294533723</v>
      </c>
      <c r="C2577" s="7" t="s">
        <v>29</v>
      </c>
      <c r="D2577" s="7" t="str">
        <f>"莫启燕"</f>
        <v>莫启燕</v>
      </c>
      <c r="E2577" s="7" t="str">
        <f t="shared" si="118"/>
        <v>女</v>
      </c>
    </row>
    <row r="2578" spans="1:5" ht="30" customHeight="1">
      <c r="A2578" s="7">
        <v>2575</v>
      </c>
      <c r="B2578" s="7" t="str">
        <f>"38662022042216580833919"</f>
        <v>38662022042216580833919</v>
      </c>
      <c r="C2578" s="7" t="s">
        <v>29</v>
      </c>
      <c r="D2578" s="7" t="str">
        <f>"吴丽玲"</f>
        <v>吴丽玲</v>
      </c>
      <c r="E2578" s="7" t="str">
        <f t="shared" si="118"/>
        <v>女</v>
      </c>
    </row>
    <row r="2579" spans="1:5" ht="30" customHeight="1">
      <c r="A2579" s="7">
        <v>2576</v>
      </c>
      <c r="B2579" s="7" t="str">
        <f>"38662022042217330134106"</f>
        <v>38662022042217330134106</v>
      </c>
      <c r="C2579" s="7" t="s">
        <v>29</v>
      </c>
      <c r="D2579" s="7" t="str">
        <f>"黄彩贞"</f>
        <v>黄彩贞</v>
      </c>
      <c r="E2579" s="7" t="str">
        <f t="shared" si="118"/>
        <v>女</v>
      </c>
    </row>
    <row r="2580" spans="1:5" ht="30" customHeight="1">
      <c r="A2580" s="7">
        <v>2577</v>
      </c>
      <c r="B2580" s="7" t="str">
        <f>"38662022042217574534206"</f>
        <v>38662022042217574534206</v>
      </c>
      <c r="C2580" s="7" t="s">
        <v>29</v>
      </c>
      <c r="D2580" s="7" t="str">
        <f>"黄丽婉"</f>
        <v>黄丽婉</v>
      </c>
      <c r="E2580" s="7" t="str">
        <f t="shared" si="118"/>
        <v>女</v>
      </c>
    </row>
    <row r="2581" spans="1:5" ht="30" customHeight="1">
      <c r="A2581" s="7">
        <v>2578</v>
      </c>
      <c r="B2581" s="7" t="str">
        <f>"38662022042217580634209"</f>
        <v>38662022042217580634209</v>
      </c>
      <c r="C2581" s="7" t="s">
        <v>29</v>
      </c>
      <c r="D2581" s="7" t="str">
        <f>"曾露"</f>
        <v>曾露</v>
      </c>
      <c r="E2581" s="7" t="str">
        <f t="shared" si="118"/>
        <v>女</v>
      </c>
    </row>
    <row r="2582" spans="1:5" ht="30" customHeight="1">
      <c r="A2582" s="7">
        <v>2579</v>
      </c>
      <c r="B2582" s="7" t="str">
        <f>"38662022042218125534247"</f>
        <v>38662022042218125534247</v>
      </c>
      <c r="C2582" s="7" t="s">
        <v>29</v>
      </c>
      <c r="D2582" s="7" t="str">
        <f>"李珍方"</f>
        <v>李珍方</v>
      </c>
      <c r="E2582" s="7" t="str">
        <f t="shared" si="118"/>
        <v>女</v>
      </c>
    </row>
    <row r="2583" spans="1:5" ht="30" customHeight="1">
      <c r="A2583" s="7">
        <v>2580</v>
      </c>
      <c r="B2583" s="7" t="str">
        <f>"38662022042218134034249"</f>
        <v>38662022042218134034249</v>
      </c>
      <c r="C2583" s="7" t="s">
        <v>29</v>
      </c>
      <c r="D2583" s="7" t="str">
        <f>"颜森莹"</f>
        <v>颜森莹</v>
      </c>
      <c r="E2583" s="7" t="str">
        <f t="shared" si="118"/>
        <v>女</v>
      </c>
    </row>
    <row r="2584" spans="1:5" ht="30" customHeight="1">
      <c r="A2584" s="7">
        <v>2581</v>
      </c>
      <c r="B2584" s="7" t="str">
        <f>"38662022042218210734264"</f>
        <v>38662022042218210734264</v>
      </c>
      <c r="C2584" s="7" t="s">
        <v>29</v>
      </c>
      <c r="D2584" s="7" t="str">
        <f>"薛伟积"</f>
        <v>薛伟积</v>
      </c>
      <c r="E2584" s="7" t="str">
        <f t="shared" si="118"/>
        <v>女</v>
      </c>
    </row>
    <row r="2585" spans="1:5" ht="30" customHeight="1">
      <c r="A2585" s="7">
        <v>2582</v>
      </c>
      <c r="B2585" s="7" t="str">
        <f>"38662022042219123734378"</f>
        <v>38662022042219123734378</v>
      </c>
      <c r="C2585" s="7" t="s">
        <v>29</v>
      </c>
      <c r="D2585" s="7" t="str">
        <f>"罗德翠"</f>
        <v>罗德翠</v>
      </c>
      <c r="E2585" s="7" t="str">
        <f t="shared" si="118"/>
        <v>女</v>
      </c>
    </row>
    <row r="2586" spans="1:5" ht="30" customHeight="1">
      <c r="A2586" s="7">
        <v>2583</v>
      </c>
      <c r="B2586" s="7" t="str">
        <f>"38662022042220123734490"</f>
        <v>38662022042220123734490</v>
      </c>
      <c r="C2586" s="7" t="s">
        <v>29</v>
      </c>
      <c r="D2586" s="7" t="str">
        <f>"郑庆玲"</f>
        <v>郑庆玲</v>
      </c>
      <c r="E2586" s="7" t="str">
        <f t="shared" si="118"/>
        <v>女</v>
      </c>
    </row>
    <row r="2587" spans="1:5" ht="30" customHeight="1">
      <c r="A2587" s="7">
        <v>2584</v>
      </c>
      <c r="B2587" s="7" t="str">
        <f>"38662022042220451334552"</f>
        <v>38662022042220451334552</v>
      </c>
      <c r="C2587" s="7" t="s">
        <v>29</v>
      </c>
      <c r="D2587" s="7" t="str">
        <f>"石秀慧"</f>
        <v>石秀慧</v>
      </c>
      <c r="E2587" s="7" t="str">
        <f t="shared" si="118"/>
        <v>女</v>
      </c>
    </row>
    <row r="2588" spans="1:5" ht="30" customHeight="1">
      <c r="A2588" s="7">
        <v>2585</v>
      </c>
      <c r="B2588" s="7" t="str">
        <f>"38662022042222203634732"</f>
        <v>38662022042222203634732</v>
      </c>
      <c r="C2588" s="7" t="s">
        <v>29</v>
      </c>
      <c r="D2588" s="7" t="str">
        <f>"李云霞"</f>
        <v>李云霞</v>
      </c>
      <c r="E2588" s="7" t="str">
        <f t="shared" si="118"/>
        <v>女</v>
      </c>
    </row>
    <row r="2589" spans="1:5" ht="30" customHeight="1">
      <c r="A2589" s="7">
        <v>2586</v>
      </c>
      <c r="B2589" s="7" t="str">
        <f>"38662022042223322534821"</f>
        <v>38662022042223322534821</v>
      </c>
      <c r="C2589" s="7" t="s">
        <v>29</v>
      </c>
      <c r="D2589" s="7" t="str">
        <f>"王春晓"</f>
        <v>王春晓</v>
      </c>
      <c r="E2589" s="7" t="str">
        <f t="shared" si="118"/>
        <v>女</v>
      </c>
    </row>
    <row r="2590" spans="1:5" ht="30" customHeight="1">
      <c r="A2590" s="7">
        <v>2587</v>
      </c>
      <c r="B2590" s="7" t="str">
        <f>"38662022042223512734833"</f>
        <v>38662022042223512734833</v>
      </c>
      <c r="C2590" s="7" t="s">
        <v>29</v>
      </c>
      <c r="D2590" s="7" t="str">
        <f>"陈秀香"</f>
        <v>陈秀香</v>
      </c>
      <c r="E2590" s="7" t="str">
        <f t="shared" si="118"/>
        <v>女</v>
      </c>
    </row>
    <row r="2591" spans="1:5" ht="30" customHeight="1">
      <c r="A2591" s="7">
        <v>2588</v>
      </c>
      <c r="B2591" s="7" t="str">
        <f>"38662022042308094934897"</f>
        <v>38662022042308094934897</v>
      </c>
      <c r="C2591" s="7" t="s">
        <v>29</v>
      </c>
      <c r="D2591" s="7" t="str">
        <f>"王朝孟"</f>
        <v>王朝孟</v>
      </c>
      <c r="E2591" s="7" t="str">
        <f>"男"</f>
        <v>男</v>
      </c>
    </row>
    <row r="2592" spans="1:5" ht="30" customHeight="1">
      <c r="A2592" s="7">
        <v>2589</v>
      </c>
      <c r="B2592" s="7" t="str">
        <f>"38662022042308463234922"</f>
        <v>38662022042308463234922</v>
      </c>
      <c r="C2592" s="7" t="s">
        <v>29</v>
      </c>
      <c r="D2592" s="7" t="str">
        <f>"刘仙容"</f>
        <v>刘仙容</v>
      </c>
      <c r="E2592" s="7" t="str">
        <f>"女"</f>
        <v>女</v>
      </c>
    </row>
    <row r="2593" spans="1:5" ht="30" customHeight="1">
      <c r="A2593" s="7">
        <v>2590</v>
      </c>
      <c r="B2593" s="7" t="str">
        <f>"38662022042309040934928"</f>
        <v>38662022042309040934928</v>
      </c>
      <c r="C2593" s="7" t="s">
        <v>29</v>
      </c>
      <c r="D2593" s="7" t="str">
        <f>"唐杨柳"</f>
        <v>唐杨柳</v>
      </c>
      <c r="E2593" s="7" t="str">
        <f>"女"</f>
        <v>女</v>
      </c>
    </row>
    <row r="2594" spans="1:5" ht="30" customHeight="1">
      <c r="A2594" s="7">
        <v>2591</v>
      </c>
      <c r="B2594" s="7" t="str">
        <f>"38662022042309393734968"</f>
        <v>38662022042309393734968</v>
      </c>
      <c r="C2594" s="7" t="s">
        <v>29</v>
      </c>
      <c r="D2594" s="7" t="str">
        <f>"杨婷"</f>
        <v>杨婷</v>
      </c>
      <c r="E2594" s="7" t="str">
        <f>"女"</f>
        <v>女</v>
      </c>
    </row>
    <row r="2595" spans="1:5" ht="30" customHeight="1">
      <c r="A2595" s="7">
        <v>2592</v>
      </c>
      <c r="B2595" s="7" t="str">
        <f>"38662022042311380235138"</f>
        <v>38662022042311380235138</v>
      </c>
      <c r="C2595" s="7" t="s">
        <v>29</v>
      </c>
      <c r="D2595" s="7" t="str">
        <f>"陈重行"</f>
        <v>陈重行</v>
      </c>
      <c r="E2595" s="7" t="str">
        <f>"男"</f>
        <v>男</v>
      </c>
    </row>
    <row r="2596" spans="1:5" ht="30" customHeight="1">
      <c r="A2596" s="7">
        <v>2593</v>
      </c>
      <c r="B2596" s="7" t="str">
        <f>"38662022042312251635201"</f>
        <v>38662022042312251635201</v>
      </c>
      <c r="C2596" s="7" t="s">
        <v>29</v>
      </c>
      <c r="D2596" s="7" t="str">
        <f>"徐彤"</f>
        <v>徐彤</v>
      </c>
      <c r="E2596" s="7" t="str">
        <f aca="true" t="shared" si="119" ref="E2596:E2610">"女"</f>
        <v>女</v>
      </c>
    </row>
    <row r="2597" spans="1:5" ht="30" customHeight="1">
      <c r="A2597" s="7">
        <v>2594</v>
      </c>
      <c r="B2597" s="7" t="str">
        <f>"38662022042312400935212"</f>
        <v>38662022042312400935212</v>
      </c>
      <c r="C2597" s="7" t="s">
        <v>29</v>
      </c>
      <c r="D2597" s="7" t="str">
        <f>"何朝芳"</f>
        <v>何朝芳</v>
      </c>
      <c r="E2597" s="7" t="str">
        <f t="shared" si="119"/>
        <v>女</v>
      </c>
    </row>
    <row r="2598" spans="1:5" ht="30" customHeight="1">
      <c r="A2598" s="7">
        <v>2595</v>
      </c>
      <c r="B2598" s="7" t="str">
        <f>"38662022042314145435333"</f>
        <v>38662022042314145435333</v>
      </c>
      <c r="C2598" s="7" t="s">
        <v>29</v>
      </c>
      <c r="D2598" s="7" t="str">
        <f>"李一枝"</f>
        <v>李一枝</v>
      </c>
      <c r="E2598" s="7" t="str">
        <f t="shared" si="119"/>
        <v>女</v>
      </c>
    </row>
    <row r="2599" spans="1:5" ht="30" customHeight="1">
      <c r="A2599" s="7">
        <v>2596</v>
      </c>
      <c r="B2599" s="7" t="str">
        <f>"38662022042317253535596"</f>
        <v>38662022042317253535596</v>
      </c>
      <c r="C2599" s="7" t="s">
        <v>29</v>
      </c>
      <c r="D2599" s="7" t="str">
        <f>"林惠芳"</f>
        <v>林惠芳</v>
      </c>
      <c r="E2599" s="7" t="str">
        <f t="shared" si="119"/>
        <v>女</v>
      </c>
    </row>
    <row r="2600" spans="1:5" ht="30" customHeight="1">
      <c r="A2600" s="7">
        <v>2597</v>
      </c>
      <c r="B2600" s="7" t="str">
        <f>"38662022042318150435640"</f>
        <v>38662022042318150435640</v>
      </c>
      <c r="C2600" s="7" t="s">
        <v>29</v>
      </c>
      <c r="D2600" s="7" t="str">
        <f>"简敏华"</f>
        <v>简敏华</v>
      </c>
      <c r="E2600" s="7" t="str">
        <f t="shared" si="119"/>
        <v>女</v>
      </c>
    </row>
    <row r="2601" spans="1:5" ht="30" customHeight="1">
      <c r="A2601" s="7">
        <v>2598</v>
      </c>
      <c r="B2601" s="7" t="str">
        <f>"38662022042320224835764"</f>
        <v>38662022042320224835764</v>
      </c>
      <c r="C2601" s="7" t="s">
        <v>29</v>
      </c>
      <c r="D2601" s="7" t="str">
        <f>"蔡元女"</f>
        <v>蔡元女</v>
      </c>
      <c r="E2601" s="7" t="str">
        <f t="shared" si="119"/>
        <v>女</v>
      </c>
    </row>
    <row r="2602" spans="1:5" ht="30" customHeight="1">
      <c r="A2602" s="7">
        <v>2599</v>
      </c>
      <c r="B2602" s="7" t="str">
        <f>"38662022042320231735766"</f>
        <v>38662022042320231735766</v>
      </c>
      <c r="C2602" s="7" t="s">
        <v>29</v>
      </c>
      <c r="D2602" s="7" t="str">
        <f>"吕晓珊"</f>
        <v>吕晓珊</v>
      </c>
      <c r="E2602" s="7" t="str">
        <f t="shared" si="119"/>
        <v>女</v>
      </c>
    </row>
    <row r="2603" spans="1:5" ht="30" customHeight="1">
      <c r="A2603" s="7">
        <v>2600</v>
      </c>
      <c r="B2603" s="7" t="str">
        <f>"38662022042320323535789"</f>
        <v>38662022042320323535789</v>
      </c>
      <c r="C2603" s="7" t="s">
        <v>29</v>
      </c>
      <c r="D2603" s="7" t="str">
        <f>"王小琼"</f>
        <v>王小琼</v>
      </c>
      <c r="E2603" s="7" t="str">
        <f t="shared" si="119"/>
        <v>女</v>
      </c>
    </row>
    <row r="2604" spans="1:5" ht="30" customHeight="1">
      <c r="A2604" s="7">
        <v>2601</v>
      </c>
      <c r="B2604" s="7" t="str">
        <f>"38662022042321073035844"</f>
        <v>38662022042321073035844</v>
      </c>
      <c r="C2604" s="7" t="s">
        <v>29</v>
      </c>
      <c r="D2604" s="7" t="str">
        <f>"王才华"</f>
        <v>王才华</v>
      </c>
      <c r="E2604" s="7" t="str">
        <f t="shared" si="119"/>
        <v>女</v>
      </c>
    </row>
    <row r="2605" spans="1:5" ht="30" customHeight="1">
      <c r="A2605" s="7">
        <v>2602</v>
      </c>
      <c r="B2605" s="7" t="str">
        <f>"38662022042321164735860"</f>
        <v>38662022042321164735860</v>
      </c>
      <c r="C2605" s="7" t="s">
        <v>29</v>
      </c>
      <c r="D2605" s="7" t="str">
        <f>"陈金丹"</f>
        <v>陈金丹</v>
      </c>
      <c r="E2605" s="7" t="str">
        <f t="shared" si="119"/>
        <v>女</v>
      </c>
    </row>
    <row r="2606" spans="1:5" ht="30" customHeight="1">
      <c r="A2606" s="7">
        <v>2603</v>
      </c>
      <c r="B2606" s="7" t="str">
        <f>"38662022042322485136024"</f>
        <v>38662022042322485136024</v>
      </c>
      <c r="C2606" s="7" t="s">
        <v>29</v>
      </c>
      <c r="D2606" s="7" t="str">
        <f>"严曼莎"</f>
        <v>严曼莎</v>
      </c>
      <c r="E2606" s="7" t="str">
        <f t="shared" si="119"/>
        <v>女</v>
      </c>
    </row>
    <row r="2607" spans="1:5" ht="30" customHeight="1">
      <c r="A2607" s="7">
        <v>2604</v>
      </c>
      <c r="B2607" s="7" t="str">
        <f>"38662022042322552336037"</f>
        <v>38662022042322552336037</v>
      </c>
      <c r="C2607" s="7" t="s">
        <v>29</v>
      </c>
      <c r="D2607" s="7" t="str">
        <f>"张名娟"</f>
        <v>张名娟</v>
      </c>
      <c r="E2607" s="7" t="str">
        <f t="shared" si="119"/>
        <v>女</v>
      </c>
    </row>
    <row r="2608" spans="1:5" ht="30" customHeight="1">
      <c r="A2608" s="7">
        <v>2605</v>
      </c>
      <c r="B2608" s="7" t="str">
        <f>"38662022042409091236259"</f>
        <v>38662022042409091236259</v>
      </c>
      <c r="C2608" s="7" t="s">
        <v>29</v>
      </c>
      <c r="D2608" s="7" t="str">
        <f>"符玉芬"</f>
        <v>符玉芬</v>
      </c>
      <c r="E2608" s="7" t="str">
        <f t="shared" si="119"/>
        <v>女</v>
      </c>
    </row>
    <row r="2609" spans="1:5" ht="30" customHeight="1">
      <c r="A2609" s="7">
        <v>2606</v>
      </c>
      <c r="B2609" s="7" t="str">
        <f>"38662022042410055636379"</f>
        <v>38662022042410055636379</v>
      </c>
      <c r="C2609" s="7" t="s">
        <v>29</v>
      </c>
      <c r="D2609" s="7" t="str">
        <f>"吉才红"</f>
        <v>吉才红</v>
      </c>
      <c r="E2609" s="7" t="str">
        <f t="shared" si="119"/>
        <v>女</v>
      </c>
    </row>
    <row r="2610" spans="1:5" ht="30" customHeight="1">
      <c r="A2610" s="7">
        <v>2607</v>
      </c>
      <c r="B2610" s="7" t="str">
        <f>"38662022042410443136455"</f>
        <v>38662022042410443136455</v>
      </c>
      <c r="C2610" s="7" t="s">
        <v>29</v>
      </c>
      <c r="D2610" s="7" t="str">
        <f>"陈泽穗"</f>
        <v>陈泽穗</v>
      </c>
      <c r="E2610" s="7" t="str">
        <f t="shared" si="119"/>
        <v>女</v>
      </c>
    </row>
    <row r="2611" spans="1:5" ht="30" customHeight="1">
      <c r="A2611" s="7">
        <v>2608</v>
      </c>
      <c r="B2611" s="7" t="str">
        <f>"38662022042410494036464"</f>
        <v>38662022042410494036464</v>
      </c>
      <c r="C2611" s="7" t="s">
        <v>29</v>
      </c>
      <c r="D2611" s="7" t="str">
        <f>"符永程"</f>
        <v>符永程</v>
      </c>
      <c r="E2611" s="7" t="str">
        <f>"男"</f>
        <v>男</v>
      </c>
    </row>
    <row r="2612" spans="1:5" ht="30" customHeight="1">
      <c r="A2612" s="7">
        <v>2609</v>
      </c>
      <c r="B2612" s="7" t="str">
        <f>"38662022042412184036622"</f>
        <v>38662022042412184036622</v>
      </c>
      <c r="C2612" s="7" t="s">
        <v>29</v>
      </c>
      <c r="D2612" s="7" t="str">
        <f>"麦小菊"</f>
        <v>麦小菊</v>
      </c>
      <c r="E2612" s="7" t="str">
        <f aca="true" t="shared" si="120" ref="E2612:E2619">"女"</f>
        <v>女</v>
      </c>
    </row>
    <row r="2613" spans="1:5" ht="30" customHeight="1">
      <c r="A2613" s="7">
        <v>2610</v>
      </c>
      <c r="B2613" s="7" t="str">
        <f>"38662022042412450836669"</f>
        <v>38662022042412450836669</v>
      </c>
      <c r="C2613" s="7" t="s">
        <v>29</v>
      </c>
      <c r="D2613" s="7" t="str">
        <f>"朱智美"</f>
        <v>朱智美</v>
      </c>
      <c r="E2613" s="7" t="str">
        <f t="shared" si="120"/>
        <v>女</v>
      </c>
    </row>
    <row r="2614" spans="1:5" ht="30" customHeight="1">
      <c r="A2614" s="7">
        <v>2611</v>
      </c>
      <c r="B2614" s="7" t="str">
        <f>"38662022042413053436709"</f>
        <v>38662022042413053436709</v>
      </c>
      <c r="C2614" s="7" t="s">
        <v>29</v>
      </c>
      <c r="D2614" s="7" t="str">
        <f>"温小宁"</f>
        <v>温小宁</v>
      </c>
      <c r="E2614" s="7" t="str">
        <f t="shared" si="120"/>
        <v>女</v>
      </c>
    </row>
    <row r="2615" spans="1:5" ht="30" customHeight="1">
      <c r="A2615" s="7">
        <v>2612</v>
      </c>
      <c r="B2615" s="7" t="str">
        <f>"38662022042413174336727"</f>
        <v>38662022042413174336727</v>
      </c>
      <c r="C2615" s="7" t="s">
        <v>29</v>
      </c>
      <c r="D2615" s="7" t="str">
        <f>"张华"</f>
        <v>张华</v>
      </c>
      <c r="E2615" s="7" t="str">
        <f t="shared" si="120"/>
        <v>女</v>
      </c>
    </row>
    <row r="2616" spans="1:5" ht="30" customHeight="1">
      <c r="A2616" s="7">
        <v>2613</v>
      </c>
      <c r="B2616" s="7" t="str">
        <f>"38662022042413505436767"</f>
        <v>38662022042413505436767</v>
      </c>
      <c r="C2616" s="7" t="s">
        <v>29</v>
      </c>
      <c r="D2616" s="7" t="str">
        <f>"符妍彩"</f>
        <v>符妍彩</v>
      </c>
      <c r="E2616" s="7" t="str">
        <f t="shared" si="120"/>
        <v>女</v>
      </c>
    </row>
    <row r="2617" spans="1:5" ht="30" customHeight="1">
      <c r="A2617" s="7">
        <v>2614</v>
      </c>
      <c r="B2617" s="7" t="str">
        <f>"38662022042415151136886"</f>
        <v>38662022042415151136886</v>
      </c>
      <c r="C2617" s="7" t="s">
        <v>29</v>
      </c>
      <c r="D2617" s="7" t="str">
        <f>"钟丽梅"</f>
        <v>钟丽梅</v>
      </c>
      <c r="E2617" s="7" t="str">
        <f t="shared" si="120"/>
        <v>女</v>
      </c>
    </row>
    <row r="2618" spans="1:5" ht="30" customHeight="1">
      <c r="A2618" s="7">
        <v>2615</v>
      </c>
      <c r="B2618" s="7" t="str">
        <f>"38662022042415522136978"</f>
        <v>38662022042415522136978</v>
      </c>
      <c r="C2618" s="7" t="s">
        <v>29</v>
      </c>
      <c r="D2618" s="7" t="str">
        <f>"唐琳玲"</f>
        <v>唐琳玲</v>
      </c>
      <c r="E2618" s="7" t="str">
        <f t="shared" si="120"/>
        <v>女</v>
      </c>
    </row>
    <row r="2619" spans="1:5" ht="30" customHeight="1">
      <c r="A2619" s="7">
        <v>2616</v>
      </c>
      <c r="B2619" s="7" t="str">
        <f>"38662022042416312937066"</f>
        <v>38662022042416312937066</v>
      </c>
      <c r="C2619" s="7" t="s">
        <v>29</v>
      </c>
      <c r="D2619" s="7" t="str">
        <f>"倪德霞"</f>
        <v>倪德霞</v>
      </c>
      <c r="E2619" s="7" t="str">
        <f t="shared" si="120"/>
        <v>女</v>
      </c>
    </row>
    <row r="2620" spans="1:5" ht="30" customHeight="1">
      <c r="A2620" s="7">
        <v>2617</v>
      </c>
      <c r="B2620" s="7" t="str">
        <f>"38662022042416435137098"</f>
        <v>38662022042416435137098</v>
      </c>
      <c r="C2620" s="7" t="s">
        <v>29</v>
      </c>
      <c r="D2620" s="7" t="str">
        <f>"钟晓明"</f>
        <v>钟晓明</v>
      </c>
      <c r="E2620" s="7" t="str">
        <f>"男"</f>
        <v>男</v>
      </c>
    </row>
    <row r="2621" spans="1:5" ht="30" customHeight="1">
      <c r="A2621" s="7">
        <v>2618</v>
      </c>
      <c r="B2621" s="7" t="str">
        <f>"38662022042416541237120"</f>
        <v>38662022042416541237120</v>
      </c>
      <c r="C2621" s="7" t="s">
        <v>29</v>
      </c>
      <c r="D2621" s="7" t="str">
        <f>"蒙美姑"</f>
        <v>蒙美姑</v>
      </c>
      <c r="E2621" s="7" t="str">
        <f>"女"</f>
        <v>女</v>
      </c>
    </row>
    <row r="2622" spans="1:5" ht="30" customHeight="1">
      <c r="A2622" s="7">
        <v>2619</v>
      </c>
      <c r="B2622" s="7" t="str">
        <f>"38662022042419555937390"</f>
        <v>38662022042419555937390</v>
      </c>
      <c r="C2622" s="7" t="s">
        <v>29</v>
      </c>
      <c r="D2622" s="7" t="str">
        <f>"陈菊"</f>
        <v>陈菊</v>
      </c>
      <c r="E2622" s="7" t="str">
        <f>"女"</f>
        <v>女</v>
      </c>
    </row>
    <row r="2623" spans="1:5" ht="30" customHeight="1">
      <c r="A2623" s="7">
        <v>2620</v>
      </c>
      <c r="B2623" s="7" t="str">
        <f>"38662022042420321237450"</f>
        <v>38662022042420321237450</v>
      </c>
      <c r="C2623" s="7" t="s">
        <v>29</v>
      </c>
      <c r="D2623" s="7" t="str">
        <f>"李翼桃"</f>
        <v>李翼桃</v>
      </c>
      <c r="E2623" s="7" t="str">
        <f>"女"</f>
        <v>女</v>
      </c>
    </row>
    <row r="2624" spans="1:5" ht="30" customHeight="1">
      <c r="A2624" s="7">
        <v>2621</v>
      </c>
      <c r="B2624" s="7" t="str">
        <f>"38662022042421492037577"</f>
        <v>38662022042421492037577</v>
      </c>
      <c r="C2624" s="7" t="s">
        <v>29</v>
      </c>
      <c r="D2624" s="7" t="str">
        <f>"田玉颖"</f>
        <v>田玉颖</v>
      </c>
      <c r="E2624" s="7" t="str">
        <f>"女"</f>
        <v>女</v>
      </c>
    </row>
    <row r="2625" spans="1:5" ht="30" customHeight="1">
      <c r="A2625" s="7">
        <v>2622</v>
      </c>
      <c r="B2625" s="7" t="str">
        <f>"38662022042422103937610"</f>
        <v>38662022042422103937610</v>
      </c>
      <c r="C2625" s="7" t="s">
        <v>29</v>
      </c>
      <c r="D2625" s="7" t="str">
        <f>"吴高标"</f>
        <v>吴高标</v>
      </c>
      <c r="E2625" s="7" t="str">
        <f>"男"</f>
        <v>男</v>
      </c>
    </row>
    <row r="2626" spans="1:5" ht="30" customHeight="1">
      <c r="A2626" s="7">
        <v>2623</v>
      </c>
      <c r="B2626" s="7" t="str">
        <f>"38662022042422315137642"</f>
        <v>38662022042422315137642</v>
      </c>
      <c r="C2626" s="7" t="s">
        <v>29</v>
      </c>
      <c r="D2626" s="7" t="str">
        <f>"邢梦"</f>
        <v>邢梦</v>
      </c>
      <c r="E2626" s="7" t="str">
        <f>"女"</f>
        <v>女</v>
      </c>
    </row>
    <row r="2627" spans="1:5" ht="30" customHeight="1">
      <c r="A2627" s="7">
        <v>2624</v>
      </c>
      <c r="B2627" s="7" t="str">
        <f>"38662022042422513337678"</f>
        <v>38662022042422513337678</v>
      </c>
      <c r="C2627" s="7" t="s">
        <v>29</v>
      </c>
      <c r="D2627" s="7" t="str">
        <f>"崔传达"</f>
        <v>崔传达</v>
      </c>
      <c r="E2627" s="7" t="str">
        <f>"男"</f>
        <v>男</v>
      </c>
    </row>
    <row r="2628" spans="1:5" ht="30" customHeight="1">
      <c r="A2628" s="7">
        <v>2625</v>
      </c>
      <c r="B2628" s="7" t="str">
        <f>"38662022042508042037802"</f>
        <v>38662022042508042037802</v>
      </c>
      <c r="C2628" s="7" t="s">
        <v>29</v>
      </c>
      <c r="D2628" s="7" t="str">
        <f>"符小娜"</f>
        <v>符小娜</v>
      </c>
      <c r="E2628" s="7" t="str">
        <f>"女"</f>
        <v>女</v>
      </c>
    </row>
    <row r="2629" spans="1:5" ht="30" customHeight="1">
      <c r="A2629" s="7">
        <v>2626</v>
      </c>
      <c r="B2629" s="7" t="str">
        <f>"38662022042508342937828"</f>
        <v>38662022042508342937828</v>
      </c>
      <c r="C2629" s="7" t="s">
        <v>29</v>
      </c>
      <c r="D2629" s="7" t="str">
        <f>"赵春娇"</f>
        <v>赵春娇</v>
      </c>
      <c r="E2629" s="7" t="str">
        <f>"女"</f>
        <v>女</v>
      </c>
    </row>
    <row r="2630" spans="1:5" ht="30" customHeight="1">
      <c r="A2630" s="7">
        <v>2627</v>
      </c>
      <c r="B2630" s="7" t="str">
        <f>"38662022042508375337832"</f>
        <v>38662022042508375337832</v>
      </c>
      <c r="C2630" s="7" t="s">
        <v>29</v>
      </c>
      <c r="D2630" s="7" t="str">
        <f>"陈明爱"</f>
        <v>陈明爱</v>
      </c>
      <c r="E2630" s="7" t="str">
        <f>"女"</f>
        <v>女</v>
      </c>
    </row>
    <row r="2631" spans="1:5" ht="30" customHeight="1">
      <c r="A2631" s="7">
        <v>2628</v>
      </c>
      <c r="B2631" s="7" t="str">
        <f>"38662022042508560437839"</f>
        <v>38662022042508560437839</v>
      </c>
      <c r="C2631" s="7" t="s">
        <v>29</v>
      </c>
      <c r="D2631" s="7" t="str">
        <f>"孙海津"</f>
        <v>孙海津</v>
      </c>
      <c r="E2631" s="7" t="str">
        <f>"女"</f>
        <v>女</v>
      </c>
    </row>
    <row r="2632" spans="1:5" ht="30" customHeight="1">
      <c r="A2632" s="7">
        <v>2629</v>
      </c>
      <c r="B2632" s="7" t="str">
        <f>"38662022042509461337920"</f>
        <v>38662022042509461337920</v>
      </c>
      <c r="C2632" s="7" t="s">
        <v>29</v>
      </c>
      <c r="D2632" s="7" t="str">
        <f>"王运将"</f>
        <v>王运将</v>
      </c>
      <c r="E2632" s="7" t="str">
        <f>"女"</f>
        <v>女</v>
      </c>
    </row>
    <row r="2633" spans="1:5" ht="30" customHeight="1">
      <c r="A2633" s="7">
        <v>2630</v>
      </c>
      <c r="B2633" s="7" t="str">
        <f>"38662022042509573837936"</f>
        <v>38662022042509573837936</v>
      </c>
      <c r="C2633" s="7" t="s">
        <v>29</v>
      </c>
      <c r="D2633" s="7" t="str">
        <f>"邢高高"</f>
        <v>邢高高</v>
      </c>
      <c r="E2633" s="7" t="str">
        <f>"男"</f>
        <v>男</v>
      </c>
    </row>
    <row r="2634" spans="1:5" ht="30" customHeight="1">
      <c r="A2634" s="7">
        <v>2631</v>
      </c>
      <c r="B2634" s="7" t="str">
        <f>"38662022042510250937988"</f>
        <v>38662022042510250937988</v>
      </c>
      <c r="C2634" s="7" t="s">
        <v>29</v>
      </c>
      <c r="D2634" s="7" t="str">
        <f>"王云丽"</f>
        <v>王云丽</v>
      </c>
      <c r="E2634" s="7" t="str">
        <f aca="true" t="shared" si="121" ref="E2634:E2646">"女"</f>
        <v>女</v>
      </c>
    </row>
    <row r="2635" spans="1:5" ht="30" customHeight="1">
      <c r="A2635" s="7">
        <v>2632</v>
      </c>
      <c r="B2635" s="7" t="str">
        <f>"38662022042510533838053"</f>
        <v>38662022042510533838053</v>
      </c>
      <c r="C2635" s="7" t="s">
        <v>29</v>
      </c>
      <c r="D2635" s="7" t="str">
        <f>"吉才静"</f>
        <v>吉才静</v>
      </c>
      <c r="E2635" s="7" t="str">
        <f t="shared" si="121"/>
        <v>女</v>
      </c>
    </row>
    <row r="2636" spans="1:5" ht="30" customHeight="1">
      <c r="A2636" s="7">
        <v>2633</v>
      </c>
      <c r="B2636" s="7" t="str">
        <f>"38662022042511153238098"</f>
        <v>38662022042511153238098</v>
      </c>
      <c r="C2636" s="7" t="s">
        <v>29</v>
      </c>
      <c r="D2636" s="7" t="str">
        <f>"王雅"</f>
        <v>王雅</v>
      </c>
      <c r="E2636" s="7" t="str">
        <f t="shared" si="121"/>
        <v>女</v>
      </c>
    </row>
    <row r="2637" spans="1:5" ht="30" customHeight="1">
      <c r="A2637" s="7">
        <v>2634</v>
      </c>
      <c r="B2637" s="7" t="str">
        <f>"38662022042512262238169"</f>
        <v>38662022042512262238169</v>
      </c>
      <c r="C2637" s="7" t="s">
        <v>29</v>
      </c>
      <c r="D2637" s="7" t="str">
        <f>"何秋兰"</f>
        <v>何秋兰</v>
      </c>
      <c r="E2637" s="7" t="str">
        <f t="shared" si="121"/>
        <v>女</v>
      </c>
    </row>
    <row r="2638" spans="1:5" ht="30" customHeight="1">
      <c r="A2638" s="7">
        <v>2635</v>
      </c>
      <c r="B2638" s="7" t="str">
        <f>"38662022042513364838234"</f>
        <v>38662022042513364838234</v>
      </c>
      <c r="C2638" s="7" t="s">
        <v>29</v>
      </c>
      <c r="D2638" s="7" t="str">
        <f>"陈莹莹"</f>
        <v>陈莹莹</v>
      </c>
      <c r="E2638" s="7" t="str">
        <f t="shared" si="121"/>
        <v>女</v>
      </c>
    </row>
    <row r="2639" spans="1:5" ht="30" customHeight="1">
      <c r="A2639" s="7">
        <v>2636</v>
      </c>
      <c r="B2639" s="7" t="str">
        <f>"38662022042515054138334"</f>
        <v>38662022042515054138334</v>
      </c>
      <c r="C2639" s="7" t="s">
        <v>29</v>
      </c>
      <c r="D2639" s="7" t="str">
        <f>"邓惠文"</f>
        <v>邓惠文</v>
      </c>
      <c r="E2639" s="7" t="str">
        <f t="shared" si="121"/>
        <v>女</v>
      </c>
    </row>
    <row r="2640" spans="1:5" ht="30" customHeight="1">
      <c r="A2640" s="7">
        <v>2637</v>
      </c>
      <c r="B2640" s="7" t="str">
        <f>"38662022042515402538409"</f>
        <v>38662022042515402538409</v>
      </c>
      <c r="C2640" s="7" t="s">
        <v>29</v>
      </c>
      <c r="D2640" s="7" t="str">
        <f>"马华阅"</f>
        <v>马华阅</v>
      </c>
      <c r="E2640" s="7" t="str">
        <f t="shared" si="121"/>
        <v>女</v>
      </c>
    </row>
    <row r="2641" spans="1:5" ht="30" customHeight="1">
      <c r="A2641" s="7">
        <v>2638</v>
      </c>
      <c r="B2641" s="7" t="str">
        <f>"38662022042515480838430"</f>
        <v>38662022042515480838430</v>
      </c>
      <c r="C2641" s="7" t="s">
        <v>29</v>
      </c>
      <c r="D2641" s="7" t="str">
        <f>"余碧卉"</f>
        <v>余碧卉</v>
      </c>
      <c r="E2641" s="7" t="str">
        <f t="shared" si="121"/>
        <v>女</v>
      </c>
    </row>
    <row r="2642" spans="1:5" ht="30" customHeight="1">
      <c r="A2642" s="7">
        <v>2639</v>
      </c>
      <c r="B2642" s="7" t="str">
        <f>"38662022042516504038514"</f>
        <v>38662022042516504038514</v>
      </c>
      <c r="C2642" s="7" t="s">
        <v>29</v>
      </c>
      <c r="D2642" s="7" t="str">
        <f>"文日婷"</f>
        <v>文日婷</v>
      </c>
      <c r="E2642" s="7" t="str">
        <f t="shared" si="121"/>
        <v>女</v>
      </c>
    </row>
    <row r="2643" spans="1:5" ht="30" customHeight="1">
      <c r="A2643" s="7">
        <v>2640</v>
      </c>
      <c r="B2643" s="7" t="str">
        <f>"38662022042517221238573"</f>
        <v>38662022042517221238573</v>
      </c>
      <c r="C2643" s="7" t="s">
        <v>29</v>
      </c>
      <c r="D2643" s="7" t="str">
        <f>"谢小芸"</f>
        <v>谢小芸</v>
      </c>
      <c r="E2643" s="7" t="str">
        <f t="shared" si="121"/>
        <v>女</v>
      </c>
    </row>
    <row r="2644" spans="1:5" ht="30" customHeight="1">
      <c r="A2644" s="7">
        <v>2641</v>
      </c>
      <c r="B2644" s="7" t="str">
        <f>"38662022042517260438577"</f>
        <v>38662022042517260438577</v>
      </c>
      <c r="C2644" s="7" t="s">
        <v>29</v>
      </c>
      <c r="D2644" s="7" t="str">
        <f>"李懿博"</f>
        <v>李懿博</v>
      </c>
      <c r="E2644" s="7" t="str">
        <f t="shared" si="121"/>
        <v>女</v>
      </c>
    </row>
    <row r="2645" spans="1:5" ht="30" customHeight="1">
      <c r="A2645" s="7">
        <v>2642</v>
      </c>
      <c r="B2645" s="7" t="str">
        <f>"38662022042518201338632"</f>
        <v>38662022042518201338632</v>
      </c>
      <c r="C2645" s="7" t="s">
        <v>29</v>
      </c>
      <c r="D2645" s="7" t="str">
        <f>"李助桂"</f>
        <v>李助桂</v>
      </c>
      <c r="E2645" s="7" t="str">
        <f t="shared" si="121"/>
        <v>女</v>
      </c>
    </row>
    <row r="2646" spans="1:5" ht="30" customHeight="1">
      <c r="A2646" s="7">
        <v>2643</v>
      </c>
      <c r="B2646" s="7" t="str">
        <f>"38662022042521183538845"</f>
        <v>38662022042521183538845</v>
      </c>
      <c r="C2646" s="7" t="s">
        <v>29</v>
      </c>
      <c r="D2646" s="7" t="str">
        <f>"徐长女"</f>
        <v>徐长女</v>
      </c>
      <c r="E2646" s="7" t="str">
        <f t="shared" si="121"/>
        <v>女</v>
      </c>
    </row>
    <row r="2647" spans="1:5" ht="30" customHeight="1">
      <c r="A2647" s="7">
        <v>2644</v>
      </c>
      <c r="B2647" s="7" t="str">
        <f>"38662022042521253638851"</f>
        <v>38662022042521253638851</v>
      </c>
      <c r="C2647" s="7" t="s">
        <v>29</v>
      </c>
      <c r="D2647" s="7" t="str">
        <f>"许毅光"</f>
        <v>许毅光</v>
      </c>
      <c r="E2647" s="7" t="str">
        <f>"男"</f>
        <v>男</v>
      </c>
    </row>
    <row r="2648" spans="1:5" ht="30" customHeight="1">
      <c r="A2648" s="7">
        <v>2645</v>
      </c>
      <c r="B2648" s="7" t="str">
        <f>"38662022042522204438940"</f>
        <v>38662022042522204438940</v>
      </c>
      <c r="C2648" s="7" t="s">
        <v>29</v>
      </c>
      <c r="D2648" s="7" t="str">
        <f>"陈彦彤"</f>
        <v>陈彦彤</v>
      </c>
      <c r="E2648" s="7" t="str">
        <f>"女"</f>
        <v>女</v>
      </c>
    </row>
    <row r="2649" spans="1:5" ht="30" customHeight="1">
      <c r="A2649" s="7">
        <v>2646</v>
      </c>
      <c r="B2649" s="7" t="str">
        <f>"38662022042522494538980"</f>
        <v>38662022042522494538980</v>
      </c>
      <c r="C2649" s="7" t="s">
        <v>29</v>
      </c>
      <c r="D2649" s="7" t="str">
        <f>"唐梦菊"</f>
        <v>唐梦菊</v>
      </c>
      <c r="E2649" s="7" t="str">
        <f>"女"</f>
        <v>女</v>
      </c>
    </row>
    <row r="2650" spans="1:5" ht="30" customHeight="1">
      <c r="A2650" s="7">
        <v>2647</v>
      </c>
      <c r="B2650" s="7" t="str">
        <f>"38662022042600170439070"</f>
        <v>38662022042600170439070</v>
      </c>
      <c r="C2650" s="7" t="s">
        <v>29</v>
      </c>
      <c r="D2650" s="7" t="str">
        <f>"苏丽"</f>
        <v>苏丽</v>
      </c>
      <c r="E2650" s="7" t="str">
        <f>"女"</f>
        <v>女</v>
      </c>
    </row>
    <row r="2651" spans="1:5" ht="30" customHeight="1">
      <c r="A2651" s="7">
        <v>2648</v>
      </c>
      <c r="B2651" s="7" t="str">
        <f>"38662022042607555439112"</f>
        <v>38662022042607555439112</v>
      </c>
      <c r="C2651" s="7" t="s">
        <v>29</v>
      </c>
      <c r="D2651" s="7" t="str">
        <f>"王卫玲"</f>
        <v>王卫玲</v>
      </c>
      <c r="E2651" s="7" t="str">
        <f>"女"</f>
        <v>女</v>
      </c>
    </row>
    <row r="2652" spans="1:5" ht="30" customHeight="1">
      <c r="A2652" s="7">
        <v>2649</v>
      </c>
      <c r="B2652" s="7" t="str">
        <f>"38662022042608073039118"</f>
        <v>38662022042608073039118</v>
      </c>
      <c r="C2652" s="7" t="s">
        <v>29</v>
      </c>
      <c r="D2652" s="7" t="str">
        <f>"王锡良"</f>
        <v>王锡良</v>
      </c>
      <c r="E2652" s="7" t="str">
        <f>"男"</f>
        <v>男</v>
      </c>
    </row>
    <row r="2653" spans="1:5" ht="30" customHeight="1">
      <c r="A2653" s="7">
        <v>2650</v>
      </c>
      <c r="B2653" s="7" t="str">
        <f>"38662022042608170339126"</f>
        <v>38662022042608170339126</v>
      </c>
      <c r="C2653" s="7" t="s">
        <v>29</v>
      </c>
      <c r="D2653" s="7" t="str">
        <f>"吴亚琴"</f>
        <v>吴亚琴</v>
      </c>
      <c r="E2653" s="7" t="str">
        <f aca="true" t="shared" si="122" ref="E2653:E2665">"女"</f>
        <v>女</v>
      </c>
    </row>
    <row r="2654" spans="1:5" ht="30" customHeight="1">
      <c r="A2654" s="7">
        <v>2651</v>
      </c>
      <c r="B2654" s="7" t="str">
        <f>"38662022042608261439133"</f>
        <v>38662022042608261439133</v>
      </c>
      <c r="C2654" s="7" t="s">
        <v>29</v>
      </c>
      <c r="D2654" s="7" t="str">
        <f>"邹燕"</f>
        <v>邹燕</v>
      </c>
      <c r="E2654" s="7" t="str">
        <f t="shared" si="122"/>
        <v>女</v>
      </c>
    </row>
    <row r="2655" spans="1:5" ht="30" customHeight="1">
      <c r="A2655" s="7">
        <v>2652</v>
      </c>
      <c r="B2655" s="7" t="str">
        <f>"38662022042610443539328"</f>
        <v>38662022042610443539328</v>
      </c>
      <c r="C2655" s="7" t="s">
        <v>29</v>
      </c>
      <c r="D2655" s="7" t="str">
        <f>"王颖"</f>
        <v>王颖</v>
      </c>
      <c r="E2655" s="7" t="str">
        <f t="shared" si="122"/>
        <v>女</v>
      </c>
    </row>
    <row r="2656" spans="1:5" ht="30" customHeight="1">
      <c r="A2656" s="7">
        <v>2653</v>
      </c>
      <c r="B2656" s="7" t="str">
        <f>"38662022042612054639443"</f>
        <v>38662022042612054639443</v>
      </c>
      <c r="C2656" s="7" t="s">
        <v>29</v>
      </c>
      <c r="D2656" s="7" t="str">
        <f>"王晓娜"</f>
        <v>王晓娜</v>
      </c>
      <c r="E2656" s="7" t="str">
        <f t="shared" si="122"/>
        <v>女</v>
      </c>
    </row>
    <row r="2657" spans="1:5" ht="30" customHeight="1">
      <c r="A2657" s="7">
        <v>2654</v>
      </c>
      <c r="B2657" s="7" t="str">
        <f>"38662022042612292139473"</f>
        <v>38662022042612292139473</v>
      </c>
      <c r="C2657" s="7" t="s">
        <v>29</v>
      </c>
      <c r="D2657" s="7" t="str">
        <f>"董丽珍"</f>
        <v>董丽珍</v>
      </c>
      <c r="E2657" s="7" t="str">
        <f t="shared" si="122"/>
        <v>女</v>
      </c>
    </row>
    <row r="2658" spans="1:5" ht="30" customHeight="1">
      <c r="A2658" s="7">
        <v>2655</v>
      </c>
      <c r="B2658" s="7" t="str">
        <f>"38662022042617044839887"</f>
        <v>38662022042617044839887</v>
      </c>
      <c r="C2658" s="7" t="s">
        <v>29</v>
      </c>
      <c r="D2658" s="7" t="str">
        <f>"郑丽先"</f>
        <v>郑丽先</v>
      </c>
      <c r="E2658" s="7" t="str">
        <f t="shared" si="122"/>
        <v>女</v>
      </c>
    </row>
    <row r="2659" spans="1:5" ht="30" customHeight="1">
      <c r="A2659" s="7">
        <v>2656</v>
      </c>
      <c r="B2659" s="7" t="str">
        <f>"38662022042617113339893"</f>
        <v>38662022042617113339893</v>
      </c>
      <c r="C2659" s="7" t="s">
        <v>29</v>
      </c>
      <c r="D2659" s="7" t="str">
        <f>"翁楠"</f>
        <v>翁楠</v>
      </c>
      <c r="E2659" s="7" t="str">
        <f t="shared" si="122"/>
        <v>女</v>
      </c>
    </row>
    <row r="2660" spans="1:5" ht="30" customHeight="1">
      <c r="A2660" s="7">
        <v>2657</v>
      </c>
      <c r="B2660" s="7" t="str">
        <f>"38662022042617122339894"</f>
        <v>38662022042617122339894</v>
      </c>
      <c r="C2660" s="7" t="s">
        <v>29</v>
      </c>
      <c r="D2660" s="7" t="str">
        <f>"徐贵佳"</f>
        <v>徐贵佳</v>
      </c>
      <c r="E2660" s="7" t="str">
        <f t="shared" si="122"/>
        <v>女</v>
      </c>
    </row>
    <row r="2661" spans="1:5" ht="30" customHeight="1">
      <c r="A2661" s="7">
        <v>2658</v>
      </c>
      <c r="B2661" s="7" t="str">
        <f>"38662022042617560639946"</f>
        <v>38662022042617560639946</v>
      </c>
      <c r="C2661" s="7" t="s">
        <v>29</v>
      </c>
      <c r="D2661" s="7" t="str">
        <f>"王燕妮"</f>
        <v>王燕妮</v>
      </c>
      <c r="E2661" s="7" t="str">
        <f t="shared" si="122"/>
        <v>女</v>
      </c>
    </row>
    <row r="2662" spans="1:5" ht="30" customHeight="1">
      <c r="A2662" s="7">
        <v>2659</v>
      </c>
      <c r="B2662" s="7" t="str">
        <f>"38662022042618495140011"</f>
        <v>38662022042618495140011</v>
      </c>
      <c r="C2662" s="7" t="s">
        <v>29</v>
      </c>
      <c r="D2662" s="7" t="str">
        <f>"张明怡"</f>
        <v>张明怡</v>
      </c>
      <c r="E2662" s="7" t="str">
        <f t="shared" si="122"/>
        <v>女</v>
      </c>
    </row>
    <row r="2663" spans="1:5" ht="30" customHeight="1">
      <c r="A2663" s="7">
        <v>2660</v>
      </c>
      <c r="B2663" s="7" t="str">
        <f>"38662022042619184340042"</f>
        <v>38662022042619184340042</v>
      </c>
      <c r="C2663" s="7" t="s">
        <v>29</v>
      </c>
      <c r="D2663" s="7" t="str">
        <f>"周梅英"</f>
        <v>周梅英</v>
      </c>
      <c r="E2663" s="7" t="str">
        <f t="shared" si="122"/>
        <v>女</v>
      </c>
    </row>
    <row r="2664" spans="1:5" ht="30" customHeight="1">
      <c r="A2664" s="7">
        <v>2661</v>
      </c>
      <c r="B2664" s="7" t="str">
        <f>"38662022042619562540083"</f>
        <v>38662022042619562540083</v>
      </c>
      <c r="C2664" s="7" t="s">
        <v>29</v>
      </c>
      <c r="D2664" s="7" t="str">
        <f>"胡兰"</f>
        <v>胡兰</v>
      </c>
      <c r="E2664" s="7" t="str">
        <f t="shared" si="122"/>
        <v>女</v>
      </c>
    </row>
    <row r="2665" spans="1:5" ht="30" customHeight="1">
      <c r="A2665" s="7">
        <v>2662</v>
      </c>
      <c r="B2665" s="7" t="str">
        <f>"38662022042620081540103"</f>
        <v>38662022042620081540103</v>
      </c>
      <c r="C2665" s="7" t="s">
        <v>29</v>
      </c>
      <c r="D2665" s="7" t="str">
        <f>"林丹"</f>
        <v>林丹</v>
      </c>
      <c r="E2665" s="7" t="str">
        <f t="shared" si="122"/>
        <v>女</v>
      </c>
    </row>
    <row r="2666" spans="1:5" ht="30" customHeight="1">
      <c r="A2666" s="7">
        <v>2663</v>
      </c>
      <c r="B2666" s="7" t="str">
        <f>"38662022042621205140230"</f>
        <v>38662022042621205140230</v>
      </c>
      <c r="C2666" s="7" t="s">
        <v>29</v>
      </c>
      <c r="D2666" s="7" t="str">
        <f>"郑进熙"</f>
        <v>郑进熙</v>
      </c>
      <c r="E2666" s="7" t="str">
        <f>"男"</f>
        <v>男</v>
      </c>
    </row>
    <row r="2667" spans="1:5" ht="30" customHeight="1">
      <c r="A2667" s="7">
        <v>2664</v>
      </c>
      <c r="B2667" s="7" t="str">
        <f>"38662022042621274440245"</f>
        <v>38662022042621274440245</v>
      </c>
      <c r="C2667" s="7" t="s">
        <v>29</v>
      </c>
      <c r="D2667" s="7" t="str">
        <f>"李香妮"</f>
        <v>李香妮</v>
      </c>
      <c r="E2667" s="7" t="str">
        <f>"女"</f>
        <v>女</v>
      </c>
    </row>
    <row r="2668" spans="1:5" ht="30" customHeight="1">
      <c r="A2668" s="7">
        <v>2665</v>
      </c>
      <c r="B2668" s="7" t="str">
        <f>"38662022042621300740249"</f>
        <v>38662022042621300740249</v>
      </c>
      <c r="C2668" s="7" t="s">
        <v>29</v>
      </c>
      <c r="D2668" s="7" t="str">
        <f>"李潇潇"</f>
        <v>李潇潇</v>
      </c>
      <c r="E2668" s="7" t="str">
        <f>"女"</f>
        <v>女</v>
      </c>
    </row>
    <row r="2669" spans="1:5" ht="30" customHeight="1">
      <c r="A2669" s="7">
        <v>2666</v>
      </c>
      <c r="B2669" s="7" t="str">
        <f>"38662022042621582740289"</f>
        <v>38662022042621582740289</v>
      </c>
      <c r="C2669" s="7" t="s">
        <v>29</v>
      </c>
      <c r="D2669" s="7" t="str">
        <f>"陈常娟"</f>
        <v>陈常娟</v>
      </c>
      <c r="E2669" s="7" t="str">
        <f>"女"</f>
        <v>女</v>
      </c>
    </row>
    <row r="2670" spans="1:5" ht="30" customHeight="1">
      <c r="A2670" s="7">
        <v>2667</v>
      </c>
      <c r="B2670" s="7" t="str">
        <f>"38662022042621593140292"</f>
        <v>38662022042621593140292</v>
      </c>
      <c r="C2670" s="7" t="s">
        <v>29</v>
      </c>
      <c r="D2670" s="7" t="str">
        <f>"李英铭"</f>
        <v>李英铭</v>
      </c>
      <c r="E2670" s="7" t="str">
        <f>"男"</f>
        <v>男</v>
      </c>
    </row>
    <row r="2671" spans="1:5" ht="30" customHeight="1">
      <c r="A2671" s="7">
        <v>2668</v>
      </c>
      <c r="B2671" s="7" t="str">
        <f>"38662022042622182340320"</f>
        <v>38662022042622182340320</v>
      </c>
      <c r="C2671" s="7" t="s">
        <v>29</v>
      </c>
      <c r="D2671" s="7" t="str">
        <f>"孙婧莹"</f>
        <v>孙婧莹</v>
      </c>
      <c r="E2671" s="7" t="str">
        <f>"女"</f>
        <v>女</v>
      </c>
    </row>
    <row r="2672" spans="1:5" ht="30" customHeight="1">
      <c r="A2672" s="7">
        <v>2669</v>
      </c>
      <c r="B2672" s="7" t="str">
        <f>"38662022042622221340328"</f>
        <v>38662022042622221340328</v>
      </c>
      <c r="C2672" s="7" t="s">
        <v>29</v>
      </c>
      <c r="D2672" s="7" t="str">
        <f>"田磊"</f>
        <v>田磊</v>
      </c>
      <c r="E2672" s="7" t="str">
        <f>"男"</f>
        <v>男</v>
      </c>
    </row>
    <row r="2673" spans="1:5" ht="30" customHeight="1">
      <c r="A2673" s="7">
        <v>2670</v>
      </c>
      <c r="B2673" s="7" t="str">
        <f>"38662022042622522140380"</f>
        <v>38662022042622522140380</v>
      </c>
      <c r="C2673" s="7" t="s">
        <v>29</v>
      </c>
      <c r="D2673" s="7" t="str">
        <f>"董翠浪"</f>
        <v>董翠浪</v>
      </c>
      <c r="E2673" s="7" t="str">
        <f>"女"</f>
        <v>女</v>
      </c>
    </row>
    <row r="2674" spans="1:5" ht="30" customHeight="1">
      <c r="A2674" s="7">
        <v>2671</v>
      </c>
      <c r="B2674" s="7" t="str">
        <f>"38662022042622551640384"</f>
        <v>38662022042622551640384</v>
      </c>
      <c r="C2674" s="7" t="s">
        <v>29</v>
      </c>
      <c r="D2674" s="7" t="str">
        <f>"邢增睿"</f>
        <v>邢增睿</v>
      </c>
      <c r="E2674" s="7" t="str">
        <f>"男"</f>
        <v>男</v>
      </c>
    </row>
    <row r="2675" spans="1:5" ht="30" customHeight="1">
      <c r="A2675" s="7">
        <v>2672</v>
      </c>
      <c r="B2675" s="7" t="str">
        <f>"38662022042622561940387"</f>
        <v>38662022042622561940387</v>
      </c>
      <c r="C2675" s="7" t="s">
        <v>29</v>
      </c>
      <c r="D2675" s="7" t="str">
        <f>"罗丹"</f>
        <v>罗丹</v>
      </c>
      <c r="E2675" s="7" t="str">
        <f aca="true" t="shared" si="123" ref="E2675:E2700">"女"</f>
        <v>女</v>
      </c>
    </row>
    <row r="2676" spans="1:5" ht="30" customHeight="1">
      <c r="A2676" s="7">
        <v>2673</v>
      </c>
      <c r="B2676" s="7" t="str">
        <f>"38662022042622580740392"</f>
        <v>38662022042622580740392</v>
      </c>
      <c r="C2676" s="7" t="s">
        <v>29</v>
      </c>
      <c r="D2676" s="7" t="str">
        <f>"谭彩玲"</f>
        <v>谭彩玲</v>
      </c>
      <c r="E2676" s="7" t="str">
        <f t="shared" si="123"/>
        <v>女</v>
      </c>
    </row>
    <row r="2677" spans="1:5" ht="30" customHeight="1">
      <c r="A2677" s="7">
        <v>2674</v>
      </c>
      <c r="B2677" s="7" t="str">
        <f>"38662022042623501140476"</f>
        <v>38662022042623501140476</v>
      </c>
      <c r="C2677" s="7" t="s">
        <v>29</v>
      </c>
      <c r="D2677" s="7" t="str">
        <f>"梁寿桃"</f>
        <v>梁寿桃</v>
      </c>
      <c r="E2677" s="7" t="str">
        <f t="shared" si="123"/>
        <v>女</v>
      </c>
    </row>
    <row r="2678" spans="1:5" ht="30" customHeight="1">
      <c r="A2678" s="7">
        <v>2675</v>
      </c>
      <c r="B2678" s="7" t="str">
        <f>"38662022042700295540513"</f>
        <v>38662022042700295540513</v>
      </c>
      <c r="C2678" s="7" t="s">
        <v>29</v>
      </c>
      <c r="D2678" s="7" t="str">
        <f>"符照冰"</f>
        <v>符照冰</v>
      </c>
      <c r="E2678" s="7" t="str">
        <f t="shared" si="123"/>
        <v>女</v>
      </c>
    </row>
    <row r="2679" spans="1:5" ht="30" customHeight="1">
      <c r="A2679" s="7">
        <v>2676</v>
      </c>
      <c r="B2679" s="7" t="str">
        <f>"38662022042709323341105"</f>
        <v>38662022042709323341105</v>
      </c>
      <c r="C2679" s="7" t="s">
        <v>29</v>
      </c>
      <c r="D2679" s="7" t="str">
        <f>"林晓燕"</f>
        <v>林晓燕</v>
      </c>
      <c r="E2679" s="7" t="str">
        <f t="shared" si="123"/>
        <v>女</v>
      </c>
    </row>
    <row r="2680" spans="1:5" ht="30" customHeight="1">
      <c r="A2680" s="7">
        <v>2677</v>
      </c>
      <c r="B2680" s="7" t="str">
        <f>"38662022042710493941987"</f>
        <v>38662022042710493941987</v>
      </c>
      <c r="C2680" s="7" t="s">
        <v>29</v>
      </c>
      <c r="D2680" s="7" t="str">
        <f>"王振霞"</f>
        <v>王振霞</v>
      </c>
      <c r="E2680" s="7" t="str">
        <f t="shared" si="123"/>
        <v>女</v>
      </c>
    </row>
    <row r="2681" spans="1:5" ht="30" customHeight="1">
      <c r="A2681" s="7">
        <v>2678</v>
      </c>
      <c r="B2681" s="7" t="str">
        <f>"38662022042711542742503"</f>
        <v>38662022042711542742503</v>
      </c>
      <c r="C2681" s="7" t="s">
        <v>29</v>
      </c>
      <c r="D2681" s="7" t="str">
        <f>"盘海兰"</f>
        <v>盘海兰</v>
      </c>
      <c r="E2681" s="7" t="str">
        <f t="shared" si="123"/>
        <v>女</v>
      </c>
    </row>
    <row r="2682" spans="1:5" ht="30" customHeight="1">
      <c r="A2682" s="7">
        <v>2679</v>
      </c>
      <c r="B2682" s="7" t="str">
        <f>"38662022042711560542519"</f>
        <v>38662022042711560542519</v>
      </c>
      <c r="C2682" s="7" t="s">
        <v>29</v>
      </c>
      <c r="D2682" s="7" t="str">
        <f>"刘少珍"</f>
        <v>刘少珍</v>
      </c>
      <c r="E2682" s="7" t="str">
        <f t="shared" si="123"/>
        <v>女</v>
      </c>
    </row>
    <row r="2683" spans="1:5" ht="30" customHeight="1">
      <c r="A2683" s="7">
        <v>2680</v>
      </c>
      <c r="B2683" s="7" t="str">
        <f>"38662022042712553842897"</f>
        <v>38662022042712553842897</v>
      </c>
      <c r="C2683" s="7" t="s">
        <v>29</v>
      </c>
      <c r="D2683" s="7" t="str">
        <f>"符小兔"</f>
        <v>符小兔</v>
      </c>
      <c r="E2683" s="7" t="str">
        <f t="shared" si="123"/>
        <v>女</v>
      </c>
    </row>
    <row r="2684" spans="1:5" ht="30" customHeight="1">
      <c r="A2684" s="7">
        <v>2681</v>
      </c>
      <c r="B2684" s="7" t="str">
        <f>"38662022042713094042989"</f>
        <v>38662022042713094042989</v>
      </c>
      <c r="C2684" s="7" t="s">
        <v>29</v>
      </c>
      <c r="D2684" s="7" t="str">
        <f>"刘乐乐"</f>
        <v>刘乐乐</v>
      </c>
      <c r="E2684" s="7" t="str">
        <f t="shared" si="123"/>
        <v>女</v>
      </c>
    </row>
    <row r="2685" spans="1:5" ht="30" customHeight="1">
      <c r="A2685" s="7">
        <v>2682</v>
      </c>
      <c r="B2685" s="7" t="str">
        <f>"38662022042713304943118"</f>
        <v>38662022042713304943118</v>
      </c>
      <c r="C2685" s="7" t="s">
        <v>29</v>
      </c>
      <c r="D2685" s="7" t="str">
        <f>"王雪妮"</f>
        <v>王雪妮</v>
      </c>
      <c r="E2685" s="7" t="str">
        <f t="shared" si="123"/>
        <v>女</v>
      </c>
    </row>
    <row r="2686" spans="1:5" ht="30" customHeight="1">
      <c r="A2686" s="7">
        <v>2683</v>
      </c>
      <c r="B2686" s="7" t="str">
        <f>"38662022042714291943448"</f>
        <v>38662022042714291943448</v>
      </c>
      <c r="C2686" s="7" t="s">
        <v>29</v>
      </c>
      <c r="D2686" s="7" t="str">
        <f>"李兰琼"</f>
        <v>李兰琼</v>
      </c>
      <c r="E2686" s="7" t="str">
        <f t="shared" si="123"/>
        <v>女</v>
      </c>
    </row>
    <row r="2687" spans="1:5" ht="30" customHeight="1">
      <c r="A2687" s="7">
        <v>2684</v>
      </c>
      <c r="B2687" s="7" t="str">
        <f>"38662022042714431543538"</f>
        <v>38662022042714431543538</v>
      </c>
      <c r="C2687" s="7" t="s">
        <v>29</v>
      </c>
      <c r="D2687" s="7" t="str">
        <f>"谢瑞雪"</f>
        <v>谢瑞雪</v>
      </c>
      <c r="E2687" s="7" t="str">
        <f t="shared" si="123"/>
        <v>女</v>
      </c>
    </row>
    <row r="2688" spans="1:5" ht="30" customHeight="1">
      <c r="A2688" s="7">
        <v>2685</v>
      </c>
      <c r="B2688" s="7" t="str">
        <f>"38662022042714522243594"</f>
        <v>38662022042714522243594</v>
      </c>
      <c r="C2688" s="7" t="s">
        <v>29</v>
      </c>
      <c r="D2688" s="7" t="str">
        <f>"张银雪"</f>
        <v>张银雪</v>
      </c>
      <c r="E2688" s="7" t="str">
        <f t="shared" si="123"/>
        <v>女</v>
      </c>
    </row>
    <row r="2689" spans="1:5" ht="30" customHeight="1">
      <c r="A2689" s="7">
        <v>2686</v>
      </c>
      <c r="B2689" s="7" t="str">
        <f>"38662022042715074543695"</f>
        <v>38662022042715074543695</v>
      </c>
      <c r="C2689" s="7" t="s">
        <v>29</v>
      </c>
      <c r="D2689" s="7" t="str">
        <f>"温思铭"</f>
        <v>温思铭</v>
      </c>
      <c r="E2689" s="7" t="str">
        <f t="shared" si="123"/>
        <v>女</v>
      </c>
    </row>
    <row r="2690" spans="1:5" ht="30" customHeight="1">
      <c r="A2690" s="7">
        <v>2687</v>
      </c>
      <c r="B2690" s="7" t="str">
        <f>"38662022042715105843714"</f>
        <v>38662022042715105843714</v>
      </c>
      <c r="C2690" s="7" t="s">
        <v>29</v>
      </c>
      <c r="D2690" s="7" t="str">
        <f>"王芳"</f>
        <v>王芳</v>
      </c>
      <c r="E2690" s="7" t="str">
        <f t="shared" si="123"/>
        <v>女</v>
      </c>
    </row>
    <row r="2691" spans="1:5" ht="30" customHeight="1">
      <c r="A2691" s="7">
        <v>2688</v>
      </c>
      <c r="B2691" s="7" t="str">
        <f>"38662022042715110243715"</f>
        <v>38662022042715110243715</v>
      </c>
      <c r="C2691" s="7" t="s">
        <v>29</v>
      </c>
      <c r="D2691" s="7" t="str">
        <f>"黄乙玲"</f>
        <v>黄乙玲</v>
      </c>
      <c r="E2691" s="7" t="str">
        <f t="shared" si="123"/>
        <v>女</v>
      </c>
    </row>
    <row r="2692" spans="1:5" ht="30" customHeight="1">
      <c r="A2692" s="7">
        <v>2689</v>
      </c>
      <c r="B2692" s="7" t="str">
        <f>"38662022042715125043723"</f>
        <v>38662022042715125043723</v>
      </c>
      <c r="C2692" s="7" t="s">
        <v>29</v>
      </c>
      <c r="D2692" s="7" t="str">
        <f>"李华姑"</f>
        <v>李华姑</v>
      </c>
      <c r="E2692" s="7" t="str">
        <f t="shared" si="123"/>
        <v>女</v>
      </c>
    </row>
    <row r="2693" spans="1:5" ht="30" customHeight="1">
      <c r="A2693" s="7">
        <v>2690</v>
      </c>
      <c r="B2693" s="7" t="str">
        <f>"38662022042715145643733"</f>
        <v>38662022042715145643733</v>
      </c>
      <c r="C2693" s="7" t="s">
        <v>29</v>
      </c>
      <c r="D2693" s="7" t="str">
        <f>"常笑"</f>
        <v>常笑</v>
      </c>
      <c r="E2693" s="7" t="str">
        <f t="shared" si="123"/>
        <v>女</v>
      </c>
    </row>
    <row r="2694" spans="1:5" ht="30" customHeight="1">
      <c r="A2694" s="7">
        <v>2691</v>
      </c>
      <c r="B2694" s="7" t="str">
        <f>"38662022042715182143760"</f>
        <v>38662022042715182143760</v>
      </c>
      <c r="C2694" s="7" t="s">
        <v>29</v>
      </c>
      <c r="D2694" s="7" t="str">
        <f>"倪娇娇"</f>
        <v>倪娇娇</v>
      </c>
      <c r="E2694" s="7" t="str">
        <f t="shared" si="123"/>
        <v>女</v>
      </c>
    </row>
    <row r="2695" spans="1:5" ht="30" customHeight="1">
      <c r="A2695" s="7">
        <v>2692</v>
      </c>
      <c r="B2695" s="7" t="str">
        <f>"38662022042715475843942"</f>
        <v>38662022042715475843942</v>
      </c>
      <c r="C2695" s="7" t="s">
        <v>29</v>
      </c>
      <c r="D2695" s="7" t="str">
        <f>"胡丽金"</f>
        <v>胡丽金</v>
      </c>
      <c r="E2695" s="7" t="str">
        <f t="shared" si="123"/>
        <v>女</v>
      </c>
    </row>
    <row r="2696" spans="1:5" ht="30" customHeight="1">
      <c r="A2696" s="7">
        <v>2693</v>
      </c>
      <c r="B2696" s="7" t="str">
        <f>"38662022042716492644299"</f>
        <v>38662022042716492644299</v>
      </c>
      <c r="C2696" s="7" t="s">
        <v>29</v>
      </c>
      <c r="D2696" s="7" t="str">
        <f>"陈琼金"</f>
        <v>陈琼金</v>
      </c>
      <c r="E2696" s="7" t="str">
        <f t="shared" si="123"/>
        <v>女</v>
      </c>
    </row>
    <row r="2697" spans="1:5" ht="30" customHeight="1">
      <c r="A2697" s="7">
        <v>2694</v>
      </c>
      <c r="B2697" s="7" t="str">
        <f>"38662022042110541826309"</f>
        <v>38662022042110541826309</v>
      </c>
      <c r="C2697" s="7" t="s">
        <v>30</v>
      </c>
      <c r="D2697" s="7" t="str">
        <f>"曾少玲"</f>
        <v>曾少玲</v>
      </c>
      <c r="E2697" s="7" t="str">
        <f t="shared" si="123"/>
        <v>女</v>
      </c>
    </row>
    <row r="2698" spans="1:5" ht="30" customHeight="1">
      <c r="A2698" s="7">
        <v>2695</v>
      </c>
      <c r="B2698" s="7" t="str">
        <f>"38662022042118014929217"</f>
        <v>38662022042118014929217</v>
      </c>
      <c r="C2698" s="7" t="s">
        <v>30</v>
      </c>
      <c r="D2698" s="7" t="str">
        <f>"王妍人"</f>
        <v>王妍人</v>
      </c>
      <c r="E2698" s="7" t="str">
        <f t="shared" si="123"/>
        <v>女</v>
      </c>
    </row>
    <row r="2699" spans="1:5" ht="30" customHeight="1">
      <c r="A2699" s="7">
        <v>2696</v>
      </c>
      <c r="B2699" s="7" t="str">
        <f>"38662022042119093329489"</f>
        <v>38662022042119093329489</v>
      </c>
      <c r="C2699" s="7" t="s">
        <v>30</v>
      </c>
      <c r="D2699" s="7" t="str">
        <f>"刘圣妃"</f>
        <v>刘圣妃</v>
      </c>
      <c r="E2699" s="7" t="str">
        <f t="shared" si="123"/>
        <v>女</v>
      </c>
    </row>
    <row r="2700" spans="1:5" ht="30" customHeight="1">
      <c r="A2700" s="7">
        <v>2697</v>
      </c>
      <c r="B2700" s="7" t="str">
        <f>"38662022042120351629897"</f>
        <v>38662022042120351629897</v>
      </c>
      <c r="C2700" s="7" t="s">
        <v>30</v>
      </c>
      <c r="D2700" s="7" t="str">
        <f>"李小健"</f>
        <v>李小健</v>
      </c>
      <c r="E2700" s="7" t="str">
        <f t="shared" si="123"/>
        <v>女</v>
      </c>
    </row>
    <row r="2701" spans="1:5" ht="30" customHeight="1">
      <c r="A2701" s="7">
        <v>2698</v>
      </c>
      <c r="B2701" s="7" t="str">
        <f>"38662022042209311231276"</f>
        <v>38662022042209311231276</v>
      </c>
      <c r="C2701" s="7" t="s">
        <v>30</v>
      </c>
      <c r="D2701" s="7" t="str">
        <f>"兰王"</f>
        <v>兰王</v>
      </c>
      <c r="E2701" s="7" t="str">
        <f>"男"</f>
        <v>男</v>
      </c>
    </row>
    <row r="2702" spans="1:5" ht="30" customHeight="1">
      <c r="A2702" s="7">
        <v>2699</v>
      </c>
      <c r="B2702" s="7" t="str">
        <f>"38662022042210143331530"</f>
        <v>38662022042210143331530</v>
      </c>
      <c r="C2702" s="7" t="s">
        <v>30</v>
      </c>
      <c r="D2702" s="7" t="str">
        <f>"文秀敏"</f>
        <v>文秀敏</v>
      </c>
      <c r="E2702" s="7" t="str">
        <f aca="true" t="shared" si="124" ref="E2702:E2739">"女"</f>
        <v>女</v>
      </c>
    </row>
    <row r="2703" spans="1:5" ht="30" customHeight="1">
      <c r="A2703" s="7">
        <v>2700</v>
      </c>
      <c r="B2703" s="7" t="str">
        <f>"38662022042211580832446"</f>
        <v>38662022042211580832446</v>
      </c>
      <c r="C2703" s="7" t="s">
        <v>30</v>
      </c>
      <c r="D2703" s="7" t="str">
        <f>"许健"</f>
        <v>许健</v>
      </c>
      <c r="E2703" s="7" t="str">
        <f t="shared" si="124"/>
        <v>女</v>
      </c>
    </row>
    <row r="2704" spans="1:5" ht="30" customHeight="1">
      <c r="A2704" s="7">
        <v>2701</v>
      </c>
      <c r="B2704" s="7" t="str">
        <f>"38662022042409181536282"</f>
        <v>38662022042409181536282</v>
      </c>
      <c r="C2704" s="7" t="s">
        <v>30</v>
      </c>
      <c r="D2704" s="7" t="str">
        <f>"吴育芬"</f>
        <v>吴育芬</v>
      </c>
      <c r="E2704" s="7" t="str">
        <f t="shared" si="124"/>
        <v>女</v>
      </c>
    </row>
    <row r="2705" spans="1:5" ht="30" customHeight="1">
      <c r="A2705" s="7">
        <v>2702</v>
      </c>
      <c r="B2705" s="7" t="str">
        <f>"38662022042415495936972"</f>
        <v>38662022042415495936972</v>
      </c>
      <c r="C2705" s="7" t="s">
        <v>30</v>
      </c>
      <c r="D2705" s="7" t="str">
        <f>"陈雨铭"</f>
        <v>陈雨铭</v>
      </c>
      <c r="E2705" s="7" t="str">
        <f t="shared" si="124"/>
        <v>女</v>
      </c>
    </row>
    <row r="2706" spans="1:5" ht="30" customHeight="1">
      <c r="A2706" s="7">
        <v>2703</v>
      </c>
      <c r="B2706" s="7" t="str">
        <f>"38662022042416390737082"</f>
        <v>38662022042416390737082</v>
      </c>
      <c r="C2706" s="7" t="s">
        <v>30</v>
      </c>
      <c r="D2706" s="7" t="str">
        <f>"陈俊伊"</f>
        <v>陈俊伊</v>
      </c>
      <c r="E2706" s="7" t="str">
        <f t="shared" si="124"/>
        <v>女</v>
      </c>
    </row>
    <row r="2707" spans="1:5" ht="30" customHeight="1">
      <c r="A2707" s="7">
        <v>2704</v>
      </c>
      <c r="B2707" s="7" t="str">
        <f>"38662022042423232737725"</f>
        <v>38662022042423232737725</v>
      </c>
      <c r="C2707" s="7" t="s">
        <v>30</v>
      </c>
      <c r="D2707" s="7" t="str">
        <f>"云琼雨"</f>
        <v>云琼雨</v>
      </c>
      <c r="E2707" s="7" t="str">
        <f t="shared" si="124"/>
        <v>女</v>
      </c>
    </row>
    <row r="2708" spans="1:5" ht="30" customHeight="1">
      <c r="A2708" s="7">
        <v>2705</v>
      </c>
      <c r="B2708" s="7" t="str">
        <f>"38662022042617324039919"</f>
        <v>38662022042617324039919</v>
      </c>
      <c r="C2708" s="7" t="s">
        <v>30</v>
      </c>
      <c r="D2708" s="7" t="str">
        <f>"符丽选"</f>
        <v>符丽选</v>
      </c>
      <c r="E2708" s="7" t="str">
        <f t="shared" si="124"/>
        <v>女</v>
      </c>
    </row>
    <row r="2709" spans="1:5" ht="30" customHeight="1">
      <c r="A2709" s="7">
        <v>2706</v>
      </c>
      <c r="B2709" s="7" t="str">
        <f>"38662022042623050540410"</f>
        <v>38662022042623050540410</v>
      </c>
      <c r="C2709" s="7" t="s">
        <v>30</v>
      </c>
      <c r="D2709" s="7" t="str">
        <f>"吴皖琼"</f>
        <v>吴皖琼</v>
      </c>
      <c r="E2709" s="7" t="str">
        <f t="shared" si="124"/>
        <v>女</v>
      </c>
    </row>
    <row r="2710" spans="1:5" ht="30" customHeight="1">
      <c r="A2710" s="7">
        <v>2707</v>
      </c>
      <c r="B2710" s="7" t="str">
        <f>"38662022042710575442064"</f>
        <v>38662022042710575442064</v>
      </c>
      <c r="C2710" s="7" t="s">
        <v>30</v>
      </c>
      <c r="D2710" s="7" t="str">
        <f>"王婷婷"</f>
        <v>王婷婷</v>
      </c>
      <c r="E2710" s="7" t="str">
        <f t="shared" si="124"/>
        <v>女</v>
      </c>
    </row>
    <row r="2711" spans="1:5" ht="30" customHeight="1">
      <c r="A2711" s="7">
        <v>2708</v>
      </c>
      <c r="B2711" s="7" t="str">
        <f>"38662022042710593842077"</f>
        <v>38662022042710593842077</v>
      </c>
      <c r="C2711" s="7" t="s">
        <v>30</v>
      </c>
      <c r="D2711" s="7" t="str">
        <f>"苏安星"</f>
        <v>苏安星</v>
      </c>
      <c r="E2711" s="7" t="str">
        <f t="shared" si="124"/>
        <v>女</v>
      </c>
    </row>
    <row r="2712" spans="1:5" ht="30" customHeight="1">
      <c r="A2712" s="7">
        <v>2709</v>
      </c>
      <c r="B2712" s="7" t="str">
        <f>"38662022042711165542233"</f>
        <v>38662022042711165542233</v>
      </c>
      <c r="C2712" s="7" t="s">
        <v>30</v>
      </c>
      <c r="D2712" s="7" t="str">
        <f>"梁颖"</f>
        <v>梁颖</v>
      </c>
      <c r="E2712" s="7" t="str">
        <f t="shared" si="124"/>
        <v>女</v>
      </c>
    </row>
    <row r="2713" spans="1:5" ht="30" customHeight="1">
      <c r="A2713" s="7">
        <v>2710</v>
      </c>
      <c r="B2713" s="7" t="str">
        <f>"38662022042712051242568"</f>
        <v>38662022042712051242568</v>
      </c>
      <c r="C2713" s="7" t="s">
        <v>30</v>
      </c>
      <c r="D2713" s="7" t="str">
        <f>"麦淑珍"</f>
        <v>麦淑珍</v>
      </c>
      <c r="E2713" s="7" t="str">
        <f t="shared" si="124"/>
        <v>女</v>
      </c>
    </row>
    <row r="2714" spans="1:5" ht="30" customHeight="1">
      <c r="A2714" s="7">
        <v>2711</v>
      </c>
      <c r="B2714" s="7" t="str">
        <f>"38662022042109224325154"</f>
        <v>38662022042109224325154</v>
      </c>
      <c r="C2714" s="7" t="s">
        <v>31</v>
      </c>
      <c r="D2714" s="7" t="str">
        <f>"林丽祺"</f>
        <v>林丽祺</v>
      </c>
      <c r="E2714" s="7" t="str">
        <f t="shared" si="124"/>
        <v>女</v>
      </c>
    </row>
    <row r="2715" spans="1:5" ht="30" customHeight="1">
      <c r="A2715" s="7">
        <v>2712</v>
      </c>
      <c r="B2715" s="7" t="str">
        <f>"38662022042109424825406"</f>
        <v>38662022042109424825406</v>
      </c>
      <c r="C2715" s="7" t="s">
        <v>31</v>
      </c>
      <c r="D2715" s="7" t="str">
        <f>"杨少花"</f>
        <v>杨少花</v>
      </c>
      <c r="E2715" s="7" t="str">
        <f t="shared" si="124"/>
        <v>女</v>
      </c>
    </row>
    <row r="2716" spans="1:5" ht="30" customHeight="1">
      <c r="A2716" s="7">
        <v>2713</v>
      </c>
      <c r="B2716" s="7" t="str">
        <f>"38662022042109461825439"</f>
        <v>38662022042109461825439</v>
      </c>
      <c r="C2716" s="7" t="s">
        <v>31</v>
      </c>
      <c r="D2716" s="7" t="str">
        <f>"陈丽"</f>
        <v>陈丽</v>
      </c>
      <c r="E2716" s="7" t="str">
        <f t="shared" si="124"/>
        <v>女</v>
      </c>
    </row>
    <row r="2717" spans="1:5" ht="30" customHeight="1">
      <c r="A2717" s="7">
        <v>2714</v>
      </c>
      <c r="B2717" s="7" t="str">
        <f>"38662022042109484825477"</f>
        <v>38662022042109484825477</v>
      </c>
      <c r="C2717" s="7" t="s">
        <v>31</v>
      </c>
      <c r="D2717" s="7" t="str">
        <f>"黎昌柳"</f>
        <v>黎昌柳</v>
      </c>
      <c r="E2717" s="7" t="str">
        <f t="shared" si="124"/>
        <v>女</v>
      </c>
    </row>
    <row r="2718" spans="1:5" ht="30" customHeight="1">
      <c r="A2718" s="7">
        <v>2715</v>
      </c>
      <c r="B2718" s="7" t="str">
        <f>"38662022042110032825674"</f>
        <v>38662022042110032825674</v>
      </c>
      <c r="C2718" s="7" t="s">
        <v>31</v>
      </c>
      <c r="D2718" s="7" t="str">
        <f>"周富"</f>
        <v>周富</v>
      </c>
      <c r="E2718" s="7" t="str">
        <f t="shared" si="124"/>
        <v>女</v>
      </c>
    </row>
    <row r="2719" spans="1:5" ht="30" customHeight="1">
      <c r="A2719" s="7">
        <v>2716</v>
      </c>
      <c r="B2719" s="7" t="str">
        <f>"38662022042110132425795"</f>
        <v>38662022042110132425795</v>
      </c>
      <c r="C2719" s="7" t="s">
        <v>31</v>
      </c>
      <c r="D2719" s="7" t="str">
        <f>"黄晓雯"</f>
        <v>黄晓雯</v>
      </c>
      <c r="E2719" s="7" t="str">
        <f t="shared" si="124"/>
        <v>女</v>
      </c>
    </row>
    <row r="2720" spans="1:5" ht="30" customHeight="1">
      <c r="A2720" s="7">
        <v>2717</v>
      </c>
      <c r="B2720" s="7" t="str">
        <f>"38662022042110255925961"</f>
        <v>38662022042110255925961</v>
      </c>
      <c r="C2720" s="7" t="s">
        <v>31</v>
      </c>
      <c r="D2720" s="7" t="str">
        <f>"梁星灿"</f>
        <v>梁星灿</v>
      </c>
      <c r="E2720" s="7" t="str">
        <f t="shared" si="124"/>
        <v>女</v>
      </c>
    </row>
    <row r="2721" spans="1:5" ht="30" customHeight="1">
      <c r="A2721" s="7">
        <v>2718</v>
      </c>
      <c r="B2721" s="7" t="str">
        <f>"38662022042110271625976"</f>
        <v>38662022042110271625976</v>
      </c>
      <c r="C2721" s="7" t="s">
        <v>31</v>
      </c>
      <c r="D2721" s="7" t="str">
        <f>"毛斐"</f>
        <v>毛斐</v>
      </c>
      <c r="E2721" s="7" t="str">
        <f t="shared" si="124"/>
        <v>女</v>
      </c>
    </row>
    <row r="2722" spans="1:5" ht="30" customHeight="1">
      <c r="A2722" s="7">
        <v>2719</v>
      </c>
      <c r="B2722" s="7" t="str">
        <f>"38662022042110300926017"</f>
        <v>38662022042110300926017</v>
      </c>
      <c r="C2722" s="7" t="s">
        <v>31</v>
      </c>
      <c r="D2722" s="7" t="str">
        <f>"王俊美"</f>
        <v>王俊美</v>
      </c>
      <c r="E2722" s="7" t="str">
        <f t="shared" si="124"/>
        <v>女</v>
      </c>
    </row>
    <row r="2723" spans="1:5" ht="30" customHeight="1">
      <c r="A2723" s="7">
        <v>2720</v>
      </c>
      <c r="B2723" s="7" t="str">
        <f>"38662022042110355726082"</f>
        <v>38662022042110355726082</v>
      </c>
      <c r="C2723" s="7" t="s">
        <v>31</v>
      </c>
      <c r="D2723" s="7" t="str">
        <f>"陈劲诗"</f>
        <v>陈劲诗</v>
      </c>
      <c r="E2723" s="7" t="str">
        <f t="shared" si="124"/>
        <v>女</v>
      </c>
    </row>
    <row r="2724" spans="1:5" ht="30" customHeight="1">
      <c r="A2724" s="7">
        <v>2721</v>
      </c>
      <c r="B2724" s="7" t="str">
        <f>"38662022042110361826089"</f>
        <v>38662022042110361826089</v>
      </c>
      <c r="C2724" s="7" t="s">
        <v>31</v>
      </c>
      <c r="D2724" s="7" t="str">
        <f>"蔡荣雪"</f>
        <v>蔡荣雪</v>
      </c>
      <c r="E2724" s="7" t="str">
        <f t="shared" si="124"/>
        <v>女</v>
      </c>
    </row>
    <row r="2725" spans="1:5" ht="30" customHeight="1">
      <c r="A2725" s="7">
        <v>2722</v>
      </c>
      <c r="B2725" s="7" t="str">
        <f>"38662022042110413626147"</f>
        <v>38662022042110413626147</v>
      </c>
      <c r="C2725" s="7" t="s">
        <v>31</v>
      </c>
      <c r="D2725" s="7" t="str">
        <f>"陈秋萍"</f>
        <v>陈秋萍</v>
      </c>
      <c r="E2725" s="7" t="str">
        <f t="shared" si="124"/>
        <v>女</v>
      </c>
    </row>
    <row r="2726" spans="1:5" ht="30" customHeight="1">
      <c r="A2726" s="7">
        <v>2723</v>
      </c>
      <c r="B2726" s="7" t="str">
        <f>"38662022042111160526522"</f>
        <v>38662022042111160526522</v>
      </c>
      <c r="C2726" s="7" t="s">
        <v>31</v>
      </c>
      <c r="D2726" s="7" t="str">
        <f>"陈明"</f>
        <v>陈明</v>
      </c>
      <c r="E2726" s="7" t="str">
        <f t="shared" si="124"/>
        <v>女</v>
      </c>
    </row>
    <row r="2727" spans="1:5" ht="30" customHeight="1">
      <c r="A2727" s="7">
        <v>2724</v>
      </c>
      <c r="B2727" s="7" t="str">
        <f>"38662022042112001726905"</f>
        <v>38662022042112001726905</v>
      </c>
      <c r="C2727" s="7" t="s">
        <v>31</v>
      </c>
      <c r="D2727" s="7" t="str">
        <f>"林小裕"</f>
        <v>林小裕</v>
      </c>
      <c r="E2727" s="7" t="str">
        <f t="shared" si="124"/>
        <v>女</v>
      </c>
    </row>
    <row r="2728" spans="1:5" ht="30" customHeight="1">
      <c r="A2728" s="7">
        <v>2725</v>
      </c>
      <c r="B2728" s="7" t="str">
        <f>"38662022042112112726977"</f>
        <v>38662022042112112726977</v>
      </c>
      <c r="C2728" s="7" t="s">
        <v>31</v>
      </c>
      <c r="D2728" s="7" t="str">
        <f>"王莹"</f>
        <v>王莹</v>
      </c>
      <c r="E2728" s="7" t="str">
        <f t="shared" si="124"/>
        <v>女</v>
      </c>
    </row>
    <row r="2729" spans="1:5" ht="30" customHeight="1">
      <c r="A2729" s="7">
        <v>2726</v>
      </c>
      <c r="B2729" s="7" t="str">
        <f>"38662022042115051828007"</f>
        <v>38662022042115051828007</v>
      </c>
      <c r="C2729" s="7" t="s">
        <v>31</v>
      </c>
      <c r="D2729" s="7" t="str">
        <f>"郑玲玲"</f>
        <v>郑玲玲</v>
      </c>
      <c r="E2729" s="7" t="str">
        <f t="shared" si="124"/>
        <v>女</v>
      </c>
    </row>
    <row r="2730" spans="1:5" ht="30" customHeight="1">
      <c r="A2730" s="7">
        <v>2727</v>
      </c>
      <c r="B2730" s="7" t="str">
        <f>"38662022042115524228411"</f>
        <v>38662022042115524228411</v>
      </c>
      <c r="C2730" s="7" t="s">
        <v>31</v>
      </c>
      <c r="D2730" s="7" t="str">
        <f>"陈贞贞"</f>
        <v>陈贞贞</v>
      </c>
      <c r="E2730" s="7" t="str">
        <f t="shared" si="124"/>
        <v>女</v>
      </c>
    </row>
    <row r="2731" spans="1:5" ht="30" customHeight="1">
      <c r="A2731" s="7">
        <v>2728</v>
      </c>
      <c r="B2731" s="7" t="str">
        <f>"38662022042116373028706"</f>
        <v>38662022042116373028706</v>
      </c>
      <c r="C2731" s="7" t="s">
        <v>31</v>
      </c>
      <c r="D2731" s="7" t="str">
        <f>"陈蕾静"</f>
        <v>陈蕾静</v>
      </c>
      <c r="E2731" s="7" t="str">
        <f t="shared" si="124"/>
        <v>女</v>
      </c>
    </row>
    <row r="2732" spans="1:5" ht="30" customHeight="1">
      <c r="A2732" s="7">
        <v>2729</v>
      </c>
      <c r="B2732" s="7" t="str">
        <f>"38662022042116570328836"</f>
        <v>38662022042116570328836</v>
      </c>
      <c r="C2732" s="7" t="s">
        <v>31</v>
      </c>
      <c r="D2732" s="7" t="str">
        <f>"吴多芳"</f>
        <v>吴多芳</v>
      </c>
      <c r="E2732" s="7" t="str">
        <f t="shared" si="124"/>
        <v>女</v>
      </c>
    </row>
    <row r="2733" spans="1:5" ht="30" customHeight="1">
      <c r="A2733" s="7">
        <v>2730</v>
      </c>
      <c r="B2733" s="7" t="str">
        <f>"38662022042118543329420"</f>
        <v>38662022042118543329420</v>
      </c>
      <c r="C2733" s="7" t="s">
        <v>31</v>
      </c>
      <c r="D2733" s="7" t="str">
        <f>"唐小花"</f>
        <v>唐小花</v>
      </c>
      <c r="E2733" s="7" t="str">
        <f t="shared" si="124"/>
        <v>女</v>
      </c>
    </row>
    <row r="2734" spans="1:5" ht="30" customHeight="1">
      <c r="A2734" s="7">
        <v>2731</v>
      </c>
      <c r="B2734" s="7" t="str">
        <f>"38662022042119024129463"</f>
        <v>38662022042119024129463</v>
      </c>
      <c r="C2734" s="7" t="s">
        <v>31</v>
      </c>
      <c r="D2734" s="7" t="str">
        <f>"孙雅娜"</f>
        <v>孙雅娜</v>
      </c>
      <c r="E2734" s="7" t="str">
        <f t="shared" si="124"/>
        <v>女</v>
      </c>
    </row>
    <row r="2735" spans="1:5" ht="30" customHeight="1">
      <c r="A2735" s="7">
        <v>2732</v>
      </c>
      <c r="B2735" s="7" t="str">
        <f>"38662022042120430629947"</f>
        <v>38662022042120430629947</v>
      </c>
      <c r="C2735" s="7" t="s">
        <v>31</v>
      </c>
      <c r="D2735" s="7" t="str">
        <f>"翁云惠"</f>
        <v>翁云惠</v>
      </c>
      <c r="E2735" s="7" t="str">
        <f t="shared" si="124"/>
        <v>女</v>
      </c>
    </row>
    <row r="2736" spans="1:5" ht="30" customHeight="1">
      <c r="A2736" s="7">
        <v>2733</v>
      </c>
      <c r="B2736" s="7" t="str">
        <f>"38662022042121304930212"</f>
        <v>38662022042121304930212</v>
      </c>
      <c r="C2736" s="7" t="s">
        <v>31</v>
      </c>
      <c r="D2736" s="7" t="str">
        <f>"吴海"</f>
        <v>吴海</v>
      </c>
      <c r="E2736" s="7" t="str">
        <f t="shared" si="124"/>
        <v>女</v>
      </c>
    </row>
    <row r="2737" spans="1:5" ht="30" customHeight="1">
      <c r="A2737" s="7">
        <v>2734</v>
      </c>
      <c r="B2737" s="7" t="str">
        <f>"38662022042121335930224"</f>
        <v>38662022042121335930224</v>
      </c>
      <c r="C2737" s="7" t="s">
        <v>31</v>
      </c>
      <c r="D2737" s="7" t="str">
        <f>"符丽婷"</f>
        <v>符丽婷</v>
      </c>
      <c r="E2737" s="7" t="str">
        <f t="shared" si="124"/>
        <v>女</v>
      </c>
    </row>
    <row r="2738" spans="1:5" ht="30" customHeight="1">
      <c r="A2738" s="7">
        <v>2735</v>
      </c>
      <c r="B2738" s="7" t="str">
        <f>"38662022042122380630548"</f>
        <v>38662022042122380630548</v>
      </c>
      <c r="C2738" s="7" t="s">
        <v>31</v>
      </c>
      <c r="D2738" s="7" t="str">
        <f>"李永芬"</f>
        <v>李永芬</v>
      </c>
      <c r="E2738" s="7" t="str">
        <f t="shared" si="124"/>
        <v>女</v>
      </c>
    </row>
    <row r="2739" spans="1:5" ht="30" customHeight="1">
      <c r="A2739" s="7">
        <v>2736</v>
      </c>
      <c r="B2739" s="7" t="str">
        <f>"38662022042122570230618"</f>
        <v>38662022042122570230618</v>
      </c>
      <c r="C2739" s="7" t="s">
        <v>31</v>
      </c>
      <c r="D2739" s="7" t="str">
        <f>"许春玲"</f>
        <v>许春玲</v>
      </c>
      <c r="E2739" s="7" t="str">
        <f t="shared" si="124"/>
        <v>女</v>
      </c>
    </row>
    <row r="2740" spans="1:5" ht="30" customHeight="1">
      <c r="A2740" s="7">
        <v>2737</v>
      </c>
      <c r="B2740" s="7" t="str">
        <f>"38662022042200540730849"</f>
        <v>38662022042200540730849</v>
      </c>
      <c r="C2740" s="7" t="s">
        <v>31</v>
      </c>
      <c r="D2740" s="7" t="str">
        <f>"冯吉"</f>
        <v>冯吉</v>
      </c>
      <c r="E2740" s="7" t="str">
        <f>"男"</f>
        <v>男</v>
      </c>
    </row>
    <row r="2741" spans="1:5" ht="30" customHeight="1">
      <c r="A2741" s="7">
        <v>2738</v>
      </c>
      <c r="B2741" s="7" t="str">
        <f>"38662022042201035730855"</f>
        <v>38662022042201035730855</v>
      </c>
      <c r="C2741" s="7" t="s">
        <v>31</v>
      </c>
      <c r="D2741" s="7" t="str">
        <f>"符艳影"</f>
        <v>符艳影</v>
      </c>
      <c r="E2741" s="7" t="str">
        <f aca="true" t="shared" si="125" ref="E2741:E2755">"女"</f>
        <v>女</v>
      </c>
    </row>
    <row r="2742" spans="1:5" ht="30" customHeight="1">
      <c r="A2742" s="7">
        <v>2739</v>
      </c>
      <c r="B2742" s="7" t="str">
        <f>"38662022042209264931250"</f>
        <v>38662022042209264931250</v>
      </c>
      <c r="C2742" s="7" t="s">
        <v>31</v>
      </c>
      <c r="D2742" s="7" t="str">
        <f>"梁小娟"</f>
        <v>梁小娟</v>
      </c>
      <c r="E2742" s="7" t="str">
        <f t="shared" si="125"/>
        <v>女</v>
      </c>
    </row>
    <row r="2743" spans="1:5" ht="30" customHeight="1">
      <c r="A2743" s="7">
        <v>2740</v>
      </c>
      <c r="B2743" s="7" t="str">
        <f>"38662022042209454231360"</f>
        <v>38662022042209454231360</v>
      </c>
      <c r="C2743" s="7" t="s">
        <v>31</v>
      </c>
      <c r="D2743" s="7" t="str">
        <f>"苏运芯"</f>
        <v>苏运芯</v>
      </c>
      <c r="E2743" s="7" t="str">
        <f t="shared" si="125"/>
        <v>女</v>
      </c>
    </row>
    <row r="2744" spans="1:5" ht="30" customHeight="1">
      <c r="A2744" s="7">
        <v>2741</v>
      </c>
      <c r="B2744" s="7" t="str">
        <f>"38662022042210171331553"</f>
        <v>38662022042210171331553</v>
      </c>
      <c r="C2744" s="7" t="s">
        <v>31</v>
      </c>
      <c r="D2744" s="7" t="str">
        <f>"李桂萍"</f>
        <v>李桂萍</v>
      </c>
      <c r="E2744" s="7" t="str">
        <f t="shared" si="125"/>
        <v>女</v>
      </c>
    </row>
    <row r="2745" spans="1:5" ht="30" customHeight="1">
      <c r="A2745" s="7">
        <v>2742</v>
      </c>
      <c r="B2745" s="7" t="str">
        <f>"38662022042211120831876"</f>
        <v>38662022042211120831876</v>
      </c>
      <c r="C2745" s="7" t="s">
        <v>31</v>
      </c>
      <c r="D2745" s="7" t="str">
        <f>"陈清月"</f>
        <v>陈清月</v>
      </c>
      <c r="E2745" s="7" t="str">
        <f t="shared" si="125"/>
        <v>女</v>
      </c>
    </row>
    <row r="2746" spans="1:5" ht="30" customHeight="1">
      <c r="A2746" s="7">
        <v>2743</v>
      </c>
      <c r="B2746" s="7" t="str">
        <f>"38662022042212560732668"</f>
        <v>38662022042212560732668</v>
      </c>
      <c r="C2746" s="7" t="s">
        <v>31</v>
      </c>
      <c r="D2746" s="7" t="str">
        <f>"陈莉香"</f>
        <v>陈莉香</v>
      </c>
      <c r="E2746" s="7" t="str">
        <f t="shared" si="125"/>
        <v>女</v>
      </c>
    </row>
    <row r="2747" spans="1:5" ht="30" customHeight="1">
      <c r="A2747" s="7">
        <v>2744</v>
      </c>
      <c r="B2747" s="7" t="str">
        <f>"38662022042214504833111"</f>
        <v>38662022042214504833111</v>
      </c>
      <c r="C2747" s="7" t="s">
        <v>31</v>
      </c>
      <c r="D2747" s="7" t="str">
        <f>"洪小月"</f>
        <v>洪小月</v>
      </c>
      <c r="E2747" s="7" t="str">
        <f t="shared" si="125"/>
        <v>女</v>
      </c>
    </row>
    <row r="2748" spans="1:5" ht="30" customHeight="1">
      <c r="A2748" s="7">
        <v>2745</v>
      </c>
      <c r="B2748" s="7" t="str">
        <f>"38662022042215070633203"</f>
        <v>38662022042215070633203</v>
      </c>
      <c r="C2748" s="7" t="s">
        <v>31</v>
      </c>
      <c r="D2748" s="7" t="str">
        <f>"丁悦娴"</f>
        <v>丁悦娴</v>
      </c>
      <c r="E2748" s="7" t="str">
        <f t="shared" si="125"/>
        <v>女</v>
      </c>
    </row>
    <row r="2749" spans="1:5" ht="30" customHeight="1">
      <c r="A2749" s="7">
        <v>2746</v>
      </c>
      <c r="B2749" s="7" t="str">
        <f>"38662022042215294833345"</f>
        <v>38662022042215294833345</v>
      </c>
      <c r="C2749" s="7" t="s">
        <v>31</v>
      </c>
      <c r="D2749" s="7" t="str">
        <f>"董壮娥"</f>
        <v>董壮娥</v>
      </c>
      <c r="E2749" s="7" t="str">
        <f t="shared" si="125"/>
        <v>女</v>
      </c>
    </row>
    <row r="2750" spans="1:5" ht="30" customHeight="1">
      <c r="A2750" s="7">
        <v>2747</v>
      </c>
      <c r="B2750" s="7" t="str">
        <f>"38662022042215372533390"</f>
        <v>38662022042215372533390</v>
      </c>
      <c r="C2750" s="7" t="s">
        <v>31</v>
      </c>
      <c r="D2750" s="7" t="str">
        <f>"吴彩震"</f>
        <v>吴彩震</v>
      </c>
      <c r="E2750" s="7" t="str">
        <f t="shared" si="125"/>
        <v>女</v>
      </c>
    </row>
    <row r="2751" spans="1:5" ht="30" customHeight="1">
      <c r="A2751" s="7">
        <v>2748</v>
      </c>
      <c r="B2751" s="7" t="str">
        <f>"38662022042215515033486"</f>
        <v>38662022042215515033486</v>
      </c>
      <c r="C2751" s="7" t="s">
        <v>31</v>
      </c>
      <c r="D2751" s="7" t="str">
        <f>"梁海姗"</f>
        <v>梁海姗</v>
      </c>
      <c r="E2751" s="7" t="str">
        <f t="shared" si="125"/>
        <v>女</v>
      </c>
    </row>
    <row r="2752" spans="1:5" ht="30" customHeight="1">
      <c r="A2752" s="7">
        <v>2749</v>
      </c>
      <c r="B2752" s="7" t="str">
        <f>"38662022042215572033519"</f>
        <v>38662022042215572033519</v>
      </c>
      <c r="C2752" s="7" t="s">
        <v>31</v>
      </c>
      <c r="D2752" s="7" t="str">
        <f>"刘慈玲"</f>
        <v>刘慈玲</v>
      </c>
      <c r="E2752" s="7" t="str">
        <f t="shared" si="125"/>
        <v>女</v>
      </c>
    </row>
    <row r="2753" spans="1:5" ht="30" customHeight="1">
      <c r="A2753" s="7">
        <v>2750</v>
      </c>
      <c r="B2753" s="7" t="str">
        <f>"38662022042216305933730"</f>
        <v>38662022042216305933730</v>
      </c>
      <c r="C2753" s="7" t="s">
        <v>31</v>
      </c>
      <c r="D2753" s="7" t="str">
        <f>"王玉香"</f>
        <v>王玉香</v>
      </c>
      <c r="E2753" s="7" t="str">
        <f t="shared" si="125"/>
        <v>女</v>
      </c>
    </row>
    <row r="2754" spans="1:5" ht="30" customHeight="1">
      <c r="A2754" s="7">
        <v>2751</v>
      </c>
      <c r="B2754" s="7" t="str">
        <f>"38662022042217055033968"</f>
        <v>38662022042217055033968</v>
      </c>
      <c r="C2754" s="7" t="s">
        <v>31</v>
      </c>
      <c r="D2754" s="7" t="str">
        <f>"杨丽嘉"</f>
        <v>杨丽嘉</v>
      </c>
      <c r="E2754" s="7" t="str">
        <f t="shared" si="125"/>
        <v>女</v>
      </c>
    </row>
    <row r="2755" spans="1:5" ht="30" customHeight="1">
      <c r="A2755" s="7">
        <v>2752</v>
      </c>
      <c r="B2755" s="7" t="str">
        <f>"38662022042217452734153"</f>
        <v>38662022042217452734153</v>
      </c>
      <c r="C2755" s="7" t="s">
        <v>31</v>
      </c>
      <c r="D2755" s="7" t="str">
        <f>"吴云瑶"</f>
        <v>吴云瑶</v>
      </c>
      <c r="E2755" s="7" t="str">
        <f t="shared" si="125"/>
        <v>女</v>
      </c>
    </row>
    <row r="2756" spans="1:5" ht="30" customHeight="1">
      <c r="A2756" s="7">
        <v>2753</v>
      </c>
      <c r="B2756" s="7" t="str">
        <f>"38662022042217505734175"</f>
        <v>38662022042217505734175</v>
      </c>
      <c r="C2756" s="7" t="s">
        <v>31</v>
      </c>
      <c r="D2756" s="7" t="str">
        <f>"王超"</f>
        <v>王超</v>
      </c>
      <c r="E2756" s="7" t="str">
        <f>"男"</f>
        <v>男</v>
      </c>
    </row>
    <row r="2757" spans="1:5" ht="30" customHeight="1">
      <c r="A2757" s="7">
        <v>2754</v>
      </c>
      <c r="B2757" s="7" t="str">
        <f>"38662022042217552034199"</f>
        <v>38662022042217552034199</v>
      </c>
      <c r="C2757" s="7" t="s">
        <v>31</v>
      </c>
      <c r="D2757" s="7" t="str">
        <f>"李水花"</f>
        <v>李水花</v>
      </c>
      <c r="E2757" s="7" t="str">
        <f aca="true" t="shared" si="126" ref="E2757:E2800">"女"</f>
        <v>女</v>
      </c>
    </row>
    <row r="2758" spans="1:5" ht="30" customHeight="1">
      <c r="A2758" s="7">
        <v>2755</v>
      </c>
      <c r="B2758" s="7" t="str">
        <f>"38662022042311282735119"</f>
        <v>38662022042311282735119</v>
      </c>
      <c r="C2758" s="7" t="s">
        <v>31</v>
      </c>
      <c r="D2758" s="7" t="str">
        <f>"何艳"</f>
        <v>何艳</v>
      </c>
      <c r="E2758" s="7" t="str">
        <f t="shared" si="126"/>
        <v>女</v>
      </c>
    </row>
    <row r="2759" spans="1:5" ht="30" customHeight="1">
      <c r="A2759" s="7">
        <v>2756</v>
      </c>
      <c r="B2759" s="7" t="str">
        <f>"38662022042311343535132"</f>
        <v>38662022042311343535132</v>
      </c>
      <c r="C2759" s="7" t="s">
        <v>31</v>
      </c>
      <c r="D2759" s="7" t="str">
        <f>"冯嫣"</f>
        <v>冯嫣</v>
      </c>
      <c r="E2759" s="7" t="str">
        <f t="shared" si="126"/>
        <v>女</v>
      </c>
    </row>
    <row r="2760" spans="1:5" ht="30" customHeight="1">
      <c r="A2760" s="7">
        <v>2757</v>
      </c>
      <c r="B2760" s="7" t="str">
        <f>"38662022042311465335155"</f>
        <v>38662022042311465335155</v>
      </c>
      <c r="C2760" s="7" t="s">
        <v>31</v>
      </c>
      <c r="D2760" s="7" t="str">
        <f>"黄民姣"</f>
        <v>黄民姣</v>
      </c>
      <c r="E2760" s="7" t="str">
        <f t="shared" si="126"/>
        <v>女</v>
      </c>
    </row>
    <row r="2761" spans="1:5" ht="30" customHeight="1">
      <c r="A2761" s="7">
        <v>2758</v>
      </c>
      <c r="B2761" s="7" t="str">
        <f>"38662022042313574335304"</f>
        <v>38662022042313574335304</v>
      </c>
      <c r="C2761" s="7" t="s">
        <v>31</v>
      </c>
      <c r="D2761" s="7" t="str">
        <f>"吴佳欣"</f>
        <v>吴佳欣</v>
      </c>
      <c r="E2761" s="7" t="str">
        <f t="shared" si="126"/>
        <v>女</v>
      </c>
    </row>
    <row r="2762" spans="1:5" ht="30" customHeight="1">
      <c r="A2762" s="7">
        <v>2759</v>
      </c>
      <c r="B2762" s="7" t="str">
        <f>"38662022042315573535477"</f>
        <v>38662022042315573535477</v>
      </c>
      <c r="C2762" s="7" t="s">
        <v>31</v>
      </c>
      <c r="D2762" s="7" t="str">
        <f>"谢永丽"</f>
        <v>谢永丽</v>
      </c>
      <c r="E2762" s="7" t="str">
        <f t="shared" si="126"/>
        <v>女</v>
      </c>
    </row>
    <row r="2763" spans="1:5" ht="30" customHeight="1">
      <c r="A2763" s="7">
        <v>2760</v>
      </c>
      <c r="B2763" s="7" t="str">
        <f>"38662022042316121935498"</f>
        <v>38662022042316121935498</v>
      </c>
      <c r="C2763" s="7" t="s">
        <v>31</v>
      </c>
      <c r="D2763" s="7" t="str">
        <f>"韦海巾"</f>
        <v>韦海巾</v>
      </c>
      <c r="E2763" s="7" t="str">
        <f t="shared" si="126"/>
        <v>女</v>
      </c>
    </row>
    <row r="2764" spans="1:5" ht="30" customHeight="1">
      <c r="A2764" s="7">
        <v>2761</v>
      </c>
      <c r="B2764" s="7" t="str">
        <f>"38662022042316501535546"</f>
        <v>38662022042316501535546</v>
      </c>
      <c r="C2764" s="7" t="s">
        <v>31</v>
      </c>
      <c r="D2764" s="7" t="str">
        <f>"刘玉娇"</f>
        <v>刘玉娇</v>
      </c>
      <c r="E2764" s="7" t="str">
        <f t="shared" si="126"/>
        <v>女</v>
      </c>
    </row>
    <row r="2765" spans="1:5" ht="30" customHeight="1">
      <c r="A2765" s="7">
        <v>2762</v>
      </c>
      <c r="B2765" s="7" t="str">
        <f>"38662022042317374535606"</f>
        <v>38662022042317374535606</v>
      </c>
      <c r="C2765" s="7" t="s">
        <v>31</v>
      </c>
      <c r="D2765" s="7" t="str">
        <f>"陈梅"</f>
        <v>陈梅</v>
      </c>
      <c r="E2765" s="7" t="str">
        <f t="shared" si="126"/>
        <v>女</v>
      </c>
    </row>
    <row r="2766" spans="1:5" ht="30" customHeight="1">
      <c r="A2766" s="7">
        <v>2763</v>
      </c>
      <c r="B2766" s="7" t="str">
        <f>"38662022042318291235653"</f>
        <v>38662022042318291235653</v>
      </c>
      <c r="C2766" s="7" t="s">
        <v>31</v>
      </c>
      <c r="D2766" s="7" t="str">
        <f>"胡英"</f>
        <v>胡英</v>
      </c>
      <c r="E2766" s="7" t="str">
        <f t="shared" si="126"/>
        <v>女</v>
      </c>
    </row>
    <row r="2767" spans="1:5" ht="30" customHeight="1">
      <c r="A2767" s="7">
        <v>2764</v>
      </c>
      <c r="B2767" s="7" t="str">
        <f>"38662022042318395635662"</f>
        <v>38662022042318395635662</v>
      </c>
      <c r="C2767" s="7" t="s">
        <v>31</v>
      </c>
      <c r="D2767" s="7" t="str">
        <f>"吴淑雪"</f>
        <v>吴淑雪</v>
      </c>
      <c r="E2767" s="7" t="str">
        <f t="shared" si="126"/>
        <v>女</v>
      </c>
    </row>
    <row r="2768" spans="1:5" ht="30" customHeight="1">
      <c r="A2768" s="7">
        <v>2765</v>
      </c>
      <c r="B2768" s="7" t="str">
        <f>"38662022042319261535698"</f>
        <v>38662022042319261535698</v>
      </c>
      <c r="C2768" s="7" t="s">
        <v>31</v>
      </c>
      <c r="D2768" s="7" t="str">
        <f>"邢一耘"</f>
        <v>邢一耘</v>
      </c>
      <c r="E2768" s="7" t="str">
        <f t="shared" si="126"/>
        <v>女</v>
      </c>
    </row>
    <row r="2769" spans="1:5" ht="30" customHeight="1">
      <c r="A2769" s="7">
        <v>2766</v>
      </c>
      <c r="B2769" s="7" t="str">
        <f>"38662022042320494635820"</f>
        <v>38662022042320494635820</v>
      </c>
      <c r="C2769" s="7" t="s">
        <v>31</v>
      </c>
      <c r="D2769" s="7" t="str">
        <f>"麦雪莹"</f>
        <v>麦雪莹</v>
      </c>
      <c r="E2769" s="7" t="str">
        <f t="shared" si="126"/>
        <v>女</v>
      </c>
    </row>
    <row r="2770" spans="1:5" ht="30" customHeight="1">
      <c r="A2770" s="7">
        <v>2767</v>
      </c>
      <c r="B2770" s="7" t="str">
        <f>"38662022042322135435959"</f>
        <v>38662022042322135435959</v>
      </c>
      <c r="C2770" s="7" t="s">
        <v>31</v>
      </c>
      <c r="D2770" s="7" t="str">
        <f>"莫碧叶"</f>
        <v>莫碧叶</v>
      </c>
      <c r="E2770" s="7" t="str">
        <f t="shared" si="126"/>
        <v>女</v>
      </c>
    </row>
    <row r="2771" spans="1:5" ht="30" customHeight="1">
      <c r="A2771" s="7">
        <v>2768</v>
      </c>
      <c r="B2771" s="7" t="str">
        <f>"38662022042322214435969"</f>
        <v>38662022042322214435969</v>
      </c>
      <c r="C2771" s="7" t="s">
        <v>31</v>
      </c>
      <c r="D2771" s="7" t="str">
        <f>"刘晓慧"</f>
        <v>刘晓慧</v>
      </c>
      <c r="E2771" s="7" t="str">
        <f t="shared" si="126"/>
        <v>女</v>
      </c>
    </row>
    <row r="2772" spans="1:5" ht="30" customHeight="1">
      <c r="A2772" s="7">
        <v>2769</v>
      </c>
      <c r="B2772" s="7" t="str">
        <f>"38662022042322465936023"</f>
        <v>38662022042322465936023</v>
      </c>
      <c r="C2772" s="7" t="s">
        <v>31</v>
      </c>
      <c r="D2772" s="7" t="str">
        <f>"叶秋余"</f>
        <v>叶秋余</v>
      </c>
      <c r="E2772" s="7" t="str">
        <f t="shared" si="126"/>
        <v>女</v>
      </c>
    </row>
    <row r="2773" spans="1:5" ht="30" customHeight="1">
      <c r="A2773" s="7">
        <v>2770</v>
      </c>
      <c r="B2773" s="7" t="str">
        <f>"38662022042322504036031"</f>
        <v>38662022042322504036031</v>
      </c>
      <c r="C2773" s="7" t="s">
        <v>31</v>
      </c>
      <c r="D2773" s="7" t="str">
        <f>"冯美"</f>
        <v>冯美</v>
      </c>
      <c r="E2773" s="7" t="str">
        <f t="shared" si="126"/>
        <v>女</v>
      </c>
    </row>
    <row r="2774" spans="1:5" ht="30" customHeight="1">
      <c r="A2774" s="7">
        <v>2771</v>
      </c>
      <c r="B2774" s="7" t="str">
        <f>"38662022042408344536189"</f>
        <v>38662022042408344536189</v>
      </c>
      <c r="C2774" s="7" t="s">
        <v>31</v>
      </c>
      <c r="D2774" s="7" t="str">
        <f>"吴小妹"</f>
        <v>吴小妹</v>
      </c>
      <c r="E2774" s="7" t="str">
        <f t="shared" si="126"/>
        <v>女</v>
      </c>
    </row>
    <row r="2775" spans="1:5" ht="30" customHeight="1">
      <c r="A2775" s="7">
        <v>2772</v>
      </c>
      <c r="B2775" s="7" t="str">
        <f>"38662022042409121036267"</f>
        <v>38662022042409121036267</v>
      </c>
      <c r="C2775" s="7" t="s">
        <v>31</v>
      </c>
      <c r="D2775" s="7" t="str">
        <f>"李梦妍"</f>
        <v>李梦妍</v>
      </c>
      <c r="E2775" s="7" t="str">
        <f t="shared" si="126"/>
        <v>女</v>
      </c>
    </row>
    <row r="2776" spans="1:5" ht="30" customHeight="1">
      <c r="A2776" s="7">
        <v>2773</v>
      </c>
      <c r="B2776" s="7" t="str">
        <f>"38662022042411263536535"</f>
        <v>38662022042411263536535</v>
      </c>
      <c r="C2776" s="7" t="s">
        <v>31</v>
      </c>
      <c r="D2776" s="7" t="str">
        <f>"廖梦琦"</f>
        <v>廖梦琦</v>
      </c>
      <c r="E2776" s="7" t="str">
        <f t="shared" si="126"/>
        <v>女</v>
      </c>
    </row>
    <row r="2777" spans="1:5" ht="30" customHeight="1">
      <c r="A2777" s="7">
        <v>2774</v>
      </c>
      <c r="B2777" s="7" t="str">
        <f>"38662022042412333136647"</f>
        <v>38662022042412333136647</v>
      </c>
      <c r="C2777" s="7" t="s">
        <v>31</v>
      </c>
      <c r="D2777" s="7" t="str">
        <f>"陈婆燕"</f>
        <v>陈婆燕</v>
      </c>
      <c r="E2777" s="7" t="str">
        <f t="shared" si="126"/>
        <v>女</v>
      </c>
    </row>
    <row r="2778" spans="1:5" ht="30" customHeight="1">
      <c r="A2778" s="7">
        <v>2775</v>
      </c>
      <c r="B2778" s="7" t="str">
        <f>"38662022042414470836830"</f>
        <v>38662022042414470836830</v>
      </c>
      <c r="C2778" s="7" t="s">
        <v>31</v>
      </c>
      <c r="D2778" s="7" t="str">
        <f>"李嘉丽"</f>
        <v>李嘉丽</v>
      </c>
      <c r="E2778" s="7" t="str">
        <f t="shared" si="126"/>
        <v>女</v>
      </c>
    </row>
    <row r="2779" spans="1:5" ht="30" customHeight="1">
      <c r="A2779" s="7">
        <v>2776</v>
      </c>
      <c r="B2779" s="7" t="str">
        <f>"38662022042415511736977"</f>
        <v>38662022042415511736977</v>
      </c>
      <c r="C2779" s="7" t="s">
        <v>31</v>
      </c>
      <c r="D2779" s="7" t="str">
        <f>"李小雪"</f>
        <v>李小雪</v>
      </c>
      <c r="E2779" s="7" t="str">
        <f t="shared" si="126"/>
        <v>女</v>
      </c>
    </row>
    <row r="2780" spans="1:5" ht="30" customHeight="1">
      <c r="A2780" s="7">
        <v>2777</v>
      </c>
      <c r="B2780" s="7" t="str">
        <f>"38662022042416393937086"</f>
        <v>38662022042416393937086</v>
      </c>
      <c r="C2780" s="7" t="s">
        <v>31</v>
      </c>
      <c r="D2780" s="7" t="str">
        <f>"符文慧"</f>
        <v>符文慧</v>
      </c>
      <c r="E2780" s="7" t="str">
        <f t="shared" si="126"/>
        <v>女</v>
      </c>
    </row>
    <row r="2781" spans="1:5" ht="30" customHeight="1">
      <c r="A2781" s="7">
        <v>2778</v>
      </c>
      <c r="B2781" s="7" t="str">
        <f>"38662022042419102137332"</f>
        <v>38662022042419102137332</v>
      </c>
      <c r="C2781" s="7" t="s">
        <v>31</v>
      </c>
      <c r="D2781" s="7" t="str">
        <f>"刘显花"</f>
        <v>刘显花</v>
      </c>
      <c r="E2781" s="7" t="str">
        <f t="shared" si="126"/>
        <v>女</v>
      </c>
    </row>
    <row r="2782" spans="1:5" ht="30" customHeight="1">
      <c r="A2782" s="7">
        <v>2779</v>
      </c>
      <c r="B2782" s="7" t="str">
        <f>"38662022042419103837333"</f>
        <v>38662022042419103837333</v>
      </c>
      <c r="C2782" s="7" t="s">
        <v>31</v>
      </c>
      <c r="D2782" s="7" t="str">
        <f>"吴春秀"</f>
        <v>吴春秀</v>
      </c>
      <c r="E2782" s="7" t="str">
        <f t="shared" si="126"/>
        <v>女</v>
      </c>
    </row>
    <row r="2783" spans="1:5" ht="30" customHeight="1">
      <c r="A2783" s="7">
        <v>2780</v>
      </c>
      <c r="B2783" s="7" t="str">
        <f>"38662022042420494737482"</f>
        <v>38662022042420494737482</v>
      </c>
      <c r="C2783" s="7" t="s">
        <v>31</v>
      </c>
      <c r="D2783" s="7" t="str">
        <f>"戴秀芬"</f>
        <v>戴秀芬</v>
      </c>
      <c r="E2783" s="7" t="str">
        <f t="shared" si="126"/>
        <v>女</v>
      </c>
    </row>
    <row r="2784" spans="1:5" ht="30" customHeight="1">
      <c r="A2784" s="7">
        <v>2781</v>
      </c>
      <c r="B2784" s="7" t="str">
        <f>"38662022042421124937528"</f>
        <v>38662022042421124937528</v>
      </c>
      <c r="C2784" s="7" t="s">
        <v>31</v>
      </c>
      <c r="D2784" s="7" t="str">
        <f>"符金花"</f>
        <v>符金花</v>
      </c>
      <c r="E2784" s="7" t="str">
        <f t="shared" si="126"/>
        <v>女</v>
      </c>
    </row>
    <row r="2785" spans="1:5" ht="30" customHeight="1">
      <c r="A2785" s="7">
        <v>2782</v>
      </c>
      <c r="B2785" s="7" t="str">
        <f>"38662022042421364437562"</f>
        <v>38662022042421364437562</v>
      </c>
      <c r="C2785" s="7" t="s">
        <v>31</v>
      </c>
      <c r="D2785" s="7" t="str">
        <f>"唐德嘉"</f>
        <v>唐德嘉</v>
      </c>
      <c r="E2785" s="7" t="str">
        <f t="shared" si="126"/>
        <v>女</v>
      </c>
    </row>
    <row r="2786" spans="1:5" ht="30" customHeight="1">
      <c r="A2786" s="7">
        <v>2783</v>
      </c>
      <c r="B2786" s="7" t="str">
        <f>"38662022042423383437738"</f>
        <v>38662022042423383437738</v>
      </c>
      <c r="C2786" s="7" t="s">
        <v>31</v>
      </c>
      <c r="D2786" s="7" t="str">
        <f>"覃金兰"</f>
        <v>覃金兰</v>
      </c>
      <c r="E2786" s="7" t="str">
        <f t="shared" si="126"/>
        <v>女</v>
      </c>
    </row>
    <row r="2787" spans="1:5" ht="30" customHeight="1">
      <c r="A2787" s="7">
        <v>2784</v>
      </c>
      <c r="B2787" s="7" t="str">
        <f>"38662022042423554637748"</f>
        <v>38662022042423554637748</v>
      </c>
      <c r="C2787" s="7" t="s">
        <v>31</v>
      </c>
      <c r="D2787" s="7" t="str">
        <f>"李慧玲"</f>
        <v>李慧玲</v>
      </c>
      <c r="E2787" s="7" t="str">
        <f t="shared" si="126"/>
        <v>女</v>
      </c>
    </row>
    <row r="2788" spans="1:5" ht="30" customHeight="1">
      <c r="A2788" s="7">
        <v>2785</v>
      </c>
      <c r="B2788" s="7" t="str">
        <f>"38662022042510022337947"</f>
        <v>38662022042510022337947</v>
      </c>
      <c r="C2788" s="7" t="s">
        <v>31</v>
      </c>
      <c r="D2788" s="7" t="str">
        <f>"李亚菊"</f>
        <v>李亚菊</v>
      </c>
      <c r="E2788" s="7" t="str">
        <f t="shared" si="126"/>
        <v>女</v>
      </c>
    </row>
    <row r="2789" spans="1:5" ht="30" customHeight="1">
      <c r="A2789" s="7">
        <v>2786</v>
      </c>
      <c r="B2789" s="7" t="str">
        <f>"38662022042510505738049"</f>
        <v>38662022042510505738049</v>
      </c>
      <c r="C2789" s="7" t="s">
        <v>31</v>
      </c>
      <c r="D2789" s="7" t="str">
        <f>"符淑婷"</f>
        <v>符淑婷</v>
      </c>
      <c r="E2789" s="7" t="str">
        <f t="shared" si="126"/>
        <v>女</v>
      </c>
    </row>
    <row r="2790" spans="1:5" ht="30" customHeight="1">
      <c r="A2790" s="7">
        <v>2787</v>
      </c>
      <c r="B2790" s="7" t="str">
        <f>"38662022042511120038091"</f>
        <v>38662022042511120038091</v>
      </c>
      <c r="C2790" s="7" t="s">
        <v>31</v>
      </c>
      <c r="D2790" s="7" t="str">
        <f>"万焕妹"</f>
        <v>万焕妹</v>
      </c>
      <c r="E2790" s="7" t="str">
        <f t="shared" si="126"/>
        <v>女</v>
      </c>
    </row>
    <row r="2791" spans="1:5" ht="30" customHeight="1">
      <c r="A2791" s="7">
        <v>2788</v>
      </c>
      <c r="B2791" s="7" t="str">
        <f>"38662022042511265838116"</f>
        <v>38662022042511265838116</v>
      </c>
      <c r="C2791" s="7" t="s">
        <v>31</v>
      </c>
      <c r="D2791" s="7" t="str">
        <f>"申米娜"</f>
        <v>申米娜</v>
      </c>
      <c r="E2791" s="7" t="str">
        <f t="shared" si="126"/>
        <v>女</v>
      </c>
    </row>
    <row r="2792" spans="1:5" ht="30" customHeight="1">
      <c r="A2792" s="7">
        <v>2789</v>
      </c>
      <c r="B2792" s="7" t="str">
        <f>"38662022042515183638359"</f>
        <v>38662022042515183638359</v>
      </c>
      <c r="C2792" s="7" t="s">
        <v>31</v>
      </c>
      <c r="D2792" s="7" t="str">
        <f>"赵月秀"</f>
        <v>赵月秀</v>
      </c>
      <c r="E2792" s="7" t="str">
        <f t="shared" si="126"/>
        <v>女</v>
      </c>
    </row>
    <row r="2793" spans="1:5" ht="30" customHeight="1">
      <c r="A2793" s="7">
        <v>2790</v>
      </c>
      <c r="B2793" s="7" t="str">
        <f>"38662022042516543538524"</f>
        <v>38662022042516543538524</v>
      </c>
      <c r="C2793" s="7" t="s">
        <v>31</v>
      </c>
      <c r="D2793" s="7" t="str">
        <f>"唐永佳"</f>
        <v>唐永佳</v>
      </c>
      <c r="E2793" s="7" t="str">
        <f t="shared" si="126"/>
        <v>女</v>
      </c>
    </row>
    <row r="2794" spans="1:5" ht="30" customHeight="1">
      <c r="A2794" s="7">
        <v>2791</v>
      </c>
      <c r="B2794" s="7" t="str">
        <f>"38662022042520051438749"</f>
        <v>38662022042520051438749</v>
      </c>
      <c r="C2794" s="7" t="s">
        <v>31</v>
      </c>
      <c r="D2794" s="7" t="str">
        <f>"邱惠清"</f>
        <v>邱惠清</v>
      </c>
      <c r="E2794" s="7" t="str">
        <f t="shared" si="126"/>
        <v>女</v>
      </c>
    </row>
    <row r="2795" spans="1:5" ht="30" customHeight="1">
      <c r="A2795" s="7">
        <v>2792</v>
      </c>
      <c r="B2795" s="7" t="str">
        <f>"38662022042520514538812"</f>
        <v>38662022042520514538812</v>
      </c>
      <c r="C2795" s="7" t="s">
        <v>31</v>
      </c>
      <c r="D2795" s="7" t="str">
        <f>"李菲"</f>
        <v>李菲</v>
      </c>
      <c r="E2795" s="7" t="str">
        <f t="shared" si="126"/>
        <v>女</v>
      </c>
    </row>
    <row r="2796" spans="1:5" ht="30" customHeight="1">
      <c r="A2796" s="7">
        <v>2793</v>
      </c>
      <c r="B2796" s="7" t="str">
        <f>"38662022042608373239141"</f>
        <v>38662022042608373239141</v>
      </c>
      <c r="C2796" s="7" t="s">
        <v>31</v>
      </c>
      <c r="D2796" s="7" t="str">
        <f>"徐贞"</f>
        <v>徐贞</v>
      </c>
      <c r="E2796" s="7" t="str">
        <f t="shared" si="126"/>
        <v>女</v>
      </c>
    </row>
    <row r="2797" spans="1:5" ht="30" customHeight="1">
      <c r="A2797" s="7">
        <v>2794</v>
      </c>
      <c r="B2797" s="7" t="str">
        <f>"38662022042609411139228"</f>
        <v>38662022042609411139228</v>
      </c>
      <c r="C2797" s="7" t="s">
        <v>31</v>
      </c>
      <c r="D2797" s="7" t="str">
        <f>"林如芳"</f>
        <v>林如芳</v>
      </c>
      <c r="E2797" s="7" t="str">
        <f t="shared" si="126"/>
        <v>女</v>
      </c>
    </row>
    <row r="2798" spans="1:5" ht="30" customHeight="1">
      <c r="A2798" s="7">
        <v>2795</v>
      </c>
      <c r="B2798" s="7" t="str">
        <f>"38662022042610101139269"</f>
        <v>38662022042610101139269</v>
      </c>
      <c r="C2798" s="7" t="s">
        <v>31</v>
      </c>
      <c r="D2798" s="7" t="str">
        <f>"吴香雪"</f>
        <v>吴香雪</v>
      </c>
      <c r="E2798" s="7" t="str">
        <f t="shared" si="126"/>
        <v>女</v>
      </c>
    </row>
    <row r="2799" spans="1:5" ht="30" customHeight="1">
      <c r="A2799" s="7">
        <v>2796</v>
      </c>
      <c r="B2799" s="7" t="str">
        <f>"38662022042612035839438"</f>
        <v>38662022042612035839438</v>
      </c>
      <c r="C2799" s="7" t="s">
        <v>31</v>
      </c>
      <c r="D2799" s="7" t="str">
        <f>"李琳琳"</f>
        <v>李琳琳</v>
      </c>
      <c r="E2799" s="7" t="str">
        <f t="shared" si="126"/>
        <v>女</v>
      </c>
    </row>
    <row r="2800" spans="1:5" ht="30" customHeight="1">
      <c r="A2800" s="7">
        <v>2797</v>
      </c>
      <c r="B2800" s="7" t="str">
        <f>"38662022042615080839649"</f>
        <v>38662022042615080839649</v>
      </c>
      <c r="C2800" s="7" t="s">
        <v>31</v>
      </c>
      <c r="D2800" s="7" t="str">
        <f>"官雨婷"</f>
        <v>官雨婷</v>
      </c>
      <c r="E2800" s="7" t="str">
        <f t="shared" si="126"/>
        <v>女</v>
      </c>
    </row>
    <row r="2801" spans="1:5" ht="30" customHeight="1">
      <c r="A2801" s="7">
        <v>2798</v>
      </c>
      <c r="B2801" s="7" t="str">
        <f>"38662022042615564039749"</f>
        <v>38662022042615564039749</v>
      </c>
      <c r="C2801" s="7" t="s">
        <v>31</v>
      </c>
      <c r="D2801" s="7" t="str">
        <f>"赵衍珥"</f>
        <v>赵衍珥</v>
      </c>
      <c r="E2801" s="7" t="str">
        <f>"男"</f>
        <v>男</v>
      </c>
    </row>
    <row r="2802" spans="1:5" ht="30" customHeight="1">
      <c r="A2802" s="7">
        <v>2799</v>
      </c>
      <c r="B2802" s="7" t="str">
        <f>"38662022042616022339759"</f>
        <v>38662022042616022339759</v>
      </c>
      <c r="C2802" s="7" t="s">
        <v>31</v>
      </c>
      <c r="D2802" s="7" t="str">
        <f>"王美养"</f>
        <v>王美养</v>
      </c>
      <c r="E2802" s="7" t="str">
        <f aca="true" t="shared" si="127" ref="E2802:E2810">"女"</f>
        <v>女</v>
      </c>
    </row>
    <row r="2803" spans="1:5" ht="30" customHeight="1">
      <c r="A2803" s="7">
        <v>2800</v>
      </c>
      <c r="B2803" s="7" t="str">
        <f>"38662022042617325439920"</f>
        <v>38662022042617325439920</v>
      </c>
      <c r="C2803" s="7" t="s">
        <v>31</v>
      </c>
      <c r="D2803" s="7" t="str">
        <f>"王馨怡"</f>
        <v>王馨怡</v>
      </c>
      <c r="E2803" s="7" t="str">
        <f t="shared" si="127"/>
        <v>女</v>
      </c>
    </row>
    <row r="2804" spans="1:5" ht="30" customHeight="1">
      <c r="A2804" s="7">
        <v>2801</v>
      </c>
      <c r="B2804" s="7" t="str">
        <f>"38662022042617465939936"</f>
        <v>38662022042617465939936</v>
      </c>
      <c r="C2804" s="7" t="s">
        <v>31</v>
      </c>
      <c r="D2804" s="7" t="str">
        <f>"张夏敏"</f>
        <v>张夏敏</v>
      </c>
      <c r="E2804" s="7" t="str">
        <f t="shared" si="127"/>
        <v>女</v>
      </c>
    </row>
    <row r="2805" spans="1:5" ht="30" customHeight="1">
      <c r="A2805" s="7">
        <v>2802</v>
      </c>
      <c r="B2805" s="7" t="str">
        <f>"38662022042618173539969"</f>
        <v>38662022042618173539969</v>
      </c>
      <c r="C2805" s="7" t="s">
        <v>31</v>
      </c>
      <c r="D2805" s="7" t="str">
        <f>"陈志美"</f>
        <v>陈志美</v>
      </c>
      <c r="E2805" s="7" t="str">
        <f t="shared" si="127"/>
        <v>女</v>
      </c>
    </row>
    <row r="2806" spans="1:5" ht="30" customHeight="1">
      <c r="A2806" s="7">
        <v>2803</v>
      </c>
      <c r="B2806" s="7" t="str">
        <f>"38662022042620341240150"</f>
        <v>38662022042620341240150</v>
      </c>
      <c r="C2806" s="7" t="s">
        <v>31</v>
      </c>
      <c r="D2806" s="7" t="str">
        <f>"陈焕坤"</f>
        <v>陈焕坤</v>
      </c>
      <c r="E2806" s="7" t="str">
        <f t="shared" si="127"/>
        <v>女</v>
      </c>
    </row>
    <row r="2807" spans="1:5" ht="30" customHeight="1">
      <c r="A2807" s="7">
        <v>2804</v>
      </c>
      <c r="B2807" s="7" t="str">
        <f>"38662022042620440740159"</f>
        <v>38662022042620440740159</v>
      </c>
      <c r="C2807" s="7" t="s">
        <v>31</v>
      </c>
      <c r="D2807" s="7" t="str">
        <f>"周金叶"</f>
        <v>周金叶</v>
      </c>
      <c r="E2807" s="7" t="str">
        <f t="shared" si="127"/>
        <v>女</v>
      </c>
    </row>
    <row r="2808" spans="1:5" ht="30" customHeight="1">
      <c r="A2808" s="7">
        <v>2805</v>
      </c>
      <c r="B2808" s="7" t="str">
        <f>"38662022042623230140437"</f>
        <v>38662022042623230140437</v>
      </c>
      <c r="C2808" s="7" t="s">
        <v>31</v>
      </c>
      <c r="D2808" s="7" t="str">
        <f>"吴佶斋"</f>
        <v>吴佶斋</v>
      </c>
      <c r="E2808" s="7" t="str">
        <f t="shared" si="127"/>
        <v>女</v>
      </c>
    </row>
    <row r="2809" spans="1:5" ht="30" customHeight="1">
      <c r="A2809" s="7">
        <v>2806</v>
      </c>
      <c r="B2809" s="7" t="str">
        <f>"38662022042709370241168"</f>
        <v>38662022042709370241168</v>
      </c>
      <c r="C2809" s="7" t="s">
        <v>31</v>
      </c>
      <c r="D2809" s="7" t="str">
        <f>"张雅婷"</f>
        <v>张雅婷</v>
      </c>
      <c r="E2809" s="7" t="str">
        <f t="shared" si="127"/>
        <v>女</v>
      </c>
    </row>
    <row r="2810" spans="1:5" ht="30" customHeight="1">
      <c r="A2810" s="7">
        <v>2807</v>
      </c>
      <c r="B2810" s="7" t="str">
        <f>"38662022042709573641429"</f>
        <v>38662022042709573641429</v>
      </c>
      <c r="C2810" s="7" t="s">
        <v>31</v>
      </c>
      <c r="D2810" s="7" t="str">
        <f>"羊彩嬉"</f>
        <v>羊彩嬉</v>
      </c>
      <c r="E2810" s="7" t="str">
        <f t="shared" si="127"/>
        <v>女</v>
      </c>
    </row>
    <row r="2811" spans="1:5" ht="30" customHeight="1">
      <c r="A2811" s="7">
        <v>2808</v>
      </c>
      <c r="B2811" s="7" t="str">
        <f>"38662022042710522842009"</f>
        <v>38662022042710522842009</v>
      </c>
      <c r="C2811" s="7" t="s">
        <v>31</v>
      </c>
      <c r="D2811" s="7" t="str">
        <f>"黄海州"</f>
        <v>黄海州</v>
      </c>
      <c r="E2811" s="7" t="str">
        <f>"男"</f>
        <v>男</v>
      </c>
    </row>
    <row r="2812" spans="1:5" ht="30" customHeight="1">
      <c r="A2812" s="7">
        <v>2809</v>
      </c>
      <c r="B2812" s="7" t="str">
        <f>"38662022042712380042775"</f>
        <v>38662022042712380042775</v>
      </c>
      <c r="C2812" s="7" t="s">
        <v>31</v>
      </c>
      <c r="D2812" s="7" t="str">
        <f>"符永秀"</f>
        <v>符永秀</v>
      </c>
      <c r="E2812" s="7" t="str">
        <f aca="true" t="shared" si="128" ref="E2812:E2824">"女"</f>
        <v>女</v>
      </c>
    </row>
    <row r="2813" spans="1:5" ht="30" customHeight="1">
      <c r="A2813" s="7">
        <v>2810</v>
      </c>
      <c r="B2813" s="7" t="str">
        <f>"38662022042713405743175"</f>
        <v>38662022042713405743175</v>
      </c>
      <c r="C2813" s="7" t="s">
        <v>31</v>
      </c>
      <c r="D2813" s="7" t="str">
        <f>"罗翔月"</f>
        <v>罗翔月</v>
      </c>
      <c r="E2813" s="7" t="str">
        <f t="shared" si="128"/>
        <v>女</v>
      </c>
    </row>
    <row r="2814" spans="1:5" ht="30" customHeight="1">
      <c r="A2814" s="7">
        <v>2811</v>
      </c>
      <c r="B2814" s="7" t="str">
        <f>"38662022042715370943877"</f>
        <v>38662022042715370943877</v>
      </c>
      <c r="C2814" s="7" t="s">
        <v>31</v>
      </c>
      <c r="D2814" s="7" t="str">
        <f>"林仙"</f>
        <v>林仙</v>
      </c>
      <c r="E2814" s="7" t="str">
        <f t="shared" si="128"/>
        <v>女</v>
      </c>
    </row>
    <row r="2815" spans="1:5" ht="30" customHeight="1">
      <c r="A2815" s="7">
        <v>2812</v>
      </c>
      <c r="B2815" s="7" t="str">
        <f>"38662022042716082044072"</f>
        <v>38662022042716082044072</v>
      </c>
      <c r="C2815" s="7" t="s">
        <v>31</v>
      </c>
      <c r="D2815" s="7" t="str">
        <f>"曾春梅"</f>
        <v>曾春梅</v>
      </c>
      <c r="E2815" s="7" t="str">
        <f t="shared" si="128"/>
        <v>女</v>
      </c>
    </row>
    <row r="2816" spans="1:5" ht="30" customHeight="1">
      <c r="A2816" s="7">
        <v>2813</v>
      </c>
      <c r="B2816" s="7" t="str">
        <f>"38662022042110081625732"</f>
        <v>38662022042110081625732</v>
      </c>
      <c r="C2816" s="7" t="s">
        <v>32</v>
      </c>
      <c r="D2816" s="7" t="str">
        <f>"符惠媛"</f>
        <v>符惠媛</v>
      </c>
      <c r="E2816" s="7" t="str">
        <f t="shared" si="128"/>
        <v>女</v>
      </c>
    </row>
    <row r="2817" spans="1:5" ht="30" customHeight="1">
      <c r="A2817" s="7">
        <v>2814</v>
      </c>
      <c r="B2817" s="7" t="str">
        <f>"38662022042110453926205"</f>
        <v>38662022042110453926205</v>
      </c>
      <c r="C2817" s="7" t="s">
        <v>32</v>
      </c>
      <c r="D2817" s="7" t="str">
        <f>"刘志雯"</f>
        <v>刘志雯</v>
      </c>
      <c r="E2817" s="7" t="str">
        <f t="shared" si="128"/>
        <v>女</v>
      </c>
    </row>
    <row r="2818" spans="1:5" ht="30" customHeight="1">
      <c r="A2818" s="7">
        <v>2815</v>
      </c>
      <c r="B2818" s="7" t="str">
        <f>"38662022042111320826654"</f>
        <v>38662022042111320826654</v>
      </c>
      <c r="C2818" s="7" t="s">
        <v>32</v>
      </c>
      <c r="D2818" s="7" t="str">
        <f>"苏世琪"</f>
        <v>苏世琪</v>
      </c>
      <c r="E2818" s="7" t="str">
        <f t="shared" si="128"/>
        <v>女</v>
      </c>
    </row>
    <row r="2819" spans="1:5" ht="30" customHeight="1">
      <c r="A2819" s="7">
        <v>2816</v>
      </c>
      <c r="B2819" s="7" t="str">
        <f>"38662022042111362026696"</f>
        <v>38662022042111362026696</v>
      </c>
      <c r="C2819" s="7" t="s">
        <v>32</v>
      </c>
      <c r="D2819" s="7" t="str">
        <f>"吴思荧"</f>
        <v>吴思荧</v>
      </c>
      <c r="E2819" s="7" t="str">
        <f t="shared" si="128"/>
        <v>女</v>
      </c>
    </row>
    <row r="2820" spans="1:5" ht="30" customHeight="1">
      <c r="A2820" s="7">
        <v>2817</v>
      </c>
      <c r="B2820" s="7" t="str">
        <f>"38662022042113552927536"</f>
        <v>38662022042113552927536</v>
      </c>
      <c r="C2820" s="7" t="s">
        <v>32</v>
      </c>
      <c r="D2820" s="7" t="str">
        <f>"潘孝柳"</f>
        <v>潘孝柳</v>
      </c>
      <c r="E2820" s="7" t="str">
        <f t="shared" si="128"/>
        <v>女</v>
      </c>
    </row>
    <row r="2821" spans="1:5" ht="30" customHeight="1">
      <c r="A2821" s="7">
        <v>2818</v>
      </c>
      <c r="B2821" s="7" t="str">
        <f>"38662022042121265030185"</f>
        <v>38662022042121265030185</v>
      </c>
      <c r="C2821" s="7" t="s">
        <v>32</v>
      </c>
      <c r="D2821" s="7" t="str">
        <f>"羊阿燕"</f>
        <v>羊阿燕</v>
      </c>
      <c r="E2821" s="7" t="str">
        <f t="shared" si="128"/>
        <v>女</v>
      </c>
    </row>
    <row r="2822" spans="1:5" ht="30" customHeight="1">
      <c r="A2822" s="7">
        <v>2819</v>
      </c>
      <c r="B2822" s="7" t="str">
        <f>"38662022042123091130669"</f>
        <v>38662022042123091130669</v>
      </c>
      <c r="C2822" s="7" t="s">
        <v>32</v>
      </c>
      <c r="D2822" s="7" t="str">
        <f>"何琳"</f>
        <v>何琳</v>
      </c>
      <c r="E2822" s="7" t="str">
        <f t="shared" si="128"/>
        <v>女</v>
      </c>
    </row>
    <row r="2823" spans="1:5" ht="30" customHeight="1">
      <c r="A2823" s="7">
        <v>2820</v>
      </c>
      <c r="B2823" s="7" t="str">
        <f>"38662022042209031631136"</f>
        <v>38662022042209031631136</v>
      </c>
      <c r="C2823" s="7" t="s">
        <v>32</v>
      </c>
      <c r="D2823" s="7" t="str">
        <f>"李亚轻"</f>
        <v>李亚轻</v>
      </c>
      <c r="E2823" s="7" t="str">
        <f t="shared" si="128"/>
        <v>女</v>
      </c>
    </row>
    <row r="2824" spans="1:5" ht="30" customHeight="1">
      <c r="A2824" s="7">
        <v>2821</v>
      </c>
      <c r="B2824" s="7" t="str">
        <f>"38662022042211135231891"</f>
        <v>38662022042211135231891</v>
      </c>
      <c r="C2824" s="7" t="s">
        <v>32</v>
      </c>
      <c r="D2824" s="7" t="str">
        <f>"肖舒兰"</f>
        <v>肖舒兰</v>
      </c>
      <c r="E2824" s="7" t="str">
        <f t="shared" si="128"/>
        <v>女</v>
      </c>
    </row>
    <row r="2825" spans="1:5" ht="30" customHeight="1">
      <c r="A2825" s="7">
        <v>2822</v>
      </c>
      <c r="B2825" s="7" t="str">
        <f>"38662022042221102434595"</f>
        <v>38662022042221102434595</v>
      </c>
      <c r="C2825" s="7" t="s">
        <v>32</v>
      </c>
      <c r="D2825" s="7" t="str">
        <f>"麦浪江"</f>
        <v>麦浪江</v>
      </c>
      <c r="E2825" s="7" t="str">
        <f>"男"</f>
        <v>男</v>
      </c>
    </row>
    <row r="2826" spans="1:5" ht="30" customHeight="1">
      <c r="A2826" s="7">
        <v>2823</v>
      </c>
      <c r="B2826" s="7" t="str">
        <f>"38662022042222052934704"</f>
        <v>38662022042222052934704</v>
      </c>
      <c r="C2826" s="7" t="s">
        <v>32</v>
      </c>
      <c r="D2826" s="7" t="str">
        <f>"邢王秀"</f>
        <v>邢王秀</v>
      </c>
      <c r="E2826" s="7" t="str">
        <f>"男"</f>
        <v>男</v>
      </c>
    </row>
    <row r="2827" spans="1:5" ht="30" customHeight="1">
      <c r="A2827" s="7">
        <v>2824</v>
      </c>
      <c r="B2827" s="7" t="str">
        <f>"38662022042309442934977"</f>
        <v>38662022042309442934977</v>
      </c>
      <c r="C2827" s="7" t="s">
        <v>32</v>
      </c>
      <c r="D2827" s="7" t="str">
        <f>"李皎余"</f>
        <v>李皎余</v>
      </c>
      <c r="E2827" s="7" t="str">
        <f>"女"</f>
        <v>女</v>
      </c>
    </row>
    <row r="2828" spans="1:5" ht="30" customHeight="1">
      <c r="A2828" s="7">
        <v>2825</v>
      </c>
      <c r="B2828" s="7" t="str">
        <f>"38662022042313521335292"</f>
        <v>38662022042313521335292</v>
      </c>
      <c r="C2828" s="7" t="s">
        <v>32</v>
      </c>
      <c r="D2828" s="7" t="str">
        <f>"陈盛"</f>
        <v>陈盛</v>
      </c>
      <c r="E2828" s="7" t="str">
        <f>"男"</f>
        <v>男</v>
      </c>
    </row>
    <row r="2829" spans="1:5" ht="30" customHeight="1">
      <c r="A2829" s="7">
        <v>2826</v>
      </c>
      <c r="B2829" s="7" t="str">
        <f>"38662022042314204935340"</f>
        <v>38662022042314204935340</v>
      </c>
      <c r="C2829" s="7" t="s">
        <v>32</v>
      </c>
      <c r="D2829" s="7" t="str">
        <f>"李瑶"</f>
        <v>李瑶</v>
      </c>
      <c r="E2829" s="7" t="str">
        <f>"女"</f>
        <v>女</v>
      </c>
    </row>
    <row r="2830" spans="1:5" ht="30" customHeight="1">
      <c r="A2830" s="7">
        <v>2827</v>
      </c>
      <c r="B2830" s="7" t="str">
        <f>"38662022042320343435790"</f>
        <v>38662022042320343435790</v>
      </c>
      <c r="C2830" s="7" t="s">
        <v>32</v>
      </c>
      <c r="D2830" s="7" t="str">
        <f>"郭学聪"</f>
        <v>郭学聪</v>
      </c>
      <c r="E2830" s="7" t="str">
        <f>"男"</f>
        <v>男</v>
      </c>
    </row>
    <row r="2831" spans="1:5" ht="30" customHeight="1">
      <c r="A2831" s="7">
        <v>2828</v>
      </c>
      <c r="B2831" s="7" t="str">
        <f>"38662022042408195636172"</f>
        <v>38662022042408195636172</v>
      </c>
      <c r="C2831" s="7" t="s">
        <v>32</v>
      </c>
      <c r="D2831" s="7" t="str">
        <f>"温曼瑜"</f>
        <v>温曼瑜</v>
      </c>
      <c r="E2831" s="7" t="str">
        <f>"女"</f>
        <v>女</v>
      </c>
    </row>
    <row r="2832" spans="1:5" ht="30" customHeight="1">
      <c r="A2832" s="7">
        <v>2829</v>
      </c>
      <c r="B2832" s="7" t="str">
        <f>"38662022042409134636268"</f>
        <v>38662022042409134636268</v>
      </c>
      <c r="C2832" s="7" t="s">
        <v>32</v>
      </c>
      <c r="D2832" s="7" t="str">
        <f>"林敏澈"</f>
        <v>林敏澈</v>
      </c>
      <c r="E2832" s="7" t="str">
        <f>"男"</f>
        <v>男</v>
      </c>
    </row>
    <row r="2833" spans="1:5" ht="30" customHeight="1">
      <c r="A2833" s="7">
        <v>2830</v>
      </c>
      <c r="B2833" s="7" t="str">
        <f>"38662022042409153436272"</f>
        <v>38662022042409153436272</v>
      </c>
      <c r="C2833" s="7" t="s">
        <v>32</v>
      </c>
      <c r="D2833" s="7" t="str">
        <f>"陈石爱"</f>
        <v>陈石爱</v>
      </c>
      <c r="E2833" s="7" t="str">
        <f aca="true" t="shared" si="129" ref="E2833:E2838">"女"</f>
        <v>女</v>
      </c>
    </row>
    <row r="2834" spans="1:5" ht="30" customHeight="1">
      <c r="A2834" s="7">
        <v>2831</v>
      </c>
      <c r="B2834" s="7" t="str">
        <f>"38662022042409543036354"</f>
        <v>38662022042409543036354</v>
      </c>
      <c r="C2834" s="7" t="s">
        <v>32</v>
      </c>
      <c r="D2834" s="7" t="str">
        <f>"符秋虹"</f>
        <v>符秋虹</v>
      </c>
      <c r="E2834" s="7" t="str">
        <f t="shared" si="129"/>
        <v>女</v>
      </c>
    </row>
    <row r="2835" spans="1:5" ht="30" customHeight="1">
      <c r="A2835" s="7">
        <v>2832</v>
      </c>
      <c r="B2835" s="7" t="str">
        <f>"38662022042412403636657"</f>
        <v>38662022042412403636657</v>
      </c>
      <c r="C2835" s="7" t="s">
        <v>32</v>
      </c>
      <c r="D2835" s="7" t="str">
        <f>"周莹莹"</f>
        <v>周莹莹</v>
      </c>
      <c r="E2835" s="7" t="str">
        <f t="shared" si="129"/>
        <v>女</v>
      </c>
    </row>
    <row r="2836" spans="1:5" ht="30" customHeight="1">
      <c r="A2836" s="7">
        <v>2833</v>
      </c>
      <c r="B2836" s="7" t="str">
        <f>"38662022042413475236766"</f>
        <v>38662022042413475236766</v>
      </c>
      <c r="C2836" s="7" t="s">
        <v>32</v>
      </c>
      <c r="D2836" s="7" t="str">
        <f>"王韩雪"</f>
        <v>王韩雪</v>
      </c>
      <c r="E2836" s="7" t="str">
        <f t="shared" si="129"/>
        <v>女</v>
      </c>
    </row>
    <row r="2837" spans="1:5" ht="30" customHeight="1">
      <c r="A2837" s="7">
        <v>2834</v>
      </c>
      <c r="B2837" s="7" t="str">
        <f>"38662022042415053836863"</f>
        <v>38662022042415053836863</v>
      </c>
      <c r="C2837" s="7" t="s">
        <v>32</v>
      </c>
      <c r="D2837" s="7" t="str">
        <f>"蔡燕琼"</f>
        <v>蔡燕琼</v>
      </c>
      <c r="E2837" s="7" t="str">
        <f t="shared" si="129"/>
        <v>女</v>
      </c>
    </row>
    <row r="2838" spans="1:5" ht="30" customHeight="1">
      <c r="A2838" s="7">
        <v>2835</v>
      </c>
      <c r="B2838" s="7" t="str">
        <f>"38662022042510514538050"</f>
        <v>38662022042510514538050</v>
      </c>
      <c r="C2838" s="7" t="s">
        <v>32</v>
      </c>
      <c r="D2838" s="7" t="str">
        <f>"金贝"</f>
        <v>金贝</v>
      </c>
      <c r="E2838" s="7" t="str">
        <f t="shared" si="129"/>
        <v>女</v>
      </c>
    </row>
    <row r="2839" spans="1:5" ht="30" customHeight="1">
      <c r="A2839" s="7">
        <v>2836</v>
      </c>
      <c r="B2839" s="7" t="str">
        <f>"38662022042609412939229"</f>
        <v>38662022042609412939229</v>
      </c>
      <c r="C2839" s="7" t="s">
        <v>32</v>
      </c>
      <c r="D2839" s="7" t="str">
        <f>"卓英书"</f>
        <v>卓英书</v>
      </c>
      <c r="E2839" s="7" t="str">
        <f>"男"</f>
        <v>男</v>
      </c>
    </row>
    <row r="2840" spans="1:5" ht="30" customHeight="1">
      <c r="A2840" s="7">
        <v>2837</v>
      </c>
      <c r="B2840" s="7" t="str">
        <f>"38662022042618362739998"</f>
        <v>38662022042618362739998</v>
      </c>
      <c r="C2840" s="7" t="s">
        <v>32</v>
      </c>
      <c r="D2840" s="7" t="str">
        <f>"吴慧敏 "</f>
        <v>吴慧敏 </v>
      </c>
      <c r="E2840" s="7" t="str">
        <f aca="true" t="shared" si="130" ref="E2840:E2850">"女"</f>
        <v>女</v>
      </c>
    </row>
    <row r="2841" spans="1:5" ht="30" customHeight="1">
      <c r="A2841" s="7">
        <v>2838</v>
      </c>
      <c r="B2841" s="7" t="str">
        <f>"38662022042109563625580"</f>
        <v>38662022042109563625580</v>
      </c>
      <c r="C2841" s="7" t="s">
        <v>33</v>
      </c>
      <c r="D2841" s="7" t="str">
        <f>"韩恋"</f>
        <v>韩恋</v>
      </c>
      <c r="E2841" s="7" t="str">
        <f t="shared" si="130"/>
        <v>女</v>
      </c>
    </row>
    <row r="2842" spans="1:5" ht="30" customHeight="1">
      <c r="A2842" s="7">
        <v>2839</v>
      </c>
      <c r="B2842" s="7" t="str">
        <f>"38662022042109591525624"</f>
        <v>38662022042109591525624</v>
      </c>
      <c r="C2842" s="7" t="s">
        <v>33</v>
      </c>
      <c r="D2842" s="7" t="str">
        <f>"秦美玲"</f>
        <v>秦美玲</v>
      </c>
      <c r="E2842" s="7" t="str">
        <f t="shared" si="130"/>
        <v>女</v>
      </c>
    </row>
    <row r="2843" spans="1:5" ht="30" customHeight="1">
      <c r="A2843" s="7">
        <v>2840</v>
      </c>
      <c r="B2843" s="7" t="str">
        <f>"38662022042110231125922"</f>
        <v>38662022042110231125922</v>
      </c>
      <c r="C2843" s="7" t="s">
        <v>33</v>
      </c>
      <c r="D2843" s="7" t="str">
        <f>"王少葵"</f>
        <v>王少葵</v>
      </c>
      <c r="E2843" s="7" t="str">
        <f t="shared" si="130"/>
        <v>女</v>
      </c>
    </row>
    <row r="2844" spans="1:5" ht="30" customHeight="1">
      <c r="A2844" s="7">
        <v>2841</v>
      </c>
      <c r="B2844" s="7" t="str">
        <f>"38662022042110555126322"</f>
        <v>38662022042110555126322</v>
      </c>
      <c r="C2844" s="7" t="s">
        <v>33</v>
      </c>
      <c r="D2844" s="7" t="str">
        <f>"李袁晨馨"</f>
        <v>李袁晨馨</v>
      </c>
      <c r="E2844" s="7" t="str">
        <f t="shared" si="130"/>
        <v>女</v>
      </c>
    </row>
    <row r="2845" spans="1:5" ht="30" customHeight="1">
      <c r="A2845" s="7">
        <v>2842</v>
      </c>
      <c r="B2845" s="7" t="str">
        <f>"38662022042111292726633"</f>
        <v>38662022042111292726633</v>
      </c>
      <c r="C2845" s="7" t="s">
        <v>33</v>
      </c>
      <c r="D2845" s="7" t="str">
        <f>"唐慧"</f>
        <v>唐慧</v>
      </c>
      <c r="E2845" s="7" t="str">
        <f t="shared" si="130"/>
        <v>女</v>
      </c>
    </row>
    <row r="2846" spans="1:5" ht="30" customHeight="1">
      <c r="A2846" s="7">
        <v>2843</v>
      </c>
      <c r="B2846" s="7" t="str">
        <f>"38662022042112582327270"</f>
        <v>38662022042112582327270</v>
      </c>
      <c r="C2846" s="7" t="s">
        <v>33</v>
      </c>
      <c r="D2846" s="7" t="str">
        <f>"梁乾英"</f>
        <v>梁乾英</v>
      </c>
      <c r="E2846" s="7" t="str">
        <f t="shared" si="130"/>
        <v>女</v>
      </c>
    </row>
    <row r="2847" spans="1:5" ht="30" customHeight="1">
      <c r="A2847" s="7">
        <v>2844</v>
      </c>
      <c r="B2847" s="7" t="str">
        <f>"38662022042115462328363"</f>
        <v>38662022042115462328363</v>
      </c>
      <c r="C2847" s="7" t="s">
        <v>33</v>
      </c>
      <c r="D2847" s="7" t="str">
        <f>"吴清叶"</f>
        <v>吴清叶</v>
      </c>
      <c r="E2847" s="7" t="str">
        <f t="shared" si="130"/>
        <v>女</v>
      </c>
    </row>
    <row r="2848" spans="1:5" ht="30" customHeight="1">
      <c r="A2848" s="7">
        <v>2845</v>
      </c>
      <c r="B2848" s="7" t="str">
        <f>"38662022042116043028475"</f>
        <v>38662022042116043028475</v>
      </c>
      <c r="C2848" s="7" t="s">
        <v>33</v>
      </c>
      <c r="D2848" s="7" t="str">
        <f>"郑春花"</f>
        <v>郑春花</v>
      </c>
      <c r="E2848" s="7" t="str">
        <f t="shared" si="130"/>
        <v>女</v>
      </c>
    </row>
    <row r="2849" spans="1:5" ht="30" customHeight="1">
      <c r="A2849" s="7">
        <v>2846</v>
      </c>
      <c r="B2849" s="7" t="str">
        <f>"38662022042118450429383"</f>
        <v>38662022042118450429383</v>
      </c>
      <c r="C2849" s="7" t="s">
        <v>33</v>
      </c>
      <c r="D2849" s="7" t="str">
        <f>"李豫"</f>
        <v>李豫</v>
      </c>
      <c r="E2849" s="7" t="str">
        <f t="shared" si="130"/>
        <v>女</v>
      </c>
    </row>
    <row r="2850" spans="1:5" ht="30" customHeight="1">
      <c r="A2850" s="7">
        <v>2847</v>
      </c>
      <c r="B2850" s="7" t="str">
        <f>"38662022042222194234731"</f>
        <v>38662022042222194234731</v>
      </c>
      <c r="C2850" s="7" t="s">
        <v>33</v>
      </c>
      <c r="D2850" s="7" t="str">
        <f>"林金凤"</f>
        <v>林金凤</v>
      </c>
      <c r="E2850" s="7" t="str">
        <f t="shared" si="130"/>
        <v>女</v>
      </c>
    </row>
    <row r="2851" spans="1:5" ht="30" customHeight="1">
      <c r="A2851" s="7">
        <v>2848</v>
      </c>
      <c r="B2851" s="7" t="str">
        <f>"38662022042310442635057"</f>
        <v>38662022042310442635057</v>
      </c>
      <c r="C2851" s="7" t="s">
        <v>33</v>
      </c>
      <c r="D2851" s="7" t="str">
        <f>"王详"</f>
        <v>王详</v>
      </c>
      <c r="E2851" s="7" t="str">
        <f>"男"</f>
        <v>男</v>
      </c>
    </row>
    <row r="2852" spans="1:5" ht="30" customHeight="1">
      <c r="A2852" s="7">
        <v>2849</v>
      </c>
      <c r="B2852" s="7" t="str">
        <f>"38662022042311371235137"</f>
        <v>38662022042311371235137</v>
      </c>
      <c r="C2852" s="7" t="s">
        <v>33</v>
      </c>
      <c r="D2852" s="7" t="str">
        <f>"吴梅秋"</f>
        <v>吴梅秋</v>
      </c>
      <c r="E2852" s="7" t="str">
        <f aca="true" t="shared" si="131" ref="E2852:E2871">"女"</f>
        <v>女</v>
      </c>
    </row>
    <row r="2853" spans="1:5" ht="30" customHeight="1">
      <c r="A2853" s="7">
        <v>2850</v>
      </c>
      <c r="B2853" s="7" t="str">
        <f>"38662022042314203435339"</f>
        <v>38662022042314203435339</v>
      </c>
      <c r="C2853" s="7" t="s">
        <v>33</v>
      </c>
      <c r="D2853" s="7" t="str">
        <f>"李菲"</f>
        <v>李菲</v>
      </c>
      <c r="E2853" s="7" t="str">
        <f t="shared" si="131"/>
        <v>女</v>
      </c>
    </row>
    <row r="2854" spans="1:5" ht="30" customHeight="1">
      <c r="A2854" s="7">
        <v>2851</v>
      </c>
      <c r="B2854" s="7" t="str">
        <f>"38662022042410152536398"</f>
        <v>38662022042410152536398</v>
      </c>
      <c r="C2854" s="7" t="s">
        <v>33</v>
      </c>
      <c r="D2854" s="7" t="str">
        <f>"杨莉坤"</f>
        <v>杨莉坤</v>
      </c>
      <c r="E2854" s="7" t="str">
        <f t="shared" si="131"/>
        <v>女</v>
      </c>
    </row>
    <row r="2855" spans="1:5" ht="30" customHeight="1">
      <c r="A2855" s="7">
        <v>2852</v>
      </c>
      <c r="B2855" s="7" t="str">
        <f>"38662022042510493538047"</f>
        <v>38662022042510493538047</v>
      </c>
      <c r="C2855" s="7" t="s">
        <v>33</v>
      </c>
      <c r="D2855" s="7" t="str">
        <f>"谢金燕"</f>
        <v>谢金燕</v>
      </c>
      <c r="E2855" s="7" t="str">
        <f t="shared" si="131"/>
        <v>女</v>
      </c>
    </row>
    <row r="2856" spans="1:5" ht="30" customHeight="1">
      <c r="A2856" s="7">
        <v>2853</v>
      </c>
      <c r="B2856" s="7" t="str">
        <f>"38662022042518284038646"</f>
        <v>38662022042518284038646</v>
      </c>
      <c r="C2856" s="7" t="s">
        <v>33</v>
      </c>
      <c r="D2856" s="7" t="str">
        <f>"桂卫丽"</f>
        <v>桂卫丽</v>
      </c>
      <c r="E2856" s="7" t="str">
        <f t="shared" si="131"/>
        <v>女</v>
      </c>
    </row>
    <row r="2857" spans="1:5" ht="30" customHeight="1">
      <c r="A2857" s="7">
        <v>2854</v>
      </c>
      <c r="B2857" s="7" t="str">
        <f>"38662022042523235339016"</f>
        <v>38662022042523235339016</v>
      </c>
      <c r="C2857" s="7" t="s">
        <v>33</v>
      </c>
      <c r="D2857" s="7" t="str">
        <f>"赵日绵"</f>
        <v>赵日绵</v>
      </c>
      <c r="E2857" s="7" t="str">
        <f t="shared" si="131"/>
        <v>女</v>
      </c>
    </row>
    <row r="2858" spans="1:5" ht="30" customHeight="1">
      <c r="A2858" s="7">
        <v>2855</v>
      </c>
      <c r="B2858" s="7" t="str">
        <f>"38662022042613340639551"</f>
        <v>38662022042613340639551</v>
      </c>
      <c r="C2858" s="7" t="s">
        <v>33</v>
      </c>
      <c r="D2858" s="7" t="str">
        <f>"羊英瑛"</f>
        <v>羊英瑛</v>
      </c>
      <c r="E2858" s="7" t="str">
        <f t="shared" si="131"/>
        <v>女</v>
      </c>
    </row>
    <row r="2859" spans="1:5" ht="30" customHeight="1">
      <c r="A2859" s="7">
        <v>2856</v>
      </c>
      <c r="B2859" s="7" t="str">
        <f>"38662022042616502539861"</f>
        <v>38662022042616502539861</v>
      </c>
      <c r="C2859" s="7" t="s">
        <v>33</v>
      </c>
      <c r="D2859" s="7" t="str">
        <f>"符发琴"</f>
        <v>符发琴</v>
      </c>
      <c r="E2859" s="7" t="str">
        <f t="shared" si="131"/>
        <v>女</v>
      </c>
    </row>
    <row r="2860" spans="1:5" ht="30" customHeight="1">
      <c r="A2860" s="7">
        <v>2857</v>
      </c>
      <c r="B2860" s="7" t="str">
        <f>"38662022042622473440374"</f>
        <v>38662022042622473440374</v>
      </c>
      <c r="C2860" s="7" t="s">
        <v>33</v>
      </c>
      <c r="D2860" s="7" t="str">
        <f>"施敏"</f>
        <v>施敏</v>
      </c>
      <c r="E2860" s="7" t="str">
        <f t="shared" si="131"/>
        <v>女</v>
      </c>
    </row>
    <row r="2861" spans="1:5" ht="30" customHeight="1">
      <c r="A2861" s="7">
        <v>2858</v>
      </c>
      <c r="B2861" s="7" t="str">
        <f>"38662022042708142540587"</f>
        <v>38662022042708142540587</v>
      </c>
      <c r="C2861" s="7" t="s">
        <v>33</v>
      </c>
      <c r="D2861" s="7" t="str">
        <f>"郑庆燕"</f>
        <v>郑庆燕</v>
      </c>
      <c r="E2861" s="7" t="str">
        <f t="shared" si="131"/>
        <v>女</v>
      </c>
    </row>
    <row r="2862" spans="1:5" ht="30" customHeight="1">
      <c r="A2862" s="7">
        <v>2859</v>
      </c>
      <c r="B2862" s="7" t="str">
        <f>"38662022042712031542558"</f>
        <v>38662022042712031542558</v>
      </c>
      <c r="C2862" s="7" t="s">
        <v>33</v>
      </c>
      <c r="D2862" s="7" t="str">
        <f>"温王萍"</f>
        <v>温王萍</v>
      </c>
      <c r="E2862" s="7" t="str">
        <f t="shared" si="131"/>
        <v>女</v>
      </c>
    </row>
    <row r="2863" spans="1:5" ht="30" customHeight="1">
      <c r="A2863" s="7">
        <v>2860</v>
      </c>
      <c r="B2863" s="7" t="str">
        <f>"38662022042713135243024"</f>
        <v>38662022042713135243024</v>
      </c>
      <c r="C2863" s="7" t="s">
        <v>33</v>
      </c>
      <c r="D2863" s="7" t="str">
        <f>"佟海琪"</f>
        <v>佟海琪</v>
      </c>
      <c r="E2863" s="7" t="str">
        <f t="shared" si="131"/>
        <v>女</v>
      </c>
    </row>
    <row r="2864" spans="1:5" ht="30" customHeight="1">
      <c r="A2864" s="7">
        <v>2861</v>
      </c>
      <c r="B2864" s="7" t="str">
        <f>"38662022042716174144117"</f>
        <v>38662022042716174144117</v>
      </c>
      <c r="C2864" s="7" t="s">
        <v>33</v>
      </c>
      <c r="D2864" s="7" t="str">
        <f>"李媛"</f>
        <v>李媛</v>
      </c>
      <c r="E2864" s="7" t="str">
        <f t="shared" si="131"/>
        <v>女</v>
      </c>
    </row>
    <row r="2865" spans="1:5" ht="30" customHeight="1">
      <c r="A2865" s="7">
        <v>2862</v>
      </c>
      <c r="B2865" s="9" t="str">
        <f>"38662022042615325839702"</f>
        <v>38662022042615325839702</v>
      </c>
      <c r="C2865" s="9" t="s">
        <v>33</v>
      </c>
      <c r="D2865" s="9" t="str">
        <f>"李念珊"</f>
        <v>李念珊</v>
      </c>
      <c r="E2865" s="9" t="str">
        <f t="shared" si="131"/>
        <v>女</v>
      </c>
    </row>
    <row r="2866" spans="1:5" ht="30" customHeight="1">
      <c r="A2866" s="7">
        <v>2863</v>
      </c>
      <c r="B2866" s="7" t="str">
        <f>"38662022042109015524904"</f>
        <v>38662022042109015524904</v>
      </c>
      <c r="C2866" s="7" t="s">
        <v>34</v>
      </c>
      <c r="D2866" s="7" t="str">
        <f>"张火兰"</f>
        <v>张火兰</v>
      </c>
      <c r="E2866" s="7" t="str">
        <f t="shared" si="131"/>
        <v>女</v>
      </c>
    </row>
    <row r="2867" spans="1:5" ht="30" customHeight="1">
      <c r="A2867" s="7">
        <v>2864</v>
      </c>
      <c r="B2867" s="7" t="str">
        <f>"38662022042110514526284"</f>
        <v>38662022042110514526284</v>
      </c>
      <c r="C2867" s="7" t="s">
        <v>34</v>
      </c>
      <c r="D2867" s="7" t="str">
        <f>"关亦姝"</f>
        <v>关亦姝</v>
      </c>
      <c r="E2867" s="7" t="str">
        <f t="shared" si="131"/>
        <v>女</v>
      </c>
    </row>
    <row r="2868" spans="1:5" ht="30" customHeight="1">
      <c r="A2868" s="7">
        <v>2865</v>
      </c>
      <c r="B2868" s="7" t="str">
        <f>"38662022042111005226379"</f>
        <v>38662022042111005226379</v>
      </c>
      <c r="C2868" s="7" t="s">
        <v>34</v>
      </c>
      <c r="D2868" s="7" t="str">
        <f>"李皎旸"</f>
        <v>李皎旸</v>
      </c>
      <c r="E2868" s="7" t="str">
        <f t="shared" si="131"/>
        <v>女</v>
      </c>
    </row>
    <row r="2869" spans="1:5" ht="30" customHeight="1">
      <c r="A2869" s="7">
        <v>2866</v>
      </c>
      <c r="B2869" s="7" t="str">
        <f>"38662022042111563726882"</f>
        <v>38662022042111563726882</v>
      </c>
      <c r="C2869" s="7" t="s">
        <v>34</v>
      </c>
      <c r="D2869" s="7" t="str">
        <f>"黎惠娴"</f>
        <v>黎惠娴</v>
      </c>
      <c r="E2869" s="7" t="str">
        <f t="shared" si="131"/>
        <v>女</v>
      </c>
    </row>
    <row r="2870" spans="1:5" ht="30" customHeight="1">
      <c r="A2870" s="7">
        <v>2867</v>
      </c>
      <c r="B2870" s="7" t="str">
        <f>"38662022042115472328368"</f>
        <v>38662022042115472328368</v>
      </c>
      <c r="C2870" s="7" t="s">
        <v>34</v>
      </c>
      <c r="D2870" s="7" t="str">
        <f>"吴松金"</f>
        <v>吴松金</v>
      </c>
      <c r="E2870" s="7" t="str">
        <f t="shared" si="131"/>
        <v>女</v>
      </c>
    </row>
    <row r="2871" spans="1:5" ht="30" customHeight="1">
      <c r="A2871" s="7">
        <v>2868</v>
      </c>
      <c r="B2871" s="7" t="str">
        <f>"38662022042115475828371"</f>
        <v>38662022042115475828371</v>
      </c>
      <c r="C2871" s="7" t="s">
        <v>34</v>
      </c>
      <c r="D2871" s="7" t="str">
        <f>"许青青"</f>
        <v>许青青</v>
      </c>
      <c r="E2871" s="7" t="str">
        <f t="shared" si="131"/>
        <v>女</v>
      </c>
    </row>
    <row r="2872" spans="1:5" ht="30" customHeight="1">
      <c r="A2872" s="7">
        <v>2869</v>
      </c>
      <c r="B2872" s="7" t="str">
        <f>"38662022042115494428388"</f>
        <v>38662022042115494428388</v>
      </c>
      <c r="C2872" s="7" t="s">
        <v>34</v>
      </c>
      <c r="D2872" s="7" t="str">
        <f>"王培健"</f>
        <v>王培健</v>
      </c>
      <c r="E2872" s="7" t="str">
        <f>"男"</f>
        <v>男</v>
      </c>
    </row>
    <row r="2873" spans="1:5" ht="30" customHeight="1">
      <c r="A2873" s="7">
        <v>2870</v>
      </c>
      <c r="B2873" s="7" t="str">
        <f>"38662022042115514728404"</f>
        <v>38662022042115514728404</v>
      </c>
      <c r="C2873" s="7" t="s">
        <v>34</v>
      </c>
      <c r="D2873" s="7" t="str">
        <f>"林明兰"</f>
        <v>林明兰</v>
      </c>
      <c r="E2873" s="7" t="str">
        <f>"女"</f>
        <v>女</v>
      </c>
    </row>
    <row r="2874" spans="1:5" ht="30" customHeight="1">
      <c r="A2874" s="7">
        <v>2871</v>
      </c>
      <c r="B2874" s="7" t="str">
        <f>"38662022042117302029041"</f>
        <v>38662022042117302029041</v>
      </c>
      <c r="C2874" s="7" t="s">
        <v>34</v>
      </c>
      <c r="D2874" s="7" t="str">
        <f>"严东"</f>
        <v>严东</v>
      </c>
      <c r="E2874" s="7" t="str">
        <f>"男"</f>
        <v>男</v>
      </c>
    </row>
    <row r="2875" spans="1:5" ht="30" customHeight="1">
      <c r="A2875" s="7">
        <v>2872</v>
      </c>
      <c r="B2875" s="7" t="str">
        <f>"38662022042118155029268"</f>
        <v>38662022042118155029268</v>
      </c>
      <c r="C2875" s="7" t="s">
        <v>34</v>
      </c>
      <c r="D2875" s="7" t="str">
        <f>"吴传曼"</f>
        <v>吴传曼</v>
      </c>
      <c r="E2875" s="7" t="str">
        <f>"女"</f>
        <v>女</v>
      </c>
    </row>
    <row r="2876" spans="1:5" ht="30" customHeight="1">
      <c r="A2876" s="7">
        <v>2873</v>
      </c>
      <c r="B2876" s="7" t="str">
        <f>"38662022042209252631248"</f>
        <v>38662022042209252631248</v>
      </c>
      <c r="C2876" s="7" t="s">
        <v>34</v>
      </c>
      <c r="D2876" s="7" t="str">
        <f>"孙雪莹"</f>
        <v>孙雪莹</v>
      </c>
      <c r="E2876" s="7" t="str">
        <f>"女"</f>
        <v>女</v>
      </c>
    </row>
    <row r="2877" spans="1:5" ht="30" customHeight="1">
      <c r="A2877" s="7">
        <v>2874</v>
      </c>
      <c r="B2877" s="7" t="str">
        <f>"38662022042209311831277"</f>
        <v>38662022042209311831277</v>
      </c>
      <c r="C2877" s="7" t="s">
        <v>34</v>
      </c>
      <c r="D2877" s="7" t="str">
        <f>"张莉莉"</f>
        <v>张莉莉</v>
      </c>
      <c r="E2877" s="7" t="str">
        <f>"女"</f>
        <v>女</v>
      </c>
    </row>
    <row r="2878" spans="1:5" ht="30" customHeight="1">
      <c r="A2878" s="7">
        <v>2875</v>
      </c>
      <c r="B2878" s="7" t="str">
        <f>"38662022042212330232585"</f>
        <v>38662022042212330232585</v>
      </c>
      <c r="C2878" s="7" t="s">
        <v>34</v>
      </c>
      <c r="D2878" s="7" t="str">
        <f>"陈唐健"</f>
        <v>陈唐健</v>
      </c>
      <c r="E2878" s="7" t="str">
        <f>"男"</f>
        <v>男</v>
      </c>
    </row>
    <row r="2879" spans="1:5" ht="30" customHeight="1">
      <c r="A2879" s="7">
        <v>2876</v>
      </c>
      <c r="B2879" s="7" t="str">
        <f>"38662022042218383434303"</f>
        <v>38662022042218383434303</v>
      </c>
      <c r="C2879" s="7" t="s">
        <v>34</v>
      </c>
      <c r="D2879" s="7" t="str">
        <f>"姜琦"</f>
        <v>姜琦</v>
      </c>
      <c r="E2879" s="7" t="str">
        <f>"女"</f>
        <v>女</v>
      </c>
    </row>
    <row r="2880" spans="1:5" ht="30" customHeight="1">
      <c r="A2880" s="7">
        <v>2877</v>
      </c>
      <c r="B2880" s="7" t="str">
        <f>"38662022042221323234636"</f>
        <v>38662022042221323234636</v>
      </c>
      <c r="C2880" s="7" t="s">
        <v>34</v>
      </c>
      <c r="D2880" s="7" t="str">
        <f>"陈玉娟"</f>
        <v>陈玉娟</v>
      </c>
      <c r="E2880" s="7" t="str">
        <f>"女"</f>
        <v>女</v>
      </c>
    </row>
    <row r="2881" spans="1:5" ht="30" customHeight="1">
      <c r="A2881" s="7">
        <v>2878</v>
      </c>
      <c r="B2881" s="7" t="str">
        <f>"38662022042312065135180"</f>
        <v>38662022042312065135180</v>
      </c>
      <c r="C2881" s="7" t="s">
        <v>34</v>
      </c>
      <c r="D2881" s="7" t="str">
        <f>"黄永伟"</f>
        <v>黄永伟</v>
      </c>
      <c r="E2881" s="7" t="str">
        <f>"男"</f>
        <v>男</v>
      </c>
    </row>
    <row r="2882" spans="1:5" ht="30" customHeight="1">
      <c r="A2882" s="7">
        <v>2879</v>
      </c>
      <c r="B2882" s="7" t="str">
        <f>"38662022042312231135198"</f>
        <v>38662022042312231135198</v>
      </c>
      <c r="C2882" s="7" t="s">
        <v>34</v>
      </c>
      <c r="D2882" s="7" t="str">
        <f>"羊慧英"</f>
        <v>羊慧英</v>
      </c>
      <c r="E2882" s="7" t="str">
        <f>"女"</f>
        <v>女</v>
      </c>
    </row>
    <row r="2883" spans="1:5" ht="30" customHeight="1">
      <c r="A2883" s="7">
        <v>2880</v>
      </c>
      <c r="B2883" s="7" t="str">
        <f>"38662022042315370935430"</f>
        <v>38662022042315370935430</v>
      </c>
      <c r="C2883" s="7" t="s">
        <v>34</v>
      </c>
      <c r="D2883" s="7" t="str">
        <f>"陈有花"</f>
        <v>陈有花</v>
      </c>
      <c r="E2883" s="7" t="str">
        <f>"女"</f>
        <v>女</v>
      </c>
    </row>
    <row r="2884" spans="1:5" ht="30" customHeight="1">
      <c r="A2884" s="7">
        <v>2881</v>
      </c>
      <c r="B2884" s="7" t="str">
        <f>"38662022042322401236008"</f>
        <v>38662022042322401236008</v>
      </c>
      <c r="C2884" s="7" t="s">
        <v>34</v>
      </c>
      <c r="D2884" s="7" t="str">
        <f>"张淑娴"</f>
        <v>张淑娴</v>
      </c>
      <c r="E2884" s="7" t="str">
        <f>"女"</f>
        <v>女</v>
      </c>
    </row>
    <row r="2885" spans="1:5" ht="30" customHeight="1">
      <c r="A2885" s="7">
        <v>2882</v>
      </c>
      <c r="B2885" s="7" t="str">
        <f>"38662022042416563937126"</f>
        <v>38662022042416563937126</v>
      </c>
      <c r="C2885" s="7" t="s">
        <v>34</v>
      </c>
      <c r="D2885" s="7" t="str">
        <f>"王雪芳"</f>
        <v>王雪芳</v>
      </c>
      <c r="E2885" s="7" t="str">
        <f>"女"</f>
        <v>女</v>
      </c>
    </row>
    <row r="2886" spans="1:5" ht="30" customHeight="1">
      <c r="A2886" s="7">
        <v>2883</v>
      </c>
      <c r="B2886" s="7" t="str">
        <f>"38662022042516555238528"</f>
        <v>38662022042516555238528</v>
      </c>
      <c r="C2886" s="7" t="s">
        <v>34</v>
      </c>
      <c r="D2886" s="7" t="str">
        <f>"郑凤香"</f>
        <v>郑凤香</v>
      </c>
      <c r="E2886" s="7" t="str">
        <f>"女"</f>
        <v>女</v>
      </c>
    </row>
    <row r="2887" spans="1:5" ht="30" customHeight="1">
      <c r="A2887" s="7">
        <v>2884</v>
      </c>
      <c r="B2887" s="7" t="str">
        <f>"38662022042521425438884"</f>
        <v>38662022042521425438884</v>
      </c>
      <c r="C2887" s="7" t="s">
        <v>34</v>
      </c>
      <c r="D2887" s="7" t="str">
        <f>"王开明"</f>
        <v>王开明</v>
      </c>
      <c r="E2887" s="7" t="str">
        <f>"男"</f>
        <v>男</v>
      </c>
    </row>
    <row r="2888" spans="1:5" ht="30" customHeight="1">
      <c r="A2888" s="7">
        <v>2885</v>
      </c>
      <c r="B2888" s="7" t="str">
        <f>"38662022042609393439225"</f>
        <v>38662022042609393439225</v>
      </c>
      <c r="C2888" s="7" t="s">
        <v>34</v>
      </c>
      <c r="D2888" s="7" t="str">
        <f>"陈核"</f>
        <v>陈核</v>
      </c>
      <c r="E2888" s="7" t="str">
        <f>"女"</f>
        <v>女</v>
      </c>
    </row>
    <row r="2889" spans="1:5" ht="30" customHeight="1">
      <c r="A2889" s="7">
        <v>2886</v>
      </c>
      <c r="B2889" s="7" t="str">
        <f>"38662022042610122539276"</f>
        <v>38662022042610122539276</v>
      </c>
      <c r="C2889" s="7" t="s">
        <v>34</v>
      </c>
      <c r="D2889" s="7" t="str">
        <f>"刘涛"</f>
        <v>刘涛</v>
      </c>
      <c r="E2889" s="7" t="str">
        <f>"男"</f>
        <v>男</v>
      </c>
    </row>
    <row r="2890" spans="1:5" ht="30" customHeight="1">
      <c r="A2890" s="7">
        <v>2887</v>
      </c>
      <c r="B2890" s="7" t="str">
        <f>"38662022042618360839996"</f>
        <v>38662022042618360839996</v>
      </c>
      <c r="C2890" s="7" t="s">
        <v>34</v>
      </c>
      <c r="D2890" s="7" t="str">
        <f>"卢婷婷"</f>
        <v>卢婷婷</v>
      </c>
      <c r="E2890" s="7" t="str">
        <f aca="true" t="shared" si="132" ref="E2890:E2896">"女"</f>
        <v>女</v>
      </c>
    </row>
    <row r="2891" spans="1:5" ht="30" customHeight="1">
      <c r="A2891" s="7">
        <v>2888</v>
      </c>
      <c r="B2891" s="7" t="str">
        <f>"38662022042110232025927"</f>
        <v>38662022042110232025927</v>
      </c>
      <c r="C2891" s="7" t="s">
        <v>35</v>
      </c>
      <c r="D2891" s="7" t="str">
        <f>"林朝蕾"</f>
        <v>林朝蕾</v>
      </c>
      <c r="E2891" s="7" t="str">
        <f t="shared" si="132"/>
        <v>女</v>
      </c>
    </row>
    <row r="2892" spans="1:5" ht="30" customHeight="1">
      <c r="A2892" s="7">
        <v>2889</v>
      </c>
      <c r="B2892" s="7" t="str">
        <f>"38662022042110290526003"</f>
        <v>38662022042110290526003</v>
      </c>
      <c r="C2892" s="7" t="s">
        <v>35</v>
      </c>
      <c r="D2892" s="7" t="str">
        <f>"陆显任"</f>
        <v>陆显任</v>
      </c>
      <c r="E2892" s="7" t="str">
        <f t="shared" si="132"/>
        <v>女</v>
      </c>
    </row>
    <row r="2893" spans="1:5" ht="30" customHeight="1">
      <c r="A2893" s="7">
        <v>2890</v>
      </c>
      <c r="B2893" s="7" t="str">
        <f>"38662022042113111327353"</f>
        <v>38662022042113111327353</v>
      </c>
      <c r="C2893" s="7" t="s">
        <v>35</v>
      </c>
      <c r="D2893" s="7" t="str">
        <f>"呼茜"</f>
        <v>呼茜</v>
      </c>
      <c r="E2893" s="7" t="str">
        <f t="shared" si="132"/>
        <v>女</v>
      </c>
    </row>
    <row r="2894" spans="1:5" ht="30" customHeight="1">
      <c r="A2894" s="7">
        <v>2891</v>
      </c>
      <c r="B2894" s="7" t="str">
        <f>"38662022042116232528618"</f>
        <v>38662022042116232528618</v>
      </c>
      <c r="C2894" s="7" t="s">
        <v>35</v>
      </c>
      <c r="D2894" s="7" t="str">
        <f>"万碧娥"</f>
        <v>万碧娥</v>
      </c>
      <c r="E2894" s="7" t="str">
        <f t="shared" si="132"/>
        <v>女</v>
      </c>
    </row>
    <row r="2895" spans="1:5" ht="30" customHeight="1">
      <c r="A2895" s="7">
        <v>2892</v>
      </c>
      <c r="B2895" s="7" t="str">
        <f>"38662022042120362629906"</f>
        <v>38662022042120362629906</v>
      </c>
      <c r="C2895" s="7" t="s">
        <v>35</v>
      </c>
      <c r="D2895" s="7" t="str">
        <f>"陈思婵"</f>
        <v>陈思婵</v>
      </c>
      <c r="E2895" s="7" t="str">
        <f t="shared" si="132"/>
        <v>女</v>
      </c>
    </row>
    <row r="2896" spans="1:5" ht="30" customHeight="1">
      <c r="A2896" s="7">
        <v>2893</v>
      </c>
      <c r="B2896" s="7" t="str">
        <f>"38662022042120561930012"</f>
        <v>38662022042120561930012</v>
      </c>
      <c r="C2896" s="7" t="s">
        <v>35</v>
      </c>
      <c r="D2896" s="7" t="str">
        <f>"温呈桦"</f>
        <v>温呈桦</v>
      </c>
      <c r="E2896" s="7" t="str">
        <f t="shared" si="132"/>
        <v>女</v>
      </c>
    </row>
    <row r="2897" spans="1:5" ht="30" customHeight="1">
      <c r="A2897" s="7">
        <v>2894</v>
      </c>
      <c r="B2897" s="7" t="str">
        <f>"38662022042122053730394"</f>
        <v>38662022042122053730394</v>
      </c>
      <c r="C2897" s="7" t="s">
        <v>35</v>
      </c>
      <c r="D2897" s="7" t="str">
        <f>"周振誉"</f>
        <v>周振誉</v>
      </c>
      <c r="E2897" s="7" t="str">
        <f>"男"</f>
        <v>男</v>
      </c>
    </row>
    <row r="2898" spans="1:5" ht="30" customHeight="1">
      <c r="A2898" s="7">
        <v>2895</v>
      </c>
      <c r="B2898" s="7" t="str">
        <f>"38662022042220084134483"</f>
        <v>38662022042220084134483</v>
      </c>
      <c r="C2898" s="7" t="s">
        <v>35</v>
      </c>
      <c r="D2898" s="7" t="str">
        <f>"曾月香"</f>
        <v>曾月香</v>
      </c>
      <c r="E2898" s="7" t="str">
        <f aca="true" t="shared" si="133" ref="E2898:E2909">"女"</f>
        <v>女</v>
      </c>
    </row>
    <row r="2899" spans="1:5" ht="30" customHeight="1">
      <c r="A2899" s="7">
        <v>2896</v>
      </c>
      <c r="B2899" s="7" t="str">
        <f>"38662022042221565734689"</f>
        <v>38662022042221565734689</v>
      </c>
      <c r="C2899" s="7" t="s">
        <v>35</v>
      </c>
      <c r="D2899" s="7" t="str">
        <f>"邓秋霞"</f>
        <v>邓秋霞</v>
      </c>
      <c r="E2899" s="7" t="str">
        <f t="shared" si="133"/>
        <v>女</v>
      </c>
    </row>
    <row r="2900" spans="1:5" ht="30" customHeight="1">
      <c r="A2900" s="7">
        <v>2897</v>
      </c>
      <c r="B2900" s="7" t="str">
        <f>"38662022042322041035943"</f>
        <v>38662022042322041035943</v>
      </c>
      <c r="C2900" s="7" t="s">
        <v>35</v>
      </c>
      <c r="D2900" s="7" t="str">
        <f>"符文丽"</f>
        <v>符文丽</v>
      </c>
      <c r="E2900" s="7" t="str">
        <f t="shared" si="133"/>
        <v>女</v>
      </c>
    </row>
    <row r="2901" spans="1:5" ht="30" customHeight="1">
      <c r="A2901" s="7">
        <v>2898</v>
      </c>
      <c r="B2901" s="7" t="str">
        <f>"38662022042414543436845"</f>
        <v>38662022042414543436845</v>
      </c>
      <c r="C2901" s="7" t="s">
        <v>35</v>
      </c>
      <c r="D2901" s="7" t="str">
        <f>"陈婉芬"</f>
        <v>陈婉芬</v>
      </c>
      <c r="E2901" s="7" t="str">
        <f t="shared" si="133"/>
        <v>女</v>
      </c>
    </row>
    <row r="2902" spans="1:5" ht="30" customHeight="1">
      <c r="A2902" s="7">
        <v>2899</v>
      </c>
      <c r="B2902" s="7" t="str">
        <f>"38662022042416421337094"</f>
        <v>38662022042416421337094</v>
      </c>
      <c r="C2902" s="7" t="s">
        <v>35</v>
      </c>
      <c r="D2902" s="7" t="str">
        <f>"黎万霞"</f>
        <v>黎万霞</v>
      </c>
      <c r="E2902" s="7" t="str">
        <f t="shared" si="133"/>
        <v>女</v>
      </c>
    </row>
    <row r="2903" spans="1:5" ht="30" customHeight="1">
      <c r="A2903" s="7">
        <v>2900</v>
      </c>
      <c r="B2903" s="7" t="str">
        <f>"38662022042516222238478"</f>
        <v>38662022042516222238478</v>
      </c>
      <c r="C2903" s="7" t="s">
        <v>35</v>
      </c>
      <c r="D2903" s="7" t="str">
        <f>"邢高雅"</f>
        <v>邢高雅</v>
      </c>
      <c r="E2903" s="7" t="str">
        <f t="shared" si="133"/>
        <v>女</v>
      </c>
    </row>
    <row r="2904" spans="1:5" ht="30" customHeight="1">
      <c r="A2904" s="7">
        <v>2901</v>
      </c>
      <c r="B2904" s="7" t="str">
        <f>"38662022042601424539090"</f>
        <v>38662022042601424539090</v>
      </c>
      <c r="C2904" s="7" t="s">
        <v>35</v>
      </c>
      <c r="D2904" s="7" t="str">
        <f>"张美玲"</f>
        <v>张美玲</v>
      </c>
      <c r="E2904" s="7" t="str">
        <f t="shared" si="133"/>
        <v>女</v>
      </c>
    </row>
    <row r="2905" spans="1:5" ht="30" customHeight="1">
      <c r="A2905" s="7">
        <v>2902</v>
      </c>
      <c r="B2905" s="7" t="str">
        <f>"38662022042613061139523"</f>
        <v>38662022042613061139523</v>
      </c>
      <c r="C2905" s="7" t="s">
        <v>35</v>
      </c>
      <c r="D2905" s="7" t="str">
        <f>"朱美妃"</f>
        <v>朱美妃</v>
      </c>
      <c r="E2905" s="7" t="str">
        <f t="shared" si="133"/>
        <v>女</v>
      </c>
    </row>
    <row r="2906" spans="1:5" ht="30" customHeight="1">
      <c r="A2906" s="7">
        <v>2903</v>
      </c>
      <c r="B2906" s="7" t="str">
        <f>"38662022042616442439849"</f>
        <v>38662022042616442439849</v>
      </c>
      <c r="C2906" s="7" t="s">
        <v>35</v>
      </c>
      <c r="D2906" s="7" t="str">
        <f>"王爱霞"</f>
        <v>王爱霞</v>
      </c>
      <c r="E2906" s="7" t="str">
        <f t="shared" si="133"/>
        <v>女</v>
      </c>
    </row>
    <row r="2907" spans="1:5" ht="30" customHeight="1">
      <c r="A2907" s="7">
        <v>2904</v>
      </c>
      <c r="B2907" s="7" t="str">
        <f>"38662022042619172240038"</f>
        <v>38662022042619172240038</v>
      </c>
      <c r="C2907" s="7" t="s">
        <v>35</v>
      </c>
      <c r="D2907" s="7" t="str">
        <f>"陈雨欣"</f>
        <v>陈雨欣</v>
      </c>
      <c r="E2907" s="7" t="str">
        <f t="shared" si="133"/>
        <v>女</v>
      </c>
    </row>
    <row r="2908" spans="1:5" ht="30" customHeight="1">
      <c r="A2908" s="7">
        <v>2905</v>
      </c>
      <c r="B2908" s="7" t="str">
        <f>"38662022042622261840335"</f>
        <v>38662022042622261840335</v>
      </c>
      <c r="C2908" s="7" t="s">
        <v>35</v>
      </c>
      <c r="D2908" s="7" t="str">
        <f>"邢晓颖"</f>
        <v>邢晓颖</v>
      </c>
      <c r="E2908" s="7" t="str">
        <f t="shared" si="133"/>
        <v>女</v>
      </c>
    </row>
    <row r="2909" spans="1:5" ht="30" customHeight="1">
      <c r="A2909" s="7">
        <v>2906</v>
      </c>
      <c r="B2909" s="7" t="str">
        <f>"38662022042109175725101"</f>
        <v>38662022042109175725101</v>
      </c>
      <c r="C2909" s="7" t="s">
        <v>36</v>
      </c>
      <c r="D2909" s="7" t="str">
        <f>"王晓娜"</f>
        <v>王晓娜</v>
      </c>
      <c r="E2909" s="7" t="str">
        <f t="shared" si="133"/>
        <v>女</v>
      </c>
    </row>
    <row r="2910" spans="1:5" ht="30" customHeight="1">
      <c r="A2910" s="7">
        <v>2907</v>
      </c>
      <c r="B2910" s="7" t="str">
        <f>"38662022042109253725187"</f>
        <v>38662022042109253725187</v>
      </c>
      <c r="C2910" s="7" t="s">
        <v>36</v>
      </c>
      <c r="D2910" s="7" t="str">
        <f>"符超全"</f>
        <v>符超全</v>
      </c>
      <c r="E2910" s="7" t="str">
        <f>"男"</f>
        <v>男</v>
      </c>
    </row>
    <row r="2911" spans="1:5" ht="30" customHeight="1">
      <c r="A2911" s="7">
        <v>2908</v>
      </c>
      <c r="B2911" s="7" t="str">
        <f>"38662022042109595125631"</f>
        <v>38662022042109595125631</v>
      </c>
      <c r="C2911" s="7" t="s">
        <v>36</v>
      </c>
      <c r="D2911" s="7" t="str">
        <f>"张新干"</f>
        <v>张新干</v>
      </c>
      <c r="E2911" s="7" t="str">
        <f>"男"</f>
        <v>男</v>
      </c>
    </row>
    <row r="2912" spans="1:5" ht="30" customHeight="1">
      <c r="A2912" s="7">
        <v>2909</v>
      </c>
      <c r="B2912" s="7" t="str">
        <f>"38662022042115031727988"</f>
        <v>38662022042115031727988</v>
      </c>
      <c r="C2912" s="7" t="s">
        <v>36</v>
      </c>
      <c r="D2912" s="7" t="str">
        <f>"何长浪"</f>
        <v>何长浪</v>
      </c>
      <c r="E2912" s="7" t="str">
        <f>"男"</f>
        <v>男</v>
      </c>
    </row>
    <row r="2913" spans="1:5" ht="30" customHeight="1">
      <c r="A2913" s="7">
        <v>2910</v>
      </c>
      <c r="B2913" s="7" t="str">
        <f>"38662022042115161428114"</f>
        <v>38662022042115161428114</v>
      </c>
      <c r="C2913" s="7" t="s">
        <v>36</v>
      </c>
      <c r="D2913" s="7" t="str">
        <f>"崔丽珠"</f>
        <v>崔丽珠</v>
      </c>
      <c r="E2913" s="7" t="str">
        <f>"女"</f>
        <v>女</v>
      </c>
    </row>
    <row r="2914" spans="1:5" ht="30" customHeight="1">
      <c r="A2914" s="7">
        <v>2911</v>
      </c>
      <c r="B2914" s="7" t="str">
        <f>"38662022042120110529768"</f>
        <v>38662022042120110529768</v>
      </c>
      <c r="C2914" s="7" t="s">
        <v>36</v>
      </c>
      <c r="D2914" s="7" t="str">
        <f>"周水连"</f>
        <v>周水连</v>
      </c>
      <c r="E2914" s="7" t="str">
        <f>"女"</f>
        <v>女</v>
      </c>
    </row>
    <row r="2915" spans="1:5" ht="30" customHeight="1">
      <c r="A2915" s="7">
        <v>2912</v>
      </c>
      <c r="B2915" s="7" t="str">
        <f>"38662022042120131629779"</f>
        <v>38662022042120131629779</v>
      </c>
      <c r="C2915" s="7" t="s">
        <v>36</v>
      </c>
      <c r="D2915" s="7" t="str">
        <f>"罗冬强"</f>
        <v>罗冬强</v>
      </c>
      <c r="E2915" s="7" t="str">
        <f>"女"</f>
        <v>女</v>
      </c>
    </row>
    <row r="2916" spans="1:5" ht="30" customHeight="1">
      <c r="A2916" s="7">
        <v>2913</v>
      </c>
      <c r="B2916" s="7" t="str">
        <f>"38662022042120293829863"</f>
        <v>38662022042120293829863</v>
      </c>
      <c r="C2916" s="7" t="s">
        <v>36</v>
      </c>
      <c r="D2916" s="7" t="str">
        <f>"陈盛平"</f>
        <v>陈盛平</v>
      </c>
      <c r="E2916" s="7" t="str">
        <f>"男"</f>
        <v>男</v>
      </c>
    </row>
    <row r="2917" spans="1:5" ht="30" customHeight="1">
      <c r="A2917" s="7">
        <v>2914</v>
      </c>
      <c r="B2917" s="7" t="str">
        <f>"38662022042120425729945"</f>
        <v>38662022042120425729945</v>
      </c>
      <c r="C2917" s="7" t="s">
        <v>36</v>
      </c>
      <c r="D2917" s="7" t="str">
        <f>"陈秋榄"</f>
        <v>陈秋榄</v>
      </c>
      <c r="E2917" s="7" t="str">
        <f>"女"</f>
        <v>女</v>
      </c>
    </row>
    <row r="2918" spans="1:5" ht="30" customHeight="1">
      <c r="A2918" s="7">
        <v>2915</v>
      </c>
      <c r="B2918" s="7" t="str">
        <f>"38662022042210220031587"</f>
        <v>38662022042210220031587</v>
      </c>
      <c r="C2918" s="7" t="s">
        <v>36</v>
      </c>
      <c r="D2918" s="7" t="str">
        <f>"吴秋容"</f>
        <v>吴秋容</v>
      </c>
      <c r="E2918" s="7" t="str">
        <f>"女"</f>
        <v>女</v>
      </c>
    </row>
    <row r="2919" spans="1:5" ht="30" customHeight="1">
      <c r="A2919" s="7">
        <v>2916</v>
      </c>
      <c r="B2919" s="7" t="str">
        <f>"38662022042215382933399"</f>
        <v>38662022042215382933399</v>
      </c>
      <c r="C2919" s="7" t="s">
        <v>36</v>
      </c>
      <c r="D2919" s="7" t="str">
        <f>"邹健峰"</f>
        <v>邹健峰</v>
      </c>
      <c r="E2919" s="7" t="str">
        <f>"男"</f>
        <v>男</v>
      </c>
    </row>
    <row r="2920" spans="1:5" ht="30" customHeight="1">
      <c r="A2920" s="7">
        <v>2917</v>
      </c>
      <c r="B2920" s="7" t="str">
        <f>"38662022042217471634160"</f>
        <v>38662022042217471634160</v>
      </c>
      <c r="C2920" s="7" t="s">
        <v>36</v>
      </c>
      <c r="D2920" s="7" t="str">
        <f>"陈海瑞"</f>
        <v>陈海瑞</v>
      </c>
      <c r="E2920" s="7" t="str">
        <f>"男"</f>
        <v>男</v>
      </c>
    </row>
    <row r="2921" spans="1:5" ht="30" customHeight="1">
      <c r="A2921" s="7">
        <v>2918</v>
      </c>
      <c r="B2921" s="7" t="str">
        <f>"38662022042222310234744"</f>
        <v>38662022042222310234744</v>
      </c>
      <c r="C2921" s="7" t="s">
        <v>36</v>
      </c>
      <c r="D2921" s="7" t="str">
        <f>"王小映"</f>
        <v>王小映</v>
      </c>
      <c r="E2921" s="7" t="str">
        <f>"女"</f>
        <v>女</v>
      </c>
    </row>
    <row r="2922" spans="1:5" ht="30" customHeight="1">
      <c r="A2922" s="7">
        <v>2919</v>
      </c>
      <c r="B2922" s="7" t="str">
        <f>"38662022042308200334902"</f>
        <v>38662022042308200334902</v>
      </c>
      <c r="C2922" s="7" t="s">
        <v>36</v>
      </c>
      <c r="D2922" s="7" t="str">
        <f>"符露娜"</f>
        <v>符露娜</v>
      </c>
      <c r="E2922" s="7" t="str">
        <f>"女"</f>
        <v>女</v>
      </c>
    </row>
    <row r="2923" spans="1:5" ht="30" customHeight="1">
      <c r="A2923" s="7">
        <v>2920</v>
      </c>
      <c r="B2923" s="7" t="str">
        <f>"38662022042312245835200"</f>
        <v>38662022042312245835200</v>
      </c>
      <c r="C2923" s="7" t="s">
        <v>36</v>
      </c>
      <c r="D2923" s="7" t="str">
        <f>"黎丽萍"</f>
        <v>黎丽萍</v>
      </c>
      <c r="E2923" s="7" t="str">
        <f>"女"</f>
        <v>女</v>
      </c>
    </row>
    <row r="2924" spans="1:5" ht="30" customHeight="1">
      <c r="A2924" s="7">
        <v>2921</v>
      </c>
      <c r="B2924" s="7" t="str">
        <f>"38662022042413280736744"</f>
        <v>38662022042413280736744</v>
      </c>
      <c r="C2924" s="7" t="s">
        <v>36</v>
      </c>
      <c r="D2924" s="7" t="str">
        <f>"郭坤女"</f>
        <v>郭坤女</v>
      </c>
      <c r="E2924" s="7" t="str">
        <f>"女"</f>
        <v>女</v>
      </c>
    </row>
    <row r="2925" spans="1:5" ht="30" customHeight="1">
      <c r="A2925" s="7">
        <v>2922</v>
      </c>
      <c r="B2925" s="7" t="str">
        <f>"38662022042423212937723"</f>
        <v>38662022042423212937723</v>
      </c>
      <c r="C2925" s="7" t="s">
        <v>36</v>
      </c>
      <c r="D2925" s="7" t="str">
        <f>"莫小玲"</f>
        <v>莫小玲</v>
      </c>
      <c r="E2925" s="7" t="str">
        <f>"女"</f>
        <v>女</v>
      </c>
    </row>
    <row r="2926" spans="1:5" ht="30" customHeight="1">
      <c r="A2926" s="7">
        <v>2923</v>
      </c>
      <c r="B2926" s="7" t="str">
        <f>"38662022042507550037797"</f>
        <v>38662022042507550037797</v>
      </c>
      <c r="C2926" s="7" t="s">
        <v>36</v>
      </c>
      <c r="D2926" s="7" t="str">
        <f>"林升恒"</f>
        <v>林升恒</v>
      </c>
      <c r="E2926" s="7" t="str">
        <f>"男"</f>
        <v>男</v>
      </c>
    </row>
    <row r="2927" spans="1:5" ht="30" customHeight="1">
      <c r="A2927" s="7">
        <v>2924</v>
      </c>
      <c r="B2927" s="7" t="str">
        <f>"38662022042515421338412"</f>
        <v>38662022042515421338412</v>
      </c>
      <c r="C2927" s="7" t="s">
        <v>36</v>
      </c>
      <c r="D2927" s="7" t="str">
        <f>"曾秀燕"</f>
        <v>曾秀燕</v>
      </c>
      <c r="E2927" s="7" t="str">
        <f aca="true" t="shared" si="134" ref="E2927:E2932">"女"</f>
        <v>女</v>
      </c>
    </row>
    <row r="2928" spans="1:5" ht="30" customHeight="1">
      <c r="A2928" s="7">
        <v>2925</v>
      </c>
      <c r="B2928" s="7" t="str">
        <f>"38662022042515475638428"</f>
        <v>38662022042515475638428</v>
      </c>
      <c r="C2928" s="7" t="s">
        <v>36</v>
      </c>
      <c r="D2928" s="7" t="str">
        <f>"陈秋可"</f>
        <v>陈秋可</v>
      </c>
      <c r="E2928" s="7" t="str">
        <f t="shared" si="134"/>
        <v>女</v>
      </c>
    </row>
    <row r="2929" spans="1:5" ht="30" customHeight="1">
      <c r="A2929" s="7">
        <v>2926</v>
      </c>
      <c r="B2929" s="7" t="str">
        <f>"38662022042517290138580"</f>
        <v>38662022042517290138580</v>
      </c>
      <c r="C2929" s="7" t="s">
        <v>36</v>
      </c>
      <c r="D2929" s="7" t="str">
        <f>"何丽燕"</f>
        <v>何丽燕</v>
      </c>
      <c r="E2929" s="7" t="str">
        <f t="shared" si="134"/>
        <v>女</v>
      </c>
    </row>
    <row r="2930" spans="1:5" ht="30" customHeight="1">
      <c r="A2930" s="7">
        <v>2927</v>
      </c>
      <c r="B2930" s="7" t="str">
        <f>"38662022042522320638955"</f>
        <v>38662022042522320638955</v>
      </c>
      <c r="C2930" s="7" t="s">
        <v>36</v>
      </c>
      <c r="D2930" s="7" t="str">
        <f>"王心莹"</f>
        <v>王心莹</v>
      </c>
      <c r="E2930" s="7" t="str">
        <f t="shared" si="134"/>
        <v>女</v>
      </c>
    </row>
    <row r="2931" spans="1:5" ht="30" customHeight="1">
      <c r="A2931" s="7">
        <v>2928</v>
      </c>
      <c r="B2931" s="7" t="str">
        <f>"38662022042618285839984"</f>
        <v>38662022042618285839984</v>
      </c>
      <c r="C2931" s="7" t="s">
        <v>36</v>
      </c>
      <c r="D2931" s="7" t="str">
        <f>"赵红艳"</f>
        <v>赵红艳</v>
      </c>
      <c r="E2931" s="7" t="str">
        <f t="shared" si="134"/>
        <v>女</v>
      </c>
    </row>
    <row r="2932" spans="1:5" ht="30" customHeight="1">
      <c r="A2932" s="7">
        <v>2929</v>
      </c>
      <c r="B2932" s="7" t="str">
        <f>"38662022042713410743176"</f>
        <v>38662022042713410743176</v>
      </c>
      <c r="C2932" s="7" t="s">
        <v>36</v>
      </c>
      <c r="D2932" s="7" t="str">
        <f>"林苏夏"</f>
        <v>林苏夏</v>
      </c>
      <c r="E2932" s="7" t="str">
        <f t="shared" si="134"/>
        <v>女</v>
      </c>
    </row>
    <row r="2933" spans="1:5" ht="30" customHeight="1">
      <c r="A2933" s="7">
        <v>2930</v>
      </c>
      <c r="B2933" s="7" t="str">
        <f>"38662022042109325225276"</f>
        <v>38662022042109325225276</v>
      </c>
      <c r="C2933" s="7" t="s">
        <v>37</v>
      </c>
      <c r="D2933" s="7" t="str">
        <f>"张天庆"</f>
        <v>张天庆</v>
      </c>
      <c r="E2933" s="7" t="str">
        <f>"男"</f>
        <v>男</v>
      </c>
    </row>
    <row r="2934" spans="1:5" ht="30" customHeight="1">
      <c r="A2934" s="7">
        <v>2931</v>
      </c>
      <c r="B2934" s="7" t="str">
        <f>"38662022042109340425292"</f>
        <v>38662022042109340425292</v>
      </c>
      <c r="C2934" s="7" t="s">
        <v>37</v>
      </c>
      <c r="D2934" s="7" t="str">
        <f>"肖丙璐"</f>
        <v>肖丙璐</v>
      </c>
      <c r="E2934" s="7" t="str">
        <f>"男"</f>
        <v>男</v>
      </c>
    </row>
    <row r="2935" spans="1:5" ht="30" customHeight="1">
      <c r="A2935" s="7">
        <v>2932</v>
      </c>
      <c r="B2935" s="7" t="str">
        <f>"38662022042109461525438"</f>
        <v>38662022042109461525438</v>
      </c>
      <c r="C2935" s="7" t="s">
        <v>37</v>
      </c>
      <c r="D2935" s="7" t="str">
        <f>"李汉光"</f>
        <v>李汉光</v>
      </c>
      <c r="E2935" s="7" t="str">
        <f>"男"</f>
        <v>男</v>
      </c>
    </row>
    <row r="2936" spans="1:5" ht="30" customHeight="1">
      <c r="A2936" s="7">
        <v>2933</v>
      </c>
      <c r="B2936" s="7" t="str">
        <f>"38662022042110290326002"</f>
        <v>38662022042110290326002</v>
      </c>
      <c r="C2936" s="7" t="s">
        <v>37</v>
      </c>
      <c r="D2936" s="7" t="str">
        <f>"王如玉"</f>
        <v>王如玉</v>
      </c>
      <c r="E2936" s="7" t="str">
        <f>"女"</f>
        <v>女</v>
      </c>
    </row>
    <row r="2937" spans="1:5" ht="30" customHeight="1">
      <c r="A2937" s="7">
        <v>2934</v>
      </c>
      <c r="B2937" s="7" t="str">
        <f>"38662022042110355026080"</f>
        <v>38662022042110355026080</v>
      </c>
      <c r="C2937" s="7" t="s">
        <v>37</v>
      </c>
      <c r="D2937" s="7" t="str">
        <f>"符友款"</f>
        <v>符友款</v>
      </c>
      <c r="E2937" s="7" t="str">
        <f>"男"</f>
        <v>男</v>
      </c>
    </row>
    <row r="2938" spans="1:5" ht="30" customHeight="1">
      <c r="A2938" s="7">
        <v>2935</v>
      </c>
      <c r="B2938" s="7" t="str">
        <f>"38662022042110395126127"</f>
        <v>38662022042110395126127</v>
      </c>
      <c r="C2938" s="7" t="s">
        <v>37</v>
      </c>
      <c r="D2938" s="7" t="str">
        <f>"林明旺"</f>
        <v>林明旺</v>
      </c>
      <c r="E2938" s="7" t="str">
        <f>"男"</f>
        <v>男</v>
      </c>
    </row>
    <row r="2939" spans="1:5" ht="30" customHeight="1">
      <c r="A2939" s="7">
        <v>2936</v>
      </c>
      <c r="B2939" s="7" t="str">
        <f>"38662022042110535326303"</f>
        <v>38662022042110535326303</v>
      </c>
      <c r="C2939" s="7" t="s">
        <v>37</v>
      </c>
      <c r="D2939" s="7" t="str">
        <f>"何祖慧"</f>
        <v>何祖慧</v>
      </c>
      <c r="E2939" s="7" t="str">
        <f>"女"</f>
        <v>女</v>
      </c>
    </row>
    <row r="2940" spans="1:5" ht="30" customHeight="1">
      <c r="A2940" s="7">
        <v>2937</v>
      </c>
      <c r="B2940" s="7" t="str">
        <f>"38662022042112535627242"</f>
        <v>38662022042112535627242</v>
      </c>
      <c r="C2940" s="7" t="s">
        <v>37</v>
      </c>
      <c r="D2940" s="7" t="str">
        <f>"朱允康"</f>
        <v>朱允康</v>
      </c>
      <c r="E2940" s="7" t="str">
        <f aca="true" t="shared" si="135" ref="E2940:E2952">"男"</f>
        <v>男</v>
      </c>
    </row>
    <row r="2941" spans="1:5" ht="30" customHeight="1">
      <c r="A2941" s="7">
        <v>2938</v>
      </c>
      <c r="B2941" s="7" t="str">
        <f>"38662022042113040427311"</f>
        <v>38662022042113040427311</v>
      </c>
      <c r="C2941" s="7" t="s">
        <v>37</v>
      </c>
      <c r="D2941" s="7" t="str">
        <f>"王锟鹏"</f>
        <v>王锟鹏</v>
      </c>
      <c r="E2941" s="7" t="str">
        <f t="shared" si="135"/>
        <v>男</v>
      </c>
    </row>
    <row r="2942" spans="1:5" ht="30" customHeight="1">
      <c r="A2942" s="7">
        <v>2939</v>
      </c>
      <c r="B2942" s="7" t="str">
        <f>"38662022042116103728510"</f>
        <v>38662022042116103728510</v>
      </c>
      <c r="C2942" s="7" t="s">
        <v>37</v>
      </c>
      <c r="D2942" s="7" t="str">
        <f>"徐飞"</f>
        <v>徐飞</v>
      </c>
      <c r="E2942" s="7" t="str">
        <f t="shared" si="135"/>
        <v>男</v>
      </c>
    </row>
    <row r="2943" spans="1:5" ht="30" customHeight="1">
      <c r="A2943" s="7">
        <v>2940</v>
      </c>
      <c r="B2943" s="7" t="str">
        <f>"38662022042117135828951"</f>
        <v>38662022042117135828951</v>
      </c>
      <c r="C2943" s="7" t="s">
        <v>37</v>
      </c>
      <c r="D2943" s="7" t="str">
        <f>"朱德浩"</f>
        <v>朱德浩</v>
      </c>
      <c r="E2943" s="7" t="str">
        <f t="shared" si="135"/>
        <v>男</v>
      </c>
    </row>
    <row r="2944" spans="1:5" ht="30" customHeight="1">
      <c r="A2944" s="7">
        <v>2941</v>
      </c>
      <c r="B2944" s="7" t="str">
        <f>"38662022042118255429304"</f>
        <v>38662022042118255429304</v>
      </c>
      <c r="C2944" s="7" t="s">
        <v>37</v>
      </c>
      <c r="D2944" s="7" t="str">
        <f>"何世安"</f>
        <v>何世安</v>
      </c>
      <c r="E2944" s="7" t="str">
        <f t="shared" si="135"/>
        <v>男</v>
      </c>
    </row>
    <row r="2945" spans="1:5" ht="30" customHeight="1">
      <c r="A2945" s="7">
        <v>2942</v>
      </c>
      <c r="B2945" s="7" t="str">
        <f>"38662022042121111130104"</f>
        <v>38662022042121111130104</v>
      </c>
      <c r="C2945" s="7" t="s">
        <v>37</v>
      </c>
      <c r="D2945" s="7" t="str">
        <f>"朱发东"</f>
        <v>朱发东</v>
      </c>
      <c r="E2945" s="7" t="str">
        <f t="shared" si="135"/>
        <v>男</v>
      </c>
    </row>
    <row r="2946" spans="1:5" ht="30" customHeight="1">
      <c r="A2946" s="7">
        <v>2943</v>
      </c>
      <c r="B2946" s="7" t="str">
        <f>"38662022042122014930362"</f>
        <v>38662022042122014930362</v>
      </c>
      <c r="C2946" s="7" t="s">
        <v>37</v>
      </c>
      <c r="D2946" s="7" t="str">
        <f>"郑亚剑"</f>
        <v>郑亚剑</v>
      </c>
      <c r="E2946" s="7" t="str">
        <f t="shared" si="135"/>
        <v>男</v>
      </c>
    </row>
    <row r="2947" spans="1:5" ht="30" customHeight="1">
      <c r="A2947" s="7">
        <v>2944</v>
      </c>
      <c r="B2947" s="7" t="str">
        <f>"38662022042208301731002"</f>
        <v>38662022042208301731002</v>
      </c>
      <c r="C2947" s="7" t="s">
        <v>37</v>
      </c>
      <c r="D2947" s="7" t="str">
        <f>"高冠卓"</f>
        <v>高冠卓</v>
      </c>
      <c r="E2947" s="7" t="str">
        <f t="shared" si="135"/>
        <v>男</v>
      </c>
    </row>
    <row r="2948" spans="1:5" ht="30" customHeight="1">
      <c r="A2948" s="7">
        <v>2945</v>
      </c>
      <c r="B2948" s="7" t="str">
        <f>"38662022042209462731362"</f>
        <v>38662022042209462731362</v>
      </c>
      <c r="C2948" s="7" t="s">
        <v>37</v>
      </c>
      <c r="D2948" s="7" t="str">
        <f>"王豪"</f>
        <v>王豪</v>
      </c>
      <c r="E2948" s="7" t="str">
        <f t="shared" si="135"/>
        <v>男</v>
      </c>
    </row>
    <row r="2949" spans="1:5" ht="30" customHeight="1">
      <c r="A2949" s="7">
        <v>2946</v>
      </c>
      <c r="B2949" s="7" t="str">
        <f>"38662022042216590133925"</f>
        <v>38662022042216590133925</v>
      </c>
      <c r="C2949" s="7" t="s">
        <v>37</v>
      </c>
      <c r="D2949" s="7" t="str">
        <f>"梅望劲"</f>
        <v>梅望劲</v>
      </c>
      <c r="E2949" s="7" t="str">
        <f t="shared" si="135"/>
        <v>男</v>
      </c>
    </row>
    <row r="2950" spans="1:5" ht="30" customHeight="1">
      <c r="A2950" s="7">
        <v>2947</v>
      </c>
      <c r="B2950" s="7" t="str">
        <f>"38662022042220420934546"</f>
        <v>38662022042220420934546</v>
      </c>
      <c r="C2950" s="7" t="s">
        <v>37</v>
      </c>
      <c r="D2950" s="7" t="str">
        <f>"吴崇武"</f>
        <v>吴崇武</v>
      </c>
      <c r="E2950" s="7" t="str">
        <f t="shared" si="135"/>
        <v>男</v>
      </c>
    </row>
    <row r="2951" spans="1:5" ht="30" customHeight="1">
      <c r="A2951" s="7">
        <v>2948</v>
      </c>
      <c r="B2951" s="7" t="str">
        <f>"38662022042221374134648"</f>
        <v>38662022042221374134648</v>
      </c>
      <c r="C2951" s="7" t="s">
        <v>37</v>
      </c>
      <c r="D2951" s="7" t="str">
        <f>"邓小洁"</f>
        <v>邓小洁</v>
      </c>
      <c r="E2951" s="7" t="str">
        <f t="shared" si="135"/>
        <v>男</v>
      </c>
    </row>
    <row r="2952" spans="1:5" ht="30" customHeight="1">
      <c r="A2952" s="7">
        <v>2949</v>
      </c>
      <c r="B2952" s="7" t="str">
        <f>"38662022042312553935231"</f>
        <v>38662022042312553935231</v>
      </c>
      <c r="C2952" s="7" t="s">
        <v>37</v>
      </c>
      <c r="D2952" s="7" t="str">
        <f>"钟昌雄"</f>
        <v>钟昌雄</v>
      </c>
      <c r="E2952" s="7" t="str">
        <f t="shared" si="135"/>
        <v>男</v>
      </c>
    </row>
    <row r="2953" spans="1:5" ht="30" customHeight="1">
      <c r="A2953" s="7">
        <v>2950</v>
      </c>
      <c r="B2953" s="7" t="str">
        <f>"38662022042407451736152"</f>
        <v>38662022042407451736152</v>
      </c>
      <c r="C2953" s="7" t="s">
        <v>37</v>
      </c>
      <c r="D2953" s="7" t="str">
        <f>"云美珍"</f>
        <v>云美珍</v>
      </c>
      <c r="E2953" s="7" t="str">
        <f>"女"</f>
        <v>女</v>
      </c>
    </row>
    <row r="2954" spans="1:5" ht="30" customHeight="1">
      <c r="A2954" s="7">
        <v>2951</v>
      </c>
      <c r="B2954" s="7" t="str">
        <f>"38662022042410412236445"</f>
        <v>38662022042410412236445</v>
      </c>
      <c r="C2954" s="7" t="s">
        <v>37</v>
      </c>
      <c r="D2954" s="7" t="str">
        <f>"何家良"</f>
        <v>何家良</v>
      </c>
      <c r="E2954" s="7" t="str">
        <f>"男"</f>
        <v>男</v>
      </c>
    </row>
    <row r="2955" spans="1:5" ht="30" customHeight="1">
      <c r="A2955" s="7">
        <v>2952</v>
      </c>
      <c r="B2955" s="7" t="str">
        <f>"38662022042417041237141"</f>
        <v>38662022042417041237141</v>
      </c>
      <c r="C2955" s="7" t="s">
        <v>37</v>
      </c>
      <c r="D2955" s="7" t="str">
        <f>"许欣浩"</f>
        <v>许欣浩</v>
      </c>
      <c r="E2955" s="7" t="str">
        <f>"女"</f>
        <v>女</v>
      </c>
    </row>
    <row r="2956" spans="1:5" ht="30" customHeight="1">
      <c r="A2956" s="7">
        <v>2953</v>
      </c>
      <c r="B2956" s="7" t="str">
        <f>"38662022042418001537231"</f>
        <v>38662022042418001537231</v>
      </c>
      <c r="C2956" s="7" t="s">
        <v>37</v>
      </c>
      <c r="D2956" s="7" t="str">
        <f>"陈荣健"</f>
        <v>陈荣健</v>
      </c>
      <c r="E2956" s="7" t="str">
        <f aca="true" t="shared" si="136" ref="E2956:E2965">"男"</f>
        <v>男</v>
      </c>
    </row>
    <row r="2957" spans="1:5" ht="30" customHeight="1">
      <c r="A2957" s="7">
        <v>2954</v>
      </c>
      <c r="B2957" s="7" t="str">
        <f>"38662022042513140338216"</f>
        <v>38662022042513140338216</v>
      </c>
      <c r="C2957" s="7" t="s">
        <v>37</v>
      </c>
      <c r="D2957" s="7" t="str">
        <f>"田荣胜"</f>
        <v>田荣胜</v>
      </c>
      <c r="E2957" s="7" t="str">
        <f t="shared" si="136"/>
        <v>男</v>
      </c>
    </row>
    <row r="2958" spans="1:5" ht="30" customHeight="1">
      <c r="A2958" s="7">
        <v>2955</v>
      </c>
      <c r="B2958" s="7" t="str">
        <f>"38662022042522023038911"</f>
        <v>38662022042522023038911</v>
      </c>
      <c r="C2958" s="7" t="s">
        <v>37</v>
      </c>
      <c r="D2958" s="7" t="str">
        <f>"何纯宝"</f>
        <v>何纯宝</v>
      </c>
      <c r="E2958" s="7" t="str">
        <f t="shared" si="136"/>
        <v>男</v>
      </c>
    </row>
    <row r="2959" spans="1:5" ht="30" customHeight="1">
      <c r="A2959" s="7">
        <v>2956</v>
      </c>
      <c r="B2959" s="7" t="str">
        <f>"38662022042610395539319"</f>
        <v>38662022042610395539319</v>
      </c>
      <c r="C2959" s="7" t="s">
        <v>37</v>
      </c>
      <c r="D2959" s="7" t="str">
        <f>"符传言"</f>
        <v>符传言</v>
      </c>
      <c r="E2959" s="7" t="str">
        <f t="shared" si="136"/>
        <v>男</v>
      </c>
    </row>
    <row r="2960" spans="1:5" ht="30" customHeight="1">
      <c r="A2960" s="7">
        <v>2957</v>
      </c>
      <c r="B2960" s="7" t="str">
        <f>"38662022042612023339435"</f>
        <v>38662022042612023339435</v>
      </c>
      <c r="C2960" s="7" t="s">
        <v>37</v>
      </c>
      <c r="D2960" s="7" t="str">
        <f>"林世超"</f>
        <v>林世超</v>
      </c>
      <c r="E2960" s="7" t="str">
        <f t="shared" si="136"/>
        <v>男</v>
      </c>
    </row>
    <row r="2961" spans="1:5" ht="30" customHeight="1">
      <c r="A2961" s="7">
        <v>2958</v>
      </c>
      <c r="B2961" s="7" t="str">
        <f>"38662022042616384239840"</f>
        <v>38662022042616384239840</v>
      </c>
      <c r="C2961" s="7" t="s">
        <v>37</v>
      </c>
      <c r="D2961" s="7" t="str">
        <f>"梁金鸿"</f>
        <v>梁金鸿</v>
      </c>
      <c r="E2961" s="7" t="str">
        <f t="shared" si="136"/>
        <v>男</v>
      </c>
    </row>
    <row r="2962" spans="1:5" ht="30" customHeight="1">
      <c r="A2962" s="7">
        <v>2959</v>
      </c>
      <c r="B2962" s="7" t="str">
        <f>"38662022042620155840116"</f>
        <v>38662022042620155840116</v>
      </c>
      <c r="C2962" s="7" t="s">
        <v>37</v>
      </c>
      <c r="D2962" s="7" t="str">
        <f>"吴有祥"</f>
        <v>吴有祥</v>
      </c>
      <c r="E2962" s="7" t="str">
        <f t="shared" si="136"/>
        <v>男</v>
      </c>
    </row>
    <row r="2963" spans="1:5" ht="30" customHeight="1">
      <c r="A2963" s="7">
        <v>2960</v>
      </c>
      <c r="B2963" s="7" t="str">
        <f>"38662022042709404341215"</f>
        <v>38662022042709404341215</v>
      </c>
      <c r="C2963" s="7" t="s">
        <v>37</v>
      </c>
      <c r="D2963" s="7" t="str">
        <f>"杜鑫涛"</f>
        <v>杜鑫涛</v>
      </c>
      <c r="E2963" s="7" t="str">
        <f t="shared" si="136"/>
        <v>男</v>
      </c>
    </row>
    <row r="2964" spans="1:5" ht="30" customHeight="1">
      <c r="A2964" s="7">
        <v>2961</v>
      </c>
      <c r="B2964" s="7" t="str">
        <f>"38662022042711075642154"</f>
        <v>38662022042711075642154</v>
      </c>
      <c r="C2964" s="7" t="s">
        <v>37</v>
      </c>
      <c r="D2964" s="7" t="str">
        <f>"刘昭慧"</f>
        <v>刘昭慧</v>
      </c>
      <c r="E2964" s="7" t="str">
        <f t="shared" si="136"/>
        <v>男</v>
      </c>
    </row>
    <row r="2965" spans="1:5" ht="30" customHeight="1">
      <c r="A2965" s="7">
        <v>2962</v>
      </c>
      <c r="B2965" s="7" t="str">
        <f>"38662022042109012624895"</f>
        <v>38662022042109012624895</v>
      </c>
      <c r="C2965" s="7" t="s">
        <v>38</v>
      </c>
      <c r="D2965" s="7" t="str">
        <f>"杨嵘"</f>
        <v>杨嵘</v>
      </c>
      <c r="E2965" s="7" t="str">
        <f t="shared" si="136"/>
        <v>男</v>
      </c>
    </row>
    <row r="2966" spans="1:5" ht="30" customHeight="1">
      <c r="A2966" s="7">
        <v>2963</v>
      </c>
      <c r="B2966" s="7" t="str">
        <f>"38662022042109024724916"</f>
        <v>38662022042109024724916</v>
      </c>
      <c r="C2966" s="7" t="s">
        <v>38</v>
      </c>
      <c r="D2966" s="7" t="str">
        <f>"梁金燕"</f>
        <v>梁金燕</v>
      </c>
      <c r="E2966" s="7" t="str">
        <f>"女"</f>
        <v>女</v>
      </c>
    </row>
    <row r="2967" spans="1:5" ht="30" customHeight="1">
      <c r="A2967" s="7">
        <v>2964</v>
      </c>
      <c r="B2967" s="7" t="str">
        <f>"38662022042109034924925"</f>
        <v>38662022042109034924925</v>
      </c>
      <c r="C2967" s="7" t="s">
        <v>38</v>
      </c>
      <c r="D2967" s="7" t="str">
        <f>"丁怀莹"</f>
        <v>丁怀莹</v>
      </c>
      <c r="E2967" s="7" t="str">
        <f>"女"</f>
        <v>女</v>
      </c>
    </row>
    <row r="2968" spans="1:5" ht="30" customHeight="1">
      <c r="A2968" s="7">
        <v>2965</v>
      </c>
      <c r="B2968" s="7" t="str">
        <f>"38662022042109042824939"</f>
        <v>38662022042109042824939</v>
      </c>
      <c r="C2968" s="7" t="s">
        <v>38</v>
      </c>
      <c r="D2968" s="7" t="str">
        <f>"王芳婉"</f>
        <v>王芳婉</v>
      </c>
      <c r="E2968" s="7" t="str">
        <f>"女"</f>
        <v>女</v>
      </c>
    </row>
    <row r="2969" spans="1:5" ht="30" customHeight="1">
      <c r="A2969" s="7">
        <v>2966</v>
      </c>
      <c r="B2969" s="7" t="str">
        <f>"38662022042109064524969"</f>
        <v>38662022042109064524969</v>
      </c>
      <c r="C2969" s="7" t="s">
        <v>38</v>
      </c>
      <c r="D2969" s="7" t="str">
        <f>"吴克雪"</f>
        <v>吴克雪</v>
      </c>
      <c r="E2969" s="7" t="str">
        <f>"女"</f>
        <v>女</v>
      </c>
    </row>
    <row r="2970" spans="1:5" ht="30" customHeight="1">
      <c r="A2970" s="7">
        <v>2967</v>
      </c>
      <c r="B2970" s="7" t="str">
        <f>"38662022042109171025092"</f>
        <v>38662022042109171025092</v>
      </c>
      <c r="C2970" s="7" t="s">
        <v>38</v>
      </c>
      <c r="D2970" s="7" t="str">
        <f>"符晓寒"</f>
        <v>符晓寒</v>
      </c>
      <c r="E2970" s="7" t="str">
        <f>"女"</f>
        <v>女</v>
      </c>
    </row>
    <row r="2971" spans="1:5" ht="30" customHeight="1">
      <c r="A2971" s="7">
        <v>2968</v>
      </c>
      <c r="B2971" s="7" t="str">
        <f>"38662022042109250025180"</f>
        <v>38662022042109250025180</v>
      </c>
      <c r="C2971" s="7" t="s">
        <v>38</v>
      </c>
      <c r="D2971" s="7" t="str">
        <f>"倪胜永"</f>
        <v>倪胜永</v>
      </c>
      <c r="E2971" s="7" t="str">
        <f>"男"</f>
        <v>男</v>
      </c>
    </row>
    <row r="2972" spans="1:5" ht="30" customHeight="1">
      <c r="A2972" s="7">
        <v>2969</v>
      </c>
      <c r="B2972" s="7" t="str">
        <f>"38662022042109275225214"</f>
        <v>38662022042109275225214</v>
      </c>
      <c r="C2972" s="7" t="s">
        <v>38</v>
      </c>
      <c r="D2972" s="7" t="str">
        <f>"林志敏"</f>
        <v>林志敏</v>
      </c>
      <c r="E2972" s="7" t="str">
        <f>"男"</f>
        <v>男</v>
      </c>
    </row>
    <row r="2973" spans="1:5" ht="30" customHeight="1">
      <c r="A2973" s="7">
        <v>2970</v>
      </c>
      <c r="B2973" s="7" t="str">
        <f>"38662022042109275325216"</f>
        <v>38662022042109275325216</v>
      </c>
      <c r="C2973" s="7" t="s">
        <v>38</v>
      </c>
      <c r="D2973" s="7" t="str">
        <f>"高莉"</f>
        <v>高莉</v>
      </c>
      <c r="E2973" s="7" t="str">
        <f aca="true" t="shared" si="137" ref="E2973:E2979">"女"</f>
        <v>女</v>
      </c>
    </row>
    <row r="2974" spans="1:5" ht="30" customHeight="1">
      <c r="A2974" s="7">
        <v>2971</v>
      </c>
      <c r="B2974" s="7" t="str">
        <f>"38662022042109353425312"</f>
        <v>38662022042109353425312</v>
      </c>
      <c r="C2974" s="7" t="s">
        <v>38</v>
      </c>
      <c r="D2974" s="7" t="str">
        <f>"孙桂芬"</f>
        <v>孙桂芬</v>
      </c>
      <c r="E2974" s="7" t="str">
        <f t="shared" si="137"/>
        <v>女</v>
      </c>
    </row>
    <row r="2975" spans="1:5" ht="30" customHeight="1">
      <c r="A2975" s="7">
        <v>2972</v>
      </c>
      <c r="B2975" s="7" t="str">
        <f>"38662022042109395625360"</f>
        <v>38662022042109395625360</v>
      </c>
      <c r="C2975" s="7" t="s">
        <v>38</v>
      </c>
      <c r="D2975" s="7" t="str">
        <f>"李静姣"</f>
        <v>李静姣</v>
      </c>
      <c r="E2975" s="7" t="str">
        <f t="shared" si="137"/>
        <v>女</v>
      </c>
    </row>
    <row r="2976" spans="1:5" ht="30" customHeight="1">
      <c r="A2976" s="7">
        <v>2973</v>
      </c>
      <c r="B2976" s="7" t="str">
        <f>"38662022042109405825370"</f>
        <v>38662022042109405825370</v>
      </c>
      <c r="C2976" s="7" t="s">
        <v>38</v>
      </c>
      <c r="D2976" s="7" t="str">
        <f>"林丽婷"</f>
        <v>林丽婷</v>
      </c>
      <c r="E2976" s="7" t="str">
        <f t="shared" si="137"/>
        <v>女</v>
      </c>
    </row>
    <row r="2977" spans="1:5" ht="30" customHeight="1">
      <c r="A2977" s="7">
        <v>2974</v>
      </c>
      <c r="B2977" s="7" t="str">
        <f>"38662022042110223225906"</f>
        <v>38662022042110223225906</v>
      </c>
      <c r="C2977" s="7" t="s">
        <v>38</v>
      </c>
      <c r="D2977" s="7" t="str">
        <f>"卢文丽"</f>
        <v>卢文丽</v>
      </c>
      <c r="E2977" s="7" t="str">
        <f t="shared" si="137"/>
        <v>女</v>
      </c>
    </row>
    <row r="2978" spans="1:5" ht="30" customHeight="1">
      <c r="A2978" s="7">
        <v>2975</v>
      </c>
      <c r="B2978" s="7" t="str">
        <f>"38662022042110303026022"</f>
        <v>38662022042110303026022</v>
      </c>
      <c r="C2978" s="7" t="s">
        <v>38</v>
      </c>
      <c r="D2978" s="7" t="str">
        <f>"符月民"</f>
        <v>符月民</v>
      </c>
      <c r="E2978" s="7" t="str">
        <f t="shared" si="137"/>
        <v>女</v>
      </c>
    </row>
    <row r="2979" spans="1:5" ht="30" customHeight="1">
      <c r="A2979" s="7">
        <v>2976</v>
      </c>
      <c r="B2979" s="7" t="str">
        <f>"38662022042110315726041"</f>
        <v>38662022042110315726041</v>
      </c>
      <c r="C2979" s="7" t="s">
        <v>38</v>
      </c>
      <c r="D2979" s="7" t="str">
        <f>"黄娇"</f>
        <v>黄娇</v>
      </c>
      <c r="E2979" s="7" t="str">
        <f t="shared" si="137"/>
        <v>女</v>
      </c>
    </row>
    <row r="2980" spans="1:5" ht="30" customHeight="1">
      <c r="A2980" s="7">
        <v>2977</v>
      </c>
      <c r="B2980" s="7" t="str">
        <f>"38662022042110464826217"</f>
        <v>38662022042110464826217</v>
      </c>
      <c r="C2980" s="7" t="s">
        <v>38</v>
      </c>
      <c r="D2980" s="7" t="str">
        <f>"陈良卓"</f>
        <v>陈良卓</v>
      </c>
      <c r="E2980" s="7" t="str">
        <f>"男"</f>
        <v>男</v>
      </c>
    </row>
    <row r="2981" spans="1:5" ht="30" customHeight="1">
      <c r="A2981" s="7">
        <v>2978</v>
      </c>
      <c r="B2981" s="7" t="str">
        <f>"38662022042111011326381"</f>
        <v>38662022042111011326381</v>
      </c>
      <c r="C2981" s="7" t="s">
        <v>38</v>
      </c>
      <c r="D2981" s="7" t="str">
        <f>"黄萍"</f>
        <v>黄萍</v>
      </c>
      <c r="E2981" s="7" t="str">
        <f>"女"</f>
        <v>女</v>
      </c>
    </row>
    <row r="2982" spans="1:5" ht="30" customHeight="1">
      <c r="A2982" s="7">
        <v>2979</v>
      </c>
      <c r="B2982" s="7" t="str">
        <f>"38662022042111160926523"</f>
        <v>38662022042111160926523</v>
      </c>
      <c r="C2982" s="7" t="s">
        <v>38</v>
      </c>
      <c r="D2982" s="7" t="str">
        <f>"刘英"</f>
        <v>刘英</v>
      </c>
      <c r="E2982" s="7" t="str">
        <f>"女"</f>
        <v>女</v>
      </c>
    </row>
    <row r="2983" spans="1:5" ht="30" customHeight="1">
      <c r="A2983" s="7">
        <v>2980</v>
      </c>
      <c r="B2983" s="7" t="str">
        <f>"38662022042111170626530"</f>
        <v>38662022042111170626530</v>
      </c>
      <c r="C2983" s="7" t="s">
        <v>38</v>
      </c>
      <c r="D2983" s="7" t="str">
        <f>"薛梅娟"</f>
        <v>薛梅娟</v>
      </c>
      <c r="E2983" s="7" t="str">
        <f>"女"</f>
        <v>女</v>
      </c>
    </row>
    <row r="2984" spans="1:5" ht="30" customHeight="1">
      <c r="A2984" s="7">
        <v>2981</v>
      </c>
      <c r="B2984" s="7" t="str">
        <f>"38662022042111351426685"</f>
        <v>38662022042111351426685</v>
      </c>
      <c r="C2984" s="7" t="s">
        <v>38</v>
      </c>
      <c r="D2984" s="7" t="str">
        <f>"吉贝"</f>
        <v>吉贝</v>
      </c>
      <c r="E2984" s="7" t="str">
        <f>"男"</f>
        <v>男</v>
      </c>
    </row>
    <row r="2985" spans="1:5" ht="30" customHeight="1">
      <c r="A2985" s="7">
        <v>2982</v>
      </c>
      <c r="B2985" s="7" t="str">
        <f>"38662022042111490826815"</f>
        <v>38662022042111490826815</v>
      </c>
      <c r="C2985" s="7" t="s">
        <v>38</v>
      </c>
      <c r="D2985" s="7" t="str">
        <f>"石丽雪"</f>
        <v>石丽雪</v>
      </c>
      <c r="E2985" s="7" t="str">
        <f>"女"</f>
        <v>女</v>
      </c>
    </row>
    <row r="2986" spans="1:5" ht="30" customHeight="1">
      <c r="A2986" s="7">
        <v>2983</v>
      </c>
      <c r="B2986" s="7" t="str">
        <f>"38662022042112224827037"</f>
        <v>38662022042112224827037</v>
      </c>
      <c r="C2986" s="7" t="s">
        <v>38</v>
      </c>
      <c r="D2986" s="7" t="str">
        <f>"陈宝妹"</f>
        <v>陈宝妹</v>
      </c>
      <c r="E2986" s="7" t="str">
        <f>"女"</f>
        <v>女</v>
      </c>
    </row>
    <row r="2987" spans="1:5" ht="30" customHeight="1">
      <c r="A2987" s="7">
        <v>2984</v>
      </c>
      <c r="B2987" s="7" t="str">
        <f>"38662022042112394427161"</f>
        <v>38662022042112394427161</v>
      </c>
      <c r="C2987" s="7" t="s">
        <v>38</v>
      </c>
      <c r="D2987" s="7" t="str">
        <f>"金风坤"</f>
        <v>金风坤</v>
      </c>
      <c r="E2987" s="7" t="str">
        <f>"女"</f>
        <v>女</v>
      </c>
    </row>
    <row r="2988" spans="1:5" ht="30" customHeight="1">
      <c r="A2988" s="7">
        <v>2985</v>
      </c>
      <c r="B2988" s="7" t="str">
        <f>"38662022042112403327167"</f>
        <v>38662022042112403327167</v>
      </c>
      <c r="C2988" s="7" t="s">
        <v>38</v>
      </c>
      <c r="D2988" s="7" t="str">
        <f>"符吉子"</f>
        <v>符吉子</v>
      </c>
      <c r="E2988" s="7" t="str">
        <f>"女"</f>
        <v>女</v>
      </c>
    </row>
    <row r="2989" spans="1:5" ht="30" customHeight="1">
      <c r="A2989" s="7">
        <v>2986</v>
      </c>
      <c r="B2989" s="7" t="str">
        <f>"38662022042112544027245"</f>
        <v>38662022042112544027245</v>
      </c>
      <c r="C2989" s="7" t="s">
        <v>38</v>
      </c>
      <c r="D2989" s="7" t="str">
        <f>"朱臣昆"</f>
        <v>朱臣昆</v>
      </c>
      <c r="E2989" s="7" t="str">
        <f>"男"</f>
        <v>男</v>
      </c>
    </row>
    <row r="2990" spans="1:5" ht="30" customHeight="1">
      <c r="A2990" s="7">
        <v>2987</v>
      </c>
      <c r="B2990" s="7" t="str">
        <f>"38662022042114124727622"</f>
        <v>38662022042114124727622</v>
      </c>
      <c r="C2990" s="7" t="s">
        <v>38</v>
      </c>
      <c r="D2990" s="7" t="str">
        <f>"李茂霞"</f>
        <v>李茂霞</v>
      </c>
      <c r="E2990" s="7" t="str">
        <f>"女"</f>
        <v>女</v>
      </c>
    </row>
    <row r="2991" spans="1:5" ht="30" customHeight="1">
      <c r="A2991" s="7">
        <v>2988</v>
      </c>
      <c r="B2991" s="7" t="str">
        <f>"38662022042114154327640"</f>
        <v>38662022042114154327640</v>
      </c>
      <c r="C2991" s="7" t="s">
        <v>38</v>
      </c>
      <c r="D2991" s="7" t="str">
        <f>"何芳婷"</f>
        <v>何芳婷</v>
      </c>
      <c r="E2991" s="7" t="str">
        <f>"女"</f>
        <v>女</v>
      </c>
    </row>
    <row r="2992" spans="1:5" ht="30" customHeight="1">
      <c r="A2992" s="7">
        <v>2989</v>
      </c>
      <c r="B2992" s="7" t="str">
        <f>"38662022042114202327663"</f>
        <v>38662022042114202327663</v>
      </c>
      <c r="C2992" s="7" t="s">
        <v>38</v>
      </c>
      <c r="D2992" s="7" t="str">
        <f>"李逸"</f>
        <v>李逸</v>
      </c>
      <c r="E2992" s="7" t="str">
        <f>"女"</f>
        <v>女</v>
      </c>
    </row>
    <row r="2993" spans="1:5" ht="30" customHeight="1">
      <c r="A2993" s="7">
        <v>2990</v>
      </c>
      <c r="B2993" s="7" t="str">
        <f>"38662022042114341427744"</f>
        <v>38662022042114341427744</v>
      </c>
      <c r="C2993" s="7" t="s">
        <v>38</v>
      </c>
      <c r="D2993" s="7" t="str">
        <f>"曾其生"</f>
        <v>曾其生</v>
      </c>
      <c r="E2993" s="7" t="str">
        <f>"男"</f>
        <v>男</v>
      </c>
    </row>
    <row r="2994" spans="1:5" ht="30" customHeight="1">
      <c r="A2994" s="7">
        <v>2991</v>
      </c>
      <c r="B2994" s="7" t="str">
        <f>"38662022042115024727982"</f>
        <v>38662022042115024727982</v>
      </c>
      <c r="C2994" s="7" t="s">
        <v>38</v>
      </c>
      <c r="D2994" s="7" t="str">
        <f>"王家宇"</f>
        <v>王家宇</v>
      </c>
      <c r="E2994" s="7" t="str">
        <f>"男"</f>
        <v>男</v>
      </c>
    </row>
    <row r="2995" spans="1:5" ht="30" customHeight="1">
      <c r="A2995" s="7">
        <v>2992</v>
      </c>
      <c r="B2995" s="7" t="str">
        <f>"38662022042115093028042"</f>
        <v>38662022042115093028042</v>
      </c>
      <c r="C2995" s="7" t="s">
        <v>38</v>
      </c>
      <c r="D2995" s="7" t="str">
        <f>"陈松玲"</f>
        <v>陈松玲</v>
      </c>
      <c r="E2995" s="7" t="str">
        <f>"女"</f>
        <v>女</v>
      </c>
    </row>
    <row r="2996" spans="1:5" ht="30" customHeight="1">
      <c r="A2996" s="7">
        <v>2993</v>
      </c>
      <c r="B2996" s="7" t="str">
        <f>"38662022042116181428576"</f>
        <v>38662022042116181428576</v>
      </c>
      <c r="C2996" s="7" t="s">
        <v>38</v>
      </c>
      <c r="D2996" s="7" t="str">
        <f>"许阳润"</f>
        <v>许阳润</v>
      </c>
      <c r="E2996" s="7" t="str">
        <f>"男"</f>
        <v>男</v>
      </c>
    </row>
    <row r="2997" spans="1:5" ht="30" customHeight="1">
      <c r="A2997" s="7">
        <v>2994</v>
      </c>
      <c r="B2997" s="7" t="str">
        <f>"38662022042116390028714"</f>
        <v>38662022042116390028714</v>
      </c>
      <c r="C2997" s="7" t="s">
        <v>38</v>
      </c>
      <c r="D2997" s="7" t="str">
        <f>"陈苹"</f>
        <v>陈苹</v>
      </c>
      <c r="E2997" s="7" t="str">
        <f>"女"</f>
        <v>女</v>
      </c>
    </row>
    <row r="2998" spans="1:5" ht="30" customHeight="1">
      <c r="A2998" s="7">
        <v>2995</v>
      </c>
      <c r="B2998" s="7" t="str">
        <f>"38662022042116434528747"</f>
        <v>38662022042116434528747</v>
      </c>
      <c r="C2998" s="7" t="s">
        <v>38</v>
      </c>
      <c r="D2998" s="7" t="str">
        <f>"陈嘉琪"</f>
        <v>陈嘉琪</v>
      </c>
      <c r="E2998" s="7" t="str">
        <f>"女"</f>
        <v>女</v>
      </c>
    </row>
    <row r="2999" spans="1:5" ht="30" customHeight="1">
      <c r="A2999" s="7">
        <v>2996</v>
      </c>
      <c r="B2999" s="7" t="str">
        <f>"38662022042116505628798"</f>
        <v>38662022042116505628798</v>
      </c>
      <c r="C2999" s="7" t="s">
        <v>38</v>
      </c>
      <c r="D2999" s="7" t="str">
        <f>"李明祜"</f>
        <v>李明祜</v>
      </c>
      <c r="E2999" s="7" t="str">
        <f>"男"</f>
        <v>男</v>
      </c>
    </row>
    <row r="3000" spans="1:5" ht="30" customHeight="1">
      <c r="A3000" s="7">
        <v>2997</v>
      </c>
      <c r="B3000" s="7" t="str">
        <f>"38662022042118132429254"</f>
        <v>38662022042118132429254</v>
      </c>
      <c r="C3000" s="7" t="s">
        <v>38</v>
      </c>
      <c r="D3000" s="7" t="str">
        <f>"陈爱芯"</f>
        <v>陈爱芯</v>
      </c>
      <c r="E3000" s="7" t="str">
        <f>"女"</f>
        <v>女</v>
      </c>
    </row>
    <row r="3001" spans="1:5" ht="30" customHeight="1">
      <c r="A3001" s="7">
        <v>2998</v>
      </c>
      <c r="B3001" s="7" t="str">
        <f>"38662022042118251229300"</f>
        <v>38662022042118251229300</v>
      </c>
      <c r="C3001" s="7" t="s">
        <v>38</v>
      </c>
      <c r="D3001" s="7" t="str">
        <f>"陈春艳"</f>
        <v>陈春艳</v>
      </c>
      <c r="E3001" s="7" t="str">
        <f>"女"</f>
        <v>女</v>
      </c>
    </row>
    <row r="3002" spans="1:5" ht="30" customHeight="1">
      <c r="A3002" s="7">
        <v>2999</v>
      </c>
      <c r="B3002" s="7" t="str">
        <f>"38662022042118344629342"</f>
        <v>38662022042118344629342</v>
      </c>
      <c r="C3002" s="7" t="s">
        <v>38</v>
      </c>
      <c r="D3002" s="7" t="str">
        <f>"卓书泉"</f>
        <v>卓书泉</v>
      </c>
      <c r="E3002" s="7" t="str">
        <f>"男"</f>
        <v>男</v>
      </c>
    </row>
    <row r="3003" spans="1:5" ht="30" customHeight="1">
      <c r="A3003" s="7">
        <v>3000</v>
      </c>
      <c r="B3003" s="7" t="str">
        <f>"38662022042119002629448"</f>
        <v>38662022042119002629448</v>
      </c>
      <c r="C3003" s="7" t="s">
        <v>38</v>
      </c>
      <c r="D3003" s="7" t="str">
        <f>"张青梅"</f>
        <v>张青梅</v>
      </c>
      <c r="E3003" s="7" t="str">
        <f aca="true" t="shared" si="138" ref="E3003:E3016">"女"</f>
        <v>女</v>
      </c>
    </row>
    <row r="3004" spans="1:5" ht="30" customHeight="1">
      <c r="A3004" s="7">
        <v>3001</v>
      </c>
      <c r="B3004" s="7" t="str">
        <f>"38662022042119140629508"</f>
        <v>38662022042119140629508</v>
      </c>
      <c r="C3004" s="7" t="s">
        <v>38</v>
      </c>
      <c r="D3004" s="7" t="str">
        <f>"苏志媛"</f>
        <v>苏志媛</v>
      </c>
      <c r="E3004" s="7" t="str">
        <f t="shared" si="138"/>
        <v>女</v>
      </c>
    </row>
    <row r="3005" spans="1:5" ht="30" customHeight="1">
      <c r="A3005" s="7">
        <v>3002</v>
      </c>
      <c r="B3005" s="7" t="str">
        <f>"38662022042119254629566"</f>
        <v>38662022042119254629566</v>
      </c>
      <c r="C3005" s="7" t="s">
        <v>38</v>
      </c>
      <c r="D3005" s="7" t="str">
        <f>"林慧萍"</f>
        <v>林慧萍</v>
      </c>
      <c r="E3005" s="7" t="str">
        <f t="shared" si="138"/>
        <v>女</v>
      </c>
    </row>
    <row r="3006" spans="1:5" ht="30" customHeight="1">
      <c r="A3006" s="7">
        <v>3003</v>
      </c>
      <c r="B3006" s="7" t="str">
        <f>"38662022042121151330118"</f>
        <v>38662022042121151330118</v>
      </c>
      <c r="C3006" s="7" t="s">
        <v>38</v>
      </c>
      <c r="D3006" s="7" t="str">
        <f>"詹凌梅"</f>
        <v>詹凌梅</v>
      </c>
      <c r="E3006" s="7" t="str">
        <f t="shared" si="138"/>
        <v>女</v>
      </c>
    </row>
    <row r="3007" spans="1:5" ht="30" customHeight="1">
      <c r="A3007" s="7">
        <v>3004</v>
      </c>
      <c r="B3007" s="7" t="str">
        <f>"38662022042122292630503"</f>
        <v>38662022042122292630503</v>
      </c>
      <c r="C3007" s="7" t="s">
        <v>38</v>
      </c>
      <c r="D3007" s="7" t="str">
        <f>"卢亮霞"</f>
        <v>卢亮霞</v>
      </c>
      <c r="E3007" s="7" t="str">
        <f t="shared" si="138"/>
        <v>女</v>
      </c>
    </row>
    <row r="3008" spans="1:5" ht="30" customHeight="1">
      <c r="A3008" s="7">
        <v>3005</v>
      </c>
      <c r="B3008" s="7" t="str">
        <f>"38662022042122332730522"</f>
        <v>38662022042122332730522</v>
      </c>
      <c r="C3008" s="7" t="s">
        <v>38</v>
      </c>
      <c r="D3008" s="7" t="str">
        <f>"林怡"</f>
        <v>林怡</v>
      </c>
      <c r="E3008" s="7" t="str">
        <f t="shared" si="138"/>
        <v>女</v>
      </c>
    </row>
    <row r="3009" spans="1:5" ht="30" customHeight="1">
      <c r="A3009" s="7">
        <v>3006</v>
      </c>
      <c r="B3009" s="7" t="str">
        <f>"38662022042122410730562"</f>
        <v>38662022042122410730562</v>
      </c>
      <c r="C3009" s="7" t="s">
        <v>38</v>
      </c>
      <c r="D3009" s="7" t="str">
        <f>"陈莹"</f>
        <v>陈莹</v>
      </c>
      <c r="E3009" s="7" t="str">
        <f t="shared" si="138"/>
        <v>女</v>
      </c>
    </row>
    <row r="3010" spans="1:5" ht="30" customHeight="1">
      <c r="A3010" s="7">
        <v>3007</v>
      </c>
      <c r="B3010" s="7" t="str">
        <f>"38662022042122521330603"</f>
        <v>38662022042122521330603</v>
      </c>
      <c r="C3010" s="7" t="s">
        <v>38</v>
      </c>
      <c r="D3010" s="7" t="str">
        <f>"孙玮曦"</f>
        <v>孙玮曦</v>
      </c>
      <c r="E3010" s="7" t="str">
        <f t="shared" si="138"/>
        <v>女</v>
      </c>
    </row>
    <row r="3011" spans="1:5" ht="30" customHeight="1">
      <c r="A3011" s="7">
        <v>3008</v>
      </c>
      <c r="B3011" s="7" t="str">
        <f>"38662022042123044630649"</f>
        <v>38662022042123044630649</v>
      </c>
      <c r="C3011" s="7" t="s">
        <v>38</v>
      </c>
      <c r="D3011" s="7" t="str">
        <f>"符环丹"</f>
        <v>符环丹</v>
      </c>
      <c r="E3011" s="7" t="str">
        <f t="shared" si="138"/>
        <v>女</v>
      </c>
    </row>
    <row r="3012" spans="1:5" ht="30" customHeight="1">
      <c r="A3012" s="7">
        <v>3009</v>
      </c>
      <c r="B3012" s="7" t="str">
        <f>"38662022042207511530928"</f>
        <v>38662022042207511530928</v>
      </c>
      <c r="C3012" s="7" t="s">
        <v>38</v>
      </c>
      <c r="D3012" s="7" t="str">
        <f>"曾少梅"</f>
        <v>曾少梅</v>
      </c>
      <c r="E3012" s="7" t="str">
        <f t="shared" si="138"/>
        <v>女</v>
      </c>
    </row>
    <row r="3013" spans="1:5" ht="30" customHeight="1">
      <c r="A3013" s="7">
        <v>3010</v>
      </c>
      <c r="B3013" s="7" t="str">
        <f>"38662022042208080630952"</f>
        <v>38662022042208080630952</v>
      </c>
      <c r="C3013" s="7" t="s">
        <v>38</v>
      </c>
      <c r="D3013" s="7" t="str">
        <f>"李欣欣"</f>
        <v>李欣欣</v>
      </c>
      <c r="E3013" s="7" t="str">
        <f t="shared" si="138"/>
        <v>女</v>
      </c>
    </row>
    <row r="3014" spans="1:5" ht="30" customHeight="1">
      <c r="A3014" s="7">
        <v>3011</v>
      </c>
      <c r="B3014" s="7" t="str">
        <f>"38662022042209041431143"</f>
        <v>38662022042209041431143</v>
      </c>
      <c r="C3014" s="7" t="s">
        <v>38</v>
      </c>
      <c r="D3014" s="7" t="str">
        <f>"刘雯馨"</f>
        <v>刘雯馨</v>
      </c>
      <c r="E3014" s="7" t="str">
        <f t="shared" si="138"/>
        <v>女</v>
      </c>
    </row>
    <row r="3015" spans="1:5" ht="30" customHeight="1">
      <c r="A3015" s="7">
        <v>3012</v>
      </c>
      <c r="B3015" s="7" t="str">
        <f>"38662022042209414131337"</f>
        <v>38662022042209414131337</v>
      </c>
      <c r="C3015" s="7" t="s">
        <v>38</v>
      </c>
      <c r="D3015" s="7" t="str">
        <f>"麦惠乾"</f>
        <v>麦惠乾</v>
      </c>
      <c r="E3015" s="7" t="str">
        <f t="shared" si="138"/>
        <v>女</v>
      </c>
    </row>
    <row r="3016" spans="1:5" ht="30" customHeight="1">
      <c r="A3016" s="7">
        <v>3013</v>
      </c>
      <c r="B3016" s="7" t="str">
        <f>"38662022042209461631361"</f>
        <v>38662022042209461631361</v>
      </c>
      <c r="C3016" s="7" t="s">
        <v>38</v>
      </c>
      <c r="D3016" s="7" t="str">
        <f>"李寒"</f>
        <v>李寒</v>
      </c>
      <c r="E3016" s="7" t="str">
        <f t="shared" si="138"/>
        <v>女</v>
      </c>
    </row>
    <row r="3017" spans="1:5" ht="30" customHeight="1">
      <c r="A3017" s="7">
        <v>3014</v>
      </c>
      <c r="B3017" s="7" t="str">
        <f>"38662022042210203931575"</f>
        <v>38662022042210203931575</v>
      </c>
      <c r="C3017" s="7" t="s">
        <v>38</v>
      </c>
      <c r="D3017" s="7" t="str">
        <f>"陈首憎"</f>
        <v>陈首憎</v>
      </c>
      <c r="E3017" s="7" t="str">
        <f>"男"</f>
        <v>男</v>
      </c>
    </row>
    <row r="3018" spans="1:5" ht="30" customHeight="1">
      <c r="A3018" s="7">
        <v>3015</v>
      </c>
      <c r="B3018" s="7" t="str">
        <f>"38662022042210212931580"</f>
        <v>38662022042210212931580</v>
      </c>
      <c r="C3018" s="7" t="s">
        <v>38</v>
      </c>
      <c r="D3018" s="7" t="str">
        <f>"吴琼凤"</f>
        <v>吴琼凤</v>
      </c>
      <c r="E3018" s="7" t="str">
        <f aca="true" t="shared" si="139" ref="E3018:E3024">"女"</f>
        <v>女</v>
      </c>
    </row>
    <row r="3019" spans="1:5" ht="30" customHeight="1">
      <c r="A3019" s="7">
        <v>3016</v>
      </c>
      <c r="B3019" s="7" t="str">
        <f>"38662022042210322131643"</f>
        <v>38662022042210322131643</v>
      </c>
      <c r="C3019" s="7" t="s">
        <v>38</v>
      </c>
      <c r="D3019" s="7" t="str">
        <f>"符英玲"</f>
        <v>符英玲</v>
      </c>
      <c r="E3019" s="7" t="str">
        <f t="shared" si="139"/>
        <v>女</v>
      </c>
    </row>
    <row r="3020" spans="1:5" ht="30" customHeight="1">
      <c r="A3020" s="7">
        <v>3017</v>
      </c>
      <c r="B3020" s="7" t="str">
        <f>"38662022042210374931678"</f>
        <v>38662022042210374931678</v>
      </c>
      <c r="C3020" s="7" t="s">
        <v>38</v>
      </c>
      <c r="D3020" s="7" t="str">
        <f>"陈艳婷"</f>
        <v>陈艳婷</v>
      </c>
      <c r="E3020" s="7" t="str">
        <f t="shared" si="139"/>
        <v>女</v>
      </c>
    </row>
    <row r="3021" spans="1:5" ht="30" customHeight="1">
      <c r="A3021" s="7">
        <v>3018</v>
      </c>
      <c r="B3021" s="7" t="str">
        <f>"38662022042211193031973"</f>
        <v>38662022042211193031973</v>
      </c>
      <c r="C3021" s="7" t="s">
        <v>38</v>
      </c>
      <c r="D3021" s="7" t="str">
        <f>"崔珍"</f>
        <v>崔珍</v>
      </c>
      <c r="E3021" s="7" t="str">
        <f t="shared" si="139"/>
        <v>女</v>
      </c>
    </row>
    <row r="3022" spans="1:5" ht="30" customHeight="1">
      <c r="A3022" s="7">
        <v>3019</v>
      </c>
      <c r="B3022" s="7" t="str">
        <f>"38662022042211330232323"</f>
        <v>38662022042211330232323</v>
      </c>
      <c r="C3022" s="7" t="s">
        <v>38</v>
      </c>
      <c r="D3022" s="7" t="str">
        <f>"江英英"</f>
        <v>江英英</v>
      </c>
      <c r="E3022" s="7" t="str">
        <f t="shared" si="139"/>
        <v>女</v>
      </c>
    </row>
    <row r="3023" spans="1:5" ht="30" customHeight="1">
      <c r="A3023" s="7">
        <v>3020</v>
      </c>
      <c r="B3023" s="7" t="str">
        <f>"38662022042213580132886"</f>
        <v>38662022042213580132886</v>
      </c>
      <c r="C3023" s="7" t="s">
        <v>38</v>
      </c>
      <c r="D3023" s="7" t="str">
        <f>"李正芳"</f>
        <v>李正芳</v>
      </c>
      <c r="E3023" s="7" t="str">
        <f t="shared" si="139"/>
        <v>女</v>
      </c>
    </row>
    <row r="3024" spans="1:5" ht="30" customHeight="1">
      <c r="A3024" s="7">
        <v>3021</v>
      </c>
      <c r="B3024" s="7" t="str">
        <f>"38662022042214285633005"</f>
        <v>38662022042214285633005</v>
      </c>
      <c r="C3024" s="7" t="s">
        <v>38</v>
      </c>
      <c r="D3024" s="7" t="str">
        <f>"谢娇蓉"</f>
        <v>谢娇蓉</v>
      </c>
      <c r="E3024" s="7" t="str">
        <f t="shared" si="139"/>
        <v>女</v>
      </c>
    </row>
    <row r="3025" spans="1:5" ht="30" customHeight="1">
      <c r="A3025" s="7">
        <v>3022</v>
      </c>
      <c r="B3025" s="7" t="str">
        <f>"38662022042217541334192"</f>
        <v>38662022042217541334192</v>
      </c>
      <c r="C3025" s="7" t="s">
        <v>38</v>
      </c>
      <c r="D3025" s="7" t="str">
        <f>"羊儒林"</f>
        <v>羊儒林</v>
      </c>
      <c r="E3025" s="7" t="str">
        <f>"男"</f>
        <v>男</v>
      </c>
    </row>
    <row r="3026" spans="1:5" ht="30" customHeight="1">
      <c r="A3026" s="7">
        <v>3023</v>
      </c>
      <c r="B3026" s="7" t="str">
        <f>"38662022042217545034197"</f>
        <v>38662022042217545034197</v>
      </c>
      <c r="C3026" s="7" t="s">
        <v>38</v>
      </c>
      <c r="D3026" s="7" t="str">
        <f>"庄雪芬"</f>
        <v>庄雪芬</v>
      </c>
      <c r="E3026" s="7" t="str">
        <f>"女"</f>
        <v>女</v>
      </c>
    </row>
    <row r="3027" spans="1:5" ht="30" customHeight="1">
      <c r="A3027" s="7">
        <v>3024</v>
      </c>
      <c r="B3027" s="7" t="str">
        <f>"38662022042217553034201"</f>
        <v>38662022042217553034201</v>
      </c>
      <c r="C3027" s="7" t="s">
        <v>38</v>
      </c>
      <c r="D3027" s="7" t="str">
        <f>"孔颖"</f>
        <v>孔颖</v>
      </c>
      <c r="E3027" s="7" t="str">
        <f>"女"</f>
        <v>女</v>
      </c>
    </row>
    <row r="3028" spans="1:5" ht="30" customHeight="1">
      <c r="A3028" s="7">
        <v>3025</v>
      </c>
      <c r="B3028" s="7" t="str">
        <f>"38662022042218020434219"</f>
        <v>38662022042218020434219</v>
      </c>
      <c r="C3028" s="7" t="s">
        <v>38</v>
      </c>
      <c r="D3028" s="7" t="str">
        <f>"叶娜"</f>
        <v>叶娜</v>
      </c>
      <c r="E3028" s="7" t="str">
        <f>"女"</f>
        <v>女</v>
      </c>
    </row>
    <row r="3029" spans="1:5" ht="30" customHeight="1">
      <c r="A3029" s="7">
        <v>3026</v>
      </c>
      <c r="B3029" s="7" t="str">
        <f>"38662022042218273034277"</f>
        <v>38662022042218273034277</v>
      </c>
      <c r="C3029" s="7" t="s">
        <v>38</v>
      </c>
      <c r="D3029" s="7" t="str">
        <f>"温金婷"</f>
        <v>温金婷</v>
      </c>
      <c r="E3029" s="7" t="str">
        <f>"女"</f>
        <v>女</v>
      </c>
    </row>
    <row r="3030" spans="1:5" ht="30" customHeight="1">
      <c r="A3030" s="7">
        <v>3027</v>
      </c>
      <c r="B3030" s="7" t="str">
        <f>"38662022042219115834376"</f>
        <v>38662022042219115834376</v>
      </c>
      <c r="C3030" s="7" t="s">
        <v>38</v>
      </c>
      <c r="D3030" s="7" t="str">
        <f>"邢清瑶"</f>
        <v>邢清瑶</v>
      </c>
      <c r="E3030" s="7" t="str">
        <f>"女"</f>
        <v>女</v>
      </c>
    </row>
    <row r="3031" spans="1:5" ht="30" customHeight="1">
      <c r="A3031" s="7">
        <v>3028</v>
      </c>
      <c r="B3031" s="7" t="str">
        <f>"38662022042220121734489"</f>
        <v>38662022042220121734489</v>
      </c>
      <c r="C3031" s="7" t="s">
        <v>38</v>
      </c>
      <c r="D3031" s="7" t="str">
        <f>"纪新杨"</f>
        <v>纪新杨</v>
      </c>
      <c r="E3031" s="7" t="str">
        <f>"男"</f>
        <v>男</v>
      </c>
    </row>
    <row r="3032" spans="1:5" ht="30" customHeight="1">
      <c r="A3032" s="7">
        <v>3029</v>
      </c>
      <c r="B3032" s="7" t="str">
        <f>"38662022042221450334667"</f>
        <v>38662022042221450334667</v>
      </c>
      <c r="C3032" s="7" t="s">
        <v>38</v>
      </c>
      <c r="D3032" s="7" t="str">
        <f>"蔡能"</f>
        <v>蔡能</v>
      </c>
      <c r="E3032" s="7" t="str">
        <f>"男"</f>
        <v>男</v>
      </c>
    </row>
    <row r="3033" spans="1:5" ht="30" customHeight="1">
      <c r="A3033" s="7">
        <v>3030</v>
      </c>
      <c r="B3033" s="7" t="str">
        <f>"38662022042222192534730"</f>
        <v>38662022042222192534730</v>
      </c>
      <c r="C3033" s="7" t="s">
        <v>38</v>
      </c>
      <c r="D3033" s="7" t="str">
        <f>"邱家欢"</f>
        <v>邱家欢</v>
      </c>
      <c r="E3033" s="7" t="str">
        <f>"男"</f>
        <v>男</v>
      </c>
    </row>
    <row r="3034" spans="1:5" ht="30" customHeight="1">
      <c r="A3034" s="7">
        <v>3031</v>
      </c>
      <c r="B3034" s="7" t="str">
        <f>"38662022042223211734810"</f>
        <v>38662022042223211734810</v>
      </c>
      <c r="C3034" s="7" t="s">
        <v>38</v>
      </c>
      <c r="D3034" s="7" t="str">
        <f>"黄甜"</f>
        <v>黄甜</v>
      </c>
      <c r="E3034" s="7" t="str">
        <f aca="true" t="shared" si="140" ref="E3034:E3041">"女"</f>
        <v>女</v>
      </c>
    </row>
    <row r="3035" spans="1:5" ht="30" customHeight="1">
      <c r="A3035" s="7">
        <v>3032</v>
      </c>
      <c r="B3035" s="7" t="str">
        <f>"38662022042306530634874"</f>
        <v>38662022042306530634874</v>
      </c>
      <c r="C3035" s="7" t="s">
        <v>38</v>
      </c>
      <c r="D3035" s="7" t="str">
        <f>"黄和蕾"</f>
        <v>黄和蕾</v>
      </c>
      <c r="E3035" s="7" t="str">
        <f t="shared" si="140"/>
        <v>女</v>
      </c>
    </row>
    <row r="3036" spans="1:5" ht="30" customHeight="1">
      <c r="A3036" s="7">
        <v>3033</v>
      </c>
      <c r="B3036" s="7" t="str">
        <f>"38662022042309093934931"</f>
        <v>38662022042309093934931</v>
      </c>
      <c r="C3036" s="7" t="s">
        <v>38</v>
      </c>
      <c r="D3036" s="7" t="str">
        <f>"符传虹"</f>
        <v>符传虹</v>
      </c>
      <c r="E3036" s="7" t="str">
        <f t="shared" si="140"/>
        <v>女</v>
      </c>
    </row>
    <row r="3037" spans="1:5" ht="30" customHeight="1">
      <c r="A3037" s="7">
        <v>3034</v>
      </c>
      <c r="B3037" s="7" t="str">
        <f>"38662022042310563635070"</f>
        <v>38662022042310563635070</v>
      </c>
      <c r="C3037" s="7" t="s">
        <v>38</v>
      </c>
      <c r="D3037" s="7" t="str">
        <f>"林春金"</f>
        <v>林春金</v>
      </c>
      <c r="E3037" s="7" t="str">
        <f t="shared" si="140"/>
        <v>女</v>
      </c>
    </row>
    <row r="3038" spans="1:5" ht="30" customHeight="1">
      <c r="A3038" s="7">
        <v>3035</v>
      </c>
      <c r="B3038" s="7" t="str">
        <f>"38662022042311492335160"</f>
        <v>38662022042311492335160</v>
      </c>
      <c r="C3038" s="7" t="s">
        <v>38</v>
      </c>
      <c r="D3038" s="7" t="str">
        <f>"麦琪琪"</f>
        <v>麦琪琪</v>
      </c>
      <c r="E3038" s="7" t="str">
        <f t="shared" si="140"/>
        <v>女</v>
      </c>
    </row>
    <row r="3039" spans="1:5" ht="30" customHeight="1">
      <c r="A3039" s="7">
        <v>3036</v>
      </c>
      <c r="B3039" s="7" t="str">
        <f>"38662022042312554335232"</f>
        <v>38662022042312554335232</v>
      </c>
      <c r="C3039" s="7" t="s">
        <v>38</v>
      </c>
      <c r="D3039" s="7" t="str">
        <f>"林鑫"</f>
        <v>林鑫</v>
      </c>
      <c r="E3039" s="7" t="str">
        <f t="shared" si="140"/>
        <v>女</v>
      </c>
    </row>
    <row r="3040" spans="1:5" ht="30" customHeight="1">
      <c r="A3040" s="7">
        <v>3037</v>
      </c>
      <c r="B3040" s="7" t="str">
        <f>"38662022042319334035702"</f>
        <v>38662022042319334035702</v>
      </c>
      <c r="C3040" s="7" t="s">
        <v>38</v>
      </c>
      <c r="D3040" s="7" t="str">
        <f>"李小雪"</f>
        <v>李小雪</v>
      </c>
      <c r="E3040" s="7" t="str">
        <f t="shared" si="140"/>
        <v>女</v>
      </c>
    </row>
    <row r="3041" spans="1:5" ht="30" customHeight="1">
      <c r="A3041" s="7">
        <v>3038</v>
      </c>
      <c r="B3041" s="7" t="str">
        <f>"38662022042320011435743"</f>
        <v>38662022042320011435743</v>
      </c>
      <c r="C3041" s="7" t="s">
        <v>38</v>
      </c>
      <c r="D3041" s="7" t="str">
        <f>"林建娥"</f>
        <v>林建娥</v>
      </c>
      <c r="E3041" s="7" t="str">
        <f t="shared" si="140"/>
        <v>女</v>
      </c>
    </row>
    <row r="3042" spans="1:5" ht="30" customHeight="1">
      <c r="A3042" s="7">
        <v>3039</v>
      </c>
      <c r="B3042" s="7" t="str">
        <f>"38662022042320381635802"</f>
        <v>38662022042320381635802</v>
      </c>
      <c r="C3042" s="7" t="s">
        <v>38</v>
      </c>
      <c r="D3042" s="7" t="str">
        <f>"冯绍温"</f>
        <v>冯绍温</v>
      </c>
      <c r="E3042" s="7" t="str">
        <f>"男"</f>
        <v>男</v>
      </c>
    </row>
    <row r="3043" spans="1:5" ht="30" customHeight="1">
      <c r="A3043" s="7">
        <v>3040</v>
      </c>
      <c r="B3043" s="7" t="str">
        <f>"38662022042320415535808"</f>
        <v>38662022042320415535808</v>
      </c>
      <c r="C3043" s="7" t="s">
        <v>38</v>
      </c>
      <c r="D3043" s="7" t="str">
        <f>"吴景章"</f>
        <v>吴景章</v>
      </c>
      <c r="E3043" s="7" t="str">
        <f>"男"</f>
        <v>男</v>
      </c>
    </row>
    <row r="3044" spans="1:5" ht="30" customHeight="1">
      <c r="A3044" s="7">
        <v>3041</v>
      </c>
      <c r="B3044" s="7" t="str">
        <f>"38662022042323501236099"</f>
        <v>38662022042323501236099</v>
      </c>
      <c r="C3044" s="7" t="s">
        <v>38</v>
      </c>
      <c r="D3044" s="7" t="str">
        <f>"邓依"</f>
        <v>邓依</v>
      </c>
      <c r="E3044" s="7" t="str">
        <f>"女"</f>
        <v>女</v>
      </c>
    </row>
    <row r="3045" spans="1:5" ht="30" customHeight="1">
      <c r="A3045" s="7">
        <v>3042</v>
      </c>
      <c r="B3045" s="7" t="str">
        <f>"38662022042409053436249"</f>
        <v>38662022042409053436249</v>
      </c>
      <c r="C3045" s="7" t="s">
        <v>38</v>
      </c>
      <c r="D3045" s="7" t="str">
        <f>"李有茂"</f>
        <v>李有茂</v>
      </c>
      <c r="E3045" s="7" t="str">
        <f>"男"</f>
        <v>男</v>
      </c>
    </row>
    <row r="3046" spans="1:5" ht="30" customHeight="1">
      <c r="A3046" s="7">
        <v>3043</v>
      </c>
      <c r="B3046" s="7" t="str">
        <f>"38662022042409340136317"</f>
        <v>38662022042409340136317</v>
      </c>
      <c r="C3046" s="7" t="s">
        <v>38</v>
      </c>
      <c r="D3046" s="7" t="str">
        <f>"王秋儿"</f>
        <v>王秋儿</v>
      </c>
      <c r="E3046" s="7" t="str">
        <f>"女"</f>
        <v>女</v>
      </c>
    </row>
    <row r="3047" spans="1:5" ht="30" customHeight="1">
      <c r="A3047" s="7">
        <v>3044</v>
      </c>
      <c r="B3047" s="7" t="str">
        <f>"38662022042409420536332"</f>
        <v>38662022042409420536332</v>
      </c>
      <c r="C3047" s="7" t="s">
        <v>38</v>
      </c>
      <c r="D3047" s="7" t="str">
        <f>"吴兴兰"</f>
        <v>吴兴兰</v>
      </c>
      <c r="E3047" s="7" t="str">
        <f>"女"</f>
        <v>女</v>
      </c>
    </row>
    <row r="3048" spans="1:5" ht="30" customHeight="1">
      <c r="A3048" s="7">
        <v>3045</v>
      </c>
      <c r="B3048" s="7" t="str">
        <f>"38662022042409550736357"</f>
        <v>38662022042409550736357</v>
      </c>
      <c r="C3048" s="7" t="s">
        <v>38</v>
      </c>
      <c r="D3048" s="7" t="str">
        <f>"李静"</f>
        <v>李静</v>
      </c>
      <c r="E3048" s="7" t="str">
        <f>"女"</f>
        <v>女</v>
      </c>
    </row>
    <row r="3049" spans="1:5" ht="30" customHeight="1">
      <c r="A3049" s="7">
        <v>3046</v>
      </c>
      <c r="B3049" s="7" t="str">
        <f>"38662022042409592936368"</f>
        <v>38662022042409592936368</v>
      </c>
      <c r="C3049" s="7" t="s">
        <v>38</v>
      </c>
      <c r="D3049" s="7" t="str">
        <f>"唐传良"</f>
        <v>唐传良</v>
      </c>
      <c r="E3049" s="7" t="str">
        <f>"男"</f>
        <v>男</v>
      </c>
    </row>
    <row r="3050" spans="1:5" ht="30" customHeight="1">
      <c r="A3050" s="7">
        <v>3047</v>
      </c>
      <c r="B3050" s="7" t="str">
        <f>"38662022042410243336416"</f>
        <v>38662022042410243336416</v>
      </c>
      <c r="C3050" s="7" t="s">
        <v>38</v>
      </c>
      <c r="D3050" s="7" t="str">
        <f>"符章辉"</f>
        <v>符章辉</v>
      </c>
      <c r="E3050" s="7" t="str">
        <f>"男"</f>
        <v>男</v>
      </c>
    </row>
    <row r="3051" spans="1:5" ht="30" customHeight="1">
      <c r="A3051" s="7">
        <v>3048</v>
      </c>
      <c r="B3051" s="7" t="str">
        <f>"38662022042410355036435"</f>
        <v>38662022042410355036435</v>
      </c>
      <c r="C3051" s="7" t="s">
        <v>38</v>
      </c>
      <c r="D3051" s="7" t="str">
        <f>"余顺子"</f>
        <v>余顺子</v>
      </c>
      <c r="E3051" s="7" t="str">
        <f>"男"</f>
        <v>男</v>
      </c>
    </row>
    <row r="3052" spans="1:5" ht="30" customHeight="1">
      <c r="A3052" s="7">
        <v>3049</v>
      </c>
      <c r="B3052" s="7" t="str">
        <f>"38662022042416084937012"</f>
        <v>38662022042416084937012</v>
      </c>
      <c r="C3052" s="7" t="s">
        <v>38</v>
      </c>
      <c r="D3052" s="7" t="str">
        <f>"秦风娟"</f>
        <v>秦风娟</v>
      </c>
      <c r="E3052" s="7" t="str">
        <f aca="true" t="shared" si="141" ref="E3052:E3061">"女"</f>
        <v>女</v>
      </c>
    </row>
    <row r="3053" spans="1:5" ht="30" customHeight="1">
      <c r="A3053" s="7">
        <v>3050</v>
      </c>
      <c r="B3053" s="7" t="str">
        <f>"38662022042416193437035"</f>
        <v>38662022042416193437035</v>
      </c>
      <c r="C3053" s="7" t="s">
        <v>38</v>
      </c>
      <c r="D3053" s="7" t="str">
        <f>"陈和娇"</f>
        <v>陈和娇</v>
      </c>
      <c r="E3053" s="7" t="str">
        <f t="shared" si="141"/>
        <v>女</v>
      </c>
    </row>
    <row r="3054" spans="1:5" ht="30" customHeight="1">
      <c r="A3054" s="7">
        <v>3051</v>
      </c>
      <c r="B3054" s="7" t="str">
        <f>"38662022042416305837062"</f>
        <v>38662022042416305837062</v>
      </c>
      <c r="C3054" s="7" t="s">
        <v>38</v>
      </c>
      <c r="D3054" s="7" t="str">
        <f>"王馨苡"</f>
        <v>王馨苡</v>
      </c>
      <c r="E3054" s="7" t="str">
        <f t="shared" si="141"/>
        <v>女</v>
      </c>
    </row>
    <row r="3055" spans="1:5" ht="30" customHeight="1">
      <c r="A3055" s="7">
        <v>3052</v>
      </c>
      <c r="B3055" s="7" t="str">
        <f>"38662022042417354537185"</f>
        <v>38662022042417354537185</v>
      </c>
      <c r="C3055" s="7" t="s">
        <v>38</v>
      </c>
      <c r="D3055" s="7" t="str">
        <f>"陈玉曼"</f>
        <v>陈玉曼</v>
      </c>
      <c r="E3055" s="7" t="str">
        <f t="shared" si="141"/>
        <v>女</v>
      </c>
    </row>
    <row r="3056" spans="1:5" ht="30" customHeight="1">
      <c r="A3056" s="7">
        <v>3053</v>
      </c>
      <c r="B3056" s="7" t="str">
        <f>"38662022042422430637667"</f>
        <v>38662022042422430637667</v>
      </c>
      <c r="C3056" s="7" t="s">
        <v>38</v>
      </c>
      <c r="D3056" s="7" t="str">
        <f>"陈金燕"</f>
        <v>陈金燕</v>
      </c>
      <c r="E3056" s="7" t="str">
        <f t="shared" si="141"/>
        <v>女</v>
      </c>
    </row>
    <row r="3057" spans="1:5" ht="30" customHeight="1">
      <c r="A3057" s="7">
        <v>3054</v>
      </c>
      <c r="B3057" s="7" t="str">
        <f>"38662022042423163937716"</f>
        <v>38662022042423163937716</v>
      </c>
      <c r="C3057" s="7" t="s">
        <v>38</v>
      </c>
      <c r="D3057" s="7" t="str">
        <f>"苏高玲"</f>
        <v>苏高玲</v>
      </c>
      <c r="E3057" s="7" t="str">
        <f t="shared" si="141"/>
        <v>女</v>
      </c>
    </row>
    <row r="3058" spans="1:5" ht="30" customHeight="1">
      <c r="A3058" s="7">
        <v>3055</v>
      </c>
      <c r="B3058" s="7" t="str">
        <f>"38662022042500102637760"</f>
        <v>38662022042500102637760</v>
      </c>
      <c r="C3058" s="7" t="s">
        <v>38</v>
      </c>
      <c r="D3058" s="7" t="str">
        <f>"陈萍"</f>
        <v>陈萍</v>
      </c>
      <c r="E3058" s="7" t="str">
        <f t="shared" si="141"/>
        <v>女</v>
      </c>
    </row>
    <row r="3059" spans="1:5" ht="30" customHeight="1">
      <c r="A3059" s="7">
        <v>3056</v>
      </c>
      <c r="B3059" s="7" t="str">
        <f>"38662022042500362837769"</f>
        <v>38662022042500362837769</v>
      </c>
      <c r="C3059" s="7" t="s">
        <v>38</v>
      </c>
      <c r="D3059" s="7" t="str">
        <f>"郑史冰"</f>
        <v>郑史冰</v>
      </c>
      <c r="E3059" s="7" t="str">
        <f t="shared" si="141"/>
        <v>女</v>
      </c>
    </row>
    <row r="3060" spans="1:5" ht="30" customHeight="1">
      <c r="A3060" s="7">
        <v>3057</v>
      </c>
      <c r="B3060" s="7" t="str">
        <f>"38662022042508073937807"</f>
        <v>38662022042508073937807</v>
      </c>
      <c r="C3060" s="7" t="s">
        <v>38</v>
      </c>
      <c r="D3060" s="7" t="str">
        <f>"蒋月英"</f>
        <v>蒋月英</v>
      </c>
      <c r="E3060" s="7" t="str">
        <f t="shared" si="141"/>
        <v>女</v>
      </c>
    </row>
    <row r="3061" spans="1:5" ht="30" customHeight="1">
      <c r="A3061" s="7">
        <v>3058</v>
      </c>
      <c r="B3061" s="7" t="str">
        <f>"38662022042508153737810"</f>
        <v>38662022042508153737810</v>
      </c>
      <c r="C3061" s="7" t="s">
        <v>38</v>
      </c>
      <c r="D3061" s="7" t="str">
        <f>"黄海雪"</f>
        <v>黄海雪</v>
      </c>
      <c r="E3061" s="7" t="str">
        <f t="shared" si="141"/>
        <v>女</v>
      </c>
    </row>
    <row r="3062" spans="1:5" ht="30" customHeight="1">
      <c r="A3062" s="7">
        <v>3059</v>
      </c>
      <c r="B3062" s="7" t="str">
        <f>"38662022042510125237964"</f>
        <v>38662022042510125237964</v>
      </c>
      <c r="C3062" s="7" t="s">
        <v>38</v>
      </c>
      <c r="D3062" s="7" t="str">
        <f>"王大端"</f>
        <v>王大端</v>
      </c>
      <c r="E3062" s="7" t="str">
        <f>"男"</f>
        <v>男</v>
      </c>
    </row>
    <row r="3063" spans="1:5" ht="30" customHeight="1">
      <c r="A3063" s="7">
        <v>3060</v>
      </c>
      <c r="B3063" s="7" t="str">
        <f>"38662022042511013438068"</f>
        <v>38662022042511013438068</v>
      </c>
      <c r="C3063" s="7" t="s">
        <v>38</v>
      </c>
      <c r="D3063" s="7" t="str">
        <f>"林朝怡"</f>
        <v>林朝怡</v>
      </c>
      <c r="E3063" s="7" t="str">
        <f>"女"</f>
        <v>女</v>
      </c>
    </row>
    <row r="3064" spans="1:5" ht="30" customHeight="1">
      <c r="A3064" s="7">
        <v>3061</v>
      </c>
      <c r="B3064" s="7" t="str">
        <f>"38662022042511060538078"</f>
        <v>38662022042511060538078</v>
      </c>
      <c r="C3064" s="7" t="s">
        <v>38</v>
      </c>
      <c r="D3064" s="7" t="str">
        <f>"麦嘉丽"</f>
        <v>麦嘉丽</v>
      </c>
      <c r="E3064" s="7" t="str">
        <f>"女"</f>
        <v>女</v>
      </c>
    </row>
    <row r="3065" spans="1:5" ht="30" customHeight="1">
      <c r="A3065" s="7">
        <v>3062</v>
      </c>
      <c r="B3065" s="7" t="str">
        <f>"38662022042516303838484"</f>
        <v>38662022042516303838484</v>
      </c>
      <c r="C3065" s="7" t="s">
        <v>38</v>
      </c>
      <c r="D3065" s="7" t="str">
        <f>"郑精娥"</f>
        <v>郑精娥</v>
      </c>
      <c r="E3065" s="7" t="str">
        <f>"女"</f>
        <v>女</v>
      </c>
    </row>
    <row r="3066" spans="1:5" ht="30" customHeight="1">
      <c r="A3066" s="7">
        <v>3063</v>
      </c>
      <c r="B3066" s="7" t="str">
        <f>"38662022042516370238494"</f>
        <v>38662022042516370238494</v>
      </c>
      <c r="C3066" s="7" t="s">
        <v>38</v>
      </c>
      <c r="D3066" s="7" t="str">
        <f>"符雅雲"</f>
        <v>符雅雲</v>
      </c>
      <c r="E3066" s="7" t="str">
        <f>"女"</f>
        <v>女</v>
      </c>
    </row>
    <row r="3067" spans="1:5" ht="30" customHeight="1">
      <c r="A3067" s="7">
        <v>3064</v>
      </c>
      <c r="B3067" s="7" t="str">
        <f>"38662022042516465038506"</f>
        <v>38662022042516465038506</v>
      </c>
      <c r="C3067" s="7" t="s">
        <v>38</v>
      </c>
      <c r="D3067" s="7" t="str">
        <f>"王华汉"</f>
        <v>王华汉</v>
      </c>
      <c r="E3067" s="7" t="str">
        <f>"男"</f>
        <v>男</v>
      </c>
    </row>
    <row r="3068" spans="1:5" ht="30" customHeight="1">
      <c r="A3068" s="7">
        <v>3065</v>
      </c>
      <c r="B3068" s="7" t="str">
        <f>"38662022042516530838522"</f>
        <v>38662022042516530838522</v>
      </c>
      <c r="C3068" s="7" t="s">
        <v>38</v>
      </c>
      <c r="D3068" s="7" t="str">
        <f>"卢银叶"</f>
        <v>卢银叶</v>
      </c>
      <c r="E3068" s="7" t="str">
        <f aca="true" t="shared" si="142" ref="E3068:E3077">"女"</f>
        <v>女</v>
      </c>
    </row>
    <row r="3069" spans="1:5" ht="30" customHeight="1">
      <c r="A3069" s="7">
        <v>3066</v>
      </c>
      <c r="B3069" s="7" t="str">
        <f>"38662022042517074038547"</f>
        <v>38662022042517074038547</v>
      </c>
      <c r="C3069" s="7" t="s">
        <v>38</v>
      </c>
      <c r="D3069" s="7" t="str">
        <f>"苏伟静"</f>
        <v>苏伟静</v>
      </c>
      <c r="E3069" s="7" t="str">
        <f t="shared" si="142"/>
        <v>女</v>
      </c>
    </row>
    <row r="3070" spans="1:5" ht="30" customHeight="1">
      <c r="A3070" s="7">
        <v>3067</v>
      </c>
      <c r="B3070" s="7" t="str">
        <f>"38662022042522471338975"</f>
        <v>38662022042522471338975</v>
      </c>
      <c r="C3070" s="7" t="s">
        <v>38</v>
      </c>
      <c r="D3070" s="7" t="str">
        <f>"羊世娟"</f>
        <v>羊世娟</v>
      </c>
      <c r="E3070" s="7" t="str">
        <f t="shared" si="142"/>
        <v>女</v>
      </c>
    </row>
    <row r="3071" spans="1:5" ht="30" customHeight="1">
      <c r="A3071" s="7">
        <v>3068</v>
      </c>
      <c r="B3071" s="7" t="str">
        <f>"38662022042523231539015"</f>
        <v>38662022042523231539015</v>
      </c>
      <c r="C3071" s="7" t="s">
        <v>38</v>
      </c>
      <c r="D3071" s="7" t="str">
        <f>"罗敏"</f>
        <v>罗敏</v>
      </c>
      <c r="E3071" s="7" t="str">
        <f t="shared" si="142"/>
        <v>女</v>
      </c>
    </row>
    <row r="3072" spans="1:5" ht="30" customHeight="1">
      <c r="A3072" s="7">
        <v>3069</v>
      </c>
      <c r="B3072" s="7" t="str">
        <f>"38662022042523425139036"</f>
        <v>38662022042523425139036</v>
      </c>
      <c r="C3072" s="7" t="s">
        <v>38</v>
      </c>
      <c r="D3072" s="7" t="str">
        <f>"邓华怡"</f>
        <v>邓华怡</v>
      </c>
      <c r="E3072" s="7" t="str">
        <f t="shared" si="142"/>
        <v>女</v>
      </c>
    </row>
    <row r="3073" spans="1:5" ht="30" customHeight="1">
      <c r="A3073" s="7">
        <v>3070</v>
      </c>
      <c r="B3073" s="7" t="str">
        <f>"38662022042608141439124"</f>
        <v>38662022042608141439124</v>
      </c>
      <c r="C3073" s="7" t="s">
        <v>38</v>
      </c>
      <c r="D3073" s="7" t="str">
        <f>"朱联震"</f>
        <v>朱联震</v>
      </c>
      <c r="E3073" s="7" t="str">
        <f t="shared" si="142"/>
        <v>女</v>
      </c>
    </row>
    <row r="3074" spans="1:5" ht="30" customHeight="1">
      <c r="A3074" s="7">
        <v>3071</v>
      </c>
      <c r="B3074" s="7" t="str">
        <f>"38662022042609444439233"</f>
        <v>38662022042609444439233</v>
      </c>
      <c r="C3074" s="7" t="s">
        <v>38</v>
      </c>
      <c r="D3074" s="7" t="str">
        <f>"郝丽丽"</f>
        <v>郝丽丽</v>
      </c>
      <c r="E3074" s="7" t="str">
        <f t="shared" si="142"/>
        <v>女</v>
      </c>
    </row>
    <row r="3075" spans="1:5" ht="30" customHeight="1">
      <c r="A3075" s="7">
        <v>3072</v>
      </c>
      <c r="B3075" s="7" t="str">
        <f>"38662022042610271239301"</f>
        <v>38662022042610271239301</v>
      </c>
      <c r="C3075" s="7" t="s">
        <v>38</v>
      </c>
      <c r="D3075" s="7" t="str">
        <f>"李珊"</f>
        <v>李珊</v>
      </c>
      <c r="E3075" s="7" t="str">
        <f t="shared" si="142"/>
        <v>女</v>
      </c>
    </row>
    <row r="3076" spans="1:5" ht="30" customHeight="1">
      <c r="A3076" s="7">
        <v>3073</v>
      </c>
      <c r="B3076" s="7" t="str">
        <f>"38662022042610491339334"</f>
        <v>38662022042610491339334</v>
      </c>
      <c r="C3076" s="7" t="s">
        <v>38</v>
      </c>
      <c r="D3076" s="7" t="str">
        <f>"张英杏"</f>
        <v>张英杏</v>
      </c>
      <c r="E3076" s="7" t="str">
        <f t="shared" si="142"/>
        <v>女</v>
      </c>
    </row>
    <row r="3077" spans="1:5" ht="30" customHeight="1">
      <c r="A3077" s="7">
        <v>3074</v>
      </c>
      <c r="B3077" s="7" t="str">
        <f>"38662022042611413339409"</f>
        <v>38662022042611413339409</v>
      </c>
      <c r="C3077" s="7" t="s">
        <v>38</v>
      </c>
      <c r="D3077" s="7" t="str">
        <f>"刘亚妹"</f>
        <v>刘亚妹</v>
      </c>
      <c r="E3077" s="7" t="str">
        <f t="shared" si="142"/>
        <v>女</v>
      </c>
    </row>
    <row r="3078" spans="1:5" ht="30" customHeight="1">
      <c r="A3078" s="7">
        <v>3075</v>
      </c>
      <c r="B3078" s="7" t="str">
        <f>"38662022042612063739444"</f>
        <v>38662022042612063739444</v>
      </c>
      <c r="C3078" s="7" t="s">
        <v>38</v>
      </c>
      <c r="D3078" s="7" t="str">
        <f>"邓斌斌"</f>
        <v>邓斌斌</v>
      </c>
      <c r="E3078" s="7" t="str">
        <f>"男"</f>
        <v>男</v>
      </c>
    </row>
    <row r="3079" spans="1:5" ht="30" customHeight="1">
      <c r="A3079" s="7">
        <v>3076</v>
      </c>
      <c r="B3079" s="7" t="str">
        <f>"38662022042612104939448"</f>
        <v>38662022042612104939448</v>
      </c>
      <c r="C3079" s="7" t="s">
        <v>38</v>
      </c>
      <c r="D3079" s="7" t="str">
        <f>"邓静兰"</f>
        <v>邓静兰</v>
      </c>
      <c r="E3079" s="7" t="str">
        <f>"女"</f>
        <v>女</v>
      </c>
    </row>
    <row r="3080" spans="1:5" ht="30" customHeight="1">
      <c r="A3080" s="7">
        <v>3077</v>
      </c>
      <c r="B3080" s="7" t="str">
        <f>"38662022042612285739472"</f>
        <v>38662022042612285739472</v>
      </c>
      <c r="C3080" s="7" t="s">
        <v>38</v>
      </c>
      <c r="D3080" s="7" t="str">
        <f>"邢孔芸"</f>
        <v>邢孔芸</v>
      </c>
      <c r="E3080" s="7" t="str">
        <f>"女"</f>
        <v>女</v>
      </c>
    </row>
    <row r="3081" spans="1:5" ht="30" customHeight="1">
      <c r="A3081" s="7">
        <v>3078</v>
      </c>
      <c r="B3081" s="7" t="str">
        <f>"38662022042613422339557"</f>
        <v>38662022042613422339557</v>
      </c>
      <c r="C3081" s="7" t="s">
        <v>38</v>
      </c>
      <c r="D3081" s="7" t="str">
        <f>"吴洁明"</f>
        <v>吴洁明</v>
      </c>
      <c r="E3081" s="7" t="str">
        <f>"女"</f>
        <v>女</v>
      </c>
    </row>
    <row r="3082" spans="1:5" ht="30" customHeight="1">
      <c r="A3082" s="7">
        <v>3079</v>
      </c>
      <c r="B3082" s="7" t="str">
        <f>"38662022042614530539620"</f>
        <v>38662022042614530539620</v>
      </c>
      <c r="C3082" s="7" t="s">
        <v>38</v>
      </c>
      <c r="D3082" s="7" t="str">
        <f>"齐见贤"</f>
        <v>齐见贤</v>
      </c>
      <c r="E3082" s="7" t="str">
        <f>"男"</f>
        <v>男</v>
      </c>
    </row>
    <row r="3083" spans="1:5" ht="30" customHeight="1">
      <c r="A3083" s="7">
        <v>3080</v>
      </c>
      <c r="B3083" s="7" t="str">
        <f>"38662022042614535239622"</f>
        <v>38662022042614535239622</v>
      </c>
      <c r="C3083" s="7" t="s">
        <v>38</v>
      </c>
      <c r="D3083" s="7" t="str">
        <f>"张裕正"</f>
        <v>张裕正</v>
      </c>
      <c r="E3083" s="7" t="str">
        <f>"男"</f>
        <v>男</v>
      </c>
    </row>
    <row r="3084" spans="1:5" ht="30" customHeight="1">
      <c r="A3084" s="7">
        <v>3081</v>
      </c>
      <c r="B3084" s="7" t="str">
        <f>"38662022042615172539668"</f>
        <v>38662022042615172539668</v>
      </c>
      <c r="C3084" s="7" t="s">
        <v>38</v>
      </c>
      <c r="D3084" s="7" t="str">
        <f>"施美虹"</f>
        <v>施美虹</v>
      </c>
      <c r="E3084" s="7" t="str">
        <f aca="true" t="shared" si="143" ref="E3084:E3091">"女"</f>
        <v>女</v>
      </c>
    </row>
    <row r="3085" spans="1:5" ht="30" customHeight="1">
      <c r="A3085" s="7">
        <v>3082</v>
      </c>
      <c r="B3085" s="7" t="str">
        <f>"38662022042619231940047"</f>
        <v>38662022042619231940047</v>
      </c>
      <c r="C3085" s="7" t="s">
        <v>38</v>
      </c>
      <c r="D3085" s="7" t="str">
        <f>"林艳"</f>
        <v>林艳</v>
      </c>
      <c r="E3085" s="7" t="str">
        <f t="shared" si="143"/>
        <v>女</v>
      </c>
    </row>
    <row r="3086" spans="1:5" ht="30" customHeight="1">
      <c r="A3086" s="7">
        <v>3083</v>
      </c>
      <c r="B3086" s="7" t="str">
        <f>"38662022042620025740093"</f>
        <v>38662022042620025740093</v>
      </c>
      <c r="C3086" s="7" t="s">
        <v>38</v>
      </c>
      <c r="D3086" s="7" t="str">
        <f>"羊代香"</f>
        <v>羊代香</v>
      </c>
      <c r="E3086" s="7" t="str">
        <f t="shared" si="143"/>
        <v>女</v>
      </c>
    </row>
    <row r="3087" spans="1:5" ht="30" customHeight="1">
      <c r="A3087" s="7">
        <v>3084</v>
      </c>
      <c r="B3087" s="7" t="str">
        <f>"38662022042620283440137"</f>
        <v>38662022042620283440137</v>
      </c>
      <c r="C3087" s="7" t="s">
        <v>38</v>
      </c>
      <c r="D3087" s="7" t="str">
        <f>"陈丽君"</f>
        <v>陈丽君</v>
      </c>
      <c r="E3087" s="7" t="str">
        <f t="shared" si="143"/>
        <v>女</v>
      </c>
    </row>
    <row r="3088" spans="1:5" ht="30" customHeight="1">
      <c r="A3088" s="7">
        <v>3085</v>
      </c>
      <c r="B3088" s="7" t="str">
        <f>"38662022042621272340244"</f>
        <v>38662022042621272340244</v>
      </c>
      <c r="C3088" s="7" t="s">
        <v>38</v>
      </c>
      <c r="D3088" s="7" t="str">
        <f>"刘凤婷"</f>
        <v>刘凤婷</v>
      </c>
      <c r="E3088" s="7" t="str">
        <f t="shared" si="143"/>
        <v>女</v>
      </c>
    </row>
    <row r="3089" spans="1:5" ht="30" customHeight="1">
      <c r="A3089" s="7">
        <v>3086</v>
      </c>
      <c r="B3089" s="7" t="str">
        <f>"38662022042623100840418"</f>
        <v>38662022042623100840418</v>
      </c>
      <c r="C3089" s="7" t="s">
        <v>38</v>
      </c>
      <c r="D3089" s="7" t="str">
        <f>"吴霞梅"</f>
        <v>吴霞梅</v>
      </c>
      <c r="E3089" s="7" t="str">
        <f t="shared" si="143"/>
        <v>女</v>
      </c>
    </row>
    <row r="3090" spans="1:5" ht="30" customHeight="1">
      <c r="A3090" s="7">
        <v>3087</v>
      </c>
      <c r="B3090" s="7" t="str">
        <f>"38662022042623330840452"</f>
        <v>38662022042623330840452</v>
      </c>
      <c r="C3090" s="7" t="s">
        <v>38</v>
      </c>
      <c r="D3090" s="7" t="str">
        <f>"陈雯"</f>
        <v>陈雯</v>
      </c>
      <c r="E3090" s="7" t="str">
        <f t="shared" si="143"/>
        <v>女</v>
      </c>
    </row>
    <row r="3091" spans="1:5" ht="30" customHeight="1">
      <c r="A3091" s="7">
        <v>3088</v>
      </c>
      <c r="B3091" s="7" t="str">
        <f>"38662022042623515140477"</f>
        <v>38662022042623515140477</v>
      </c>
      <c r="C3091" s="7" t="s">
        <v>38</v>
      </c>
      <c r="D3091" s="7" t="str">
        <f>"李桃逢"</f>
        <v>李桃逢</v>
      </c>
      <c r="E3091" s="7" t="str">
        <f t="shared" si="143"/>
        <v>女</v>
      </c>
    </row>
    <row r="3092" spans="1:5" ht="30" customHeight="1">
      <c r="A3092" s="7">
        <v>3089</v>
      </c>
      <c r="B3092" s="7" t="str">
        <f>"38662022042708045740577"</f>
        <v>38662022042708045740577</v>
      </c>
      <c r="C3092" s="7" t="s">
        <v>38</v>
      </c>
      <c r="D3092" s="7" t="str">
        <f>"石奇荣"</f>
        <v>石奇荣</v>
      </c>
      <c r="E3092" s="7" t="str">
        <f>"男"</f>
        <v>男</v>
      </c>
    </row>
    <row r="3093" spans="1:5" ht="30" customHeight="1">
      <c r="A3093" s="7">
        <v>3090</v>
      </c>
      <c r="B3093" s="7" t="str">
        <f>"38662022042709062640752"</f>
        <v>38662022042709062640752</v>
      </c>
      <c r="C3093" s="7" t="s">
        <v>38</v>
      </c>
      <c r="D3093" s="7" t="str">
        <f>"郑胜蓝"</f>
        <v>郑胜蓝</v>
      </c>
      <c r="E3093" s="7" t="str">
        <f>"女"</f>
        <v>女</v>
      </c>
    </row>
    <row r="3094" spans="1:5" ht="30" customHeight="1">
      <c r="A3094" s="7">
        <v>3091</v>
      </c>
      <c r="B3094" s="7" t="str">
        <f>"38662022042709083340789"</f>
        <v>38662022042709083340789</v>
      </c>
      <c r="C3094" s="7" t="s">
        <v>38</v>
      </c>
      <c r="D3094" s="7" t="str">
        <f>"禤明玥"</f>
        <v>禤明玥</v>
      </c>
      <c r="E3094" s="7" t="str">
        <f>"女"</f>
        <v>女</v>
      </c>
    </row>
    <row r="3095" spans="1:5" ht="30" customHeight="1">
      <c r="A3095" s="7">
        <v>3092</v>
      </c>
      <c r="B3095" s="7" t="str">
        <f>"38662022042709173540898"</f>
        <v>38662022042709173540898</v>
      </c>
      <c r="C3095" s="7" t="s">
        <v>38</v>
      </c>
      <c r="D3095" s="7" t="str">
        <f>"张新燕"</f>
        <v>张新燕</v>
      </c>
      <c r="E3095" s="7" t="str">
        <f>"女"</f>
        <v>女</v>
      </c>
    </row>
    <row r="3096" spans="1:5" ht="30" customHeight="1">
      <c r="A3096" s="7">
        <v>3093</v>
      </c>
      <c r="B3096" s="7" t="str">
        <f>"38662022042710294541756"</f>
        <v>38662022042710294541756</v>
      </c>
      <c r="C3096" s="7" t="s">
        <v>38</v>
      </c>
      <c r="D3096" s="7" t="str">
        <f>"张业成"</f>
        <v>张业成</v>
      </c>
      <c r="E3096" s="7" t="str">
        <f>"男"</f>
        <v>男</v>
      </c>
    </row>
    <row r="3097" spans="1:5" ht="30" customHeight="1">
      <c r="A3097" s="7">
        <v>3094</v>
      </c>
      <c r="B3097" s="7" t="str">
        <f>"38662022042711112042189"</f>
        <v>38662022042711112042189</v>
      </c>
      <c r="C3097" s="7" t="s">
        <v>38</v>
      </c>
      <c r="D3097" s="7" t="str">
        <f>"覃逍志"</f>
        <v>覃逍志</v>
      </c>
      <c r="E3097" s="7" t="str">
        <f>"男"</f>
        <v>男</v>
      </c>
    </row>
    <row r="3098" spans="1:5" ht="30" customHeight="1">
      <c r="A3098" s="7">
        <v>3095</v>
      </c>
      <c r="B3098" s="7" t="str">
        <f>"38662022042712553842896"</f>
        <v>38662022042712553842896</v>
      </c>
      <c r="C3098" s="7" t="s">
        <v>38</v>
      </c>
      <c r="D3098" s="7" t="str">
        <f>"童东"</f>
        <v>童东</v>
      </c>
      <c r="E3098" s="7" t="str">
        <f>"男"</f>
        <v>男</v>
      </c>
    </row>
    <row r="3099" spans="1:5" ht="30" customHeight="1">
      <c r="A3099" s="7">
        <v>3096</v>
      </c>
      <c r="B3099" s="7" t="str">
        <f>"38662022042713061042963"</f>
        <v>38662022042713061042963</v>
      </c>
      <c r="C3099" s="7" t="s">
        <v>38</v>
      </c>
      <c r="D3099" s="7" t="str">
        <f>"叶斌"</f>
        <v>叶斌</v>
      </c>
      <c r="E3099" s="7" t="str">
        <f>"男"</f>
        <v>男</v>
      </c>
    </row>
    <row r="3100" spans="1:5" ht="30" customHeight="1">
      <c r="A3100" s="7">
        <v>3097</v>
      </c>
      <c r="B3100" s="7" t="str">
        <f>"38662022042716085444078"</f>
        <v>38662022042716085444078</v>
      </c>
      <c r="C3100" s="7" t="s">
        <v>38</v>
      </c>
      <c r="D3100" s="7" t="str">
        <f>"谢丽许"</f>
        <v>谢丽许</v>
      </c>
      <c r="E3100" s="7" t="str">
        <f>"女"</f>
        <v>女</v>
      </c>
    </row>
    <row r="3101" spans="1:5" ht="30" customHeight="1">
      <c r="A3101" s="7">
        <v>3098</v>
      </c>
      <c r="B3101" s="7" t="str">
        <f>"38662022042109173625097"</f>
        <v>38662022042109173625097</v>
      </c>
      <c r="C3101" s="7" t="s">
        <v>39</v>
      </c>
      <c r="D3101" s="7" t="str">
        <f>"陈婆转"</f>
        <v>陈婆转</v>
      </c>
      <c r="E3101" s="7" t="str">
        <f>"女"</f>
        <v>女</v>
      </c>
    </row>
    <row r="3102" spans="1:5" ht="30" customHeight="1">
      <c r="A3102" s="7">
        <v>3099</v>
      </c>
      <c r="B3102" s="7" t="str">
        <f>"38662022042110085625742"</f>
        <v>38662022042110085625742</v>
      </c>
      <c r="C3102" s="7" t="s">
        <v>39</v>
      </c>
      <c r="D3102" s="7" t="str">
        <f>"王晓菊"</f>
        <v>王晓菊</v>
      </c>
      <c r="E3102" s="7" t="str">
        <f>"女"</f>
        <v>女</v>
      </c>
    </row>
    <row r="3103" spans="1:5" ht="30" customHeight="1">
      <c r="A3103" s="7">
        <v>3100</v>
      </c>
      <c r="B3103" s="7" t="str">
        <f>"38662022042112102826971"</f>
        <v>38662022042112102826971</v>
      </c>
      <c r="C3103" s="7" t="s">
        <v>39</v>
      </c>
      <c r="D3103" s="7" t="str">
        <f>"韦荟滢"</f>
        <v>韦荟滢</v>
      </c>
      <c r="E3103" s="7" t="str">
        <f>"女"</f>
        <v>女</v>
      </c>
    </row>
    <row r="3104" spans="1:5" ht="30" customHeight="1">
      <c r="A3104" s="7">
        <v>3101</v>
      </c>
      <c r="B3104" s="7" t="str">
        <f>"38662022042112172327002"</f>
        <v>38662022042112172327002</v>
      </c>
      <c r="C3104" s="7" t="s">
        <v>39</v>
      </c>
      <c r="D3104" s="7" t="str">
        <f>"陈小慧"</f>
        <v>陈小慧</v>
      </c>
      <c r="E3104" s="7" t="str">
        <f>"女"</f>
        <v>女</v>
      </c>
    </row>
    <row r="3105" spans="1:5" ht="30" customHeight="1">
      <c r="A3105" s="7">
        <v>3102</v>
      </c>
      <c r="B3105" s="7" t="str">
        <f>"38662022042114494027872"</f>
        <v>38662022042114494027872</v>
      </c>
      <c r="C3105" s="7" t="s">
        <v>39</v>
      </c>
      <c r="D3105" s="7" t="str">
        <f>"胡程植"</f>
        <v>胡程植</v>
      </c>
      <c r="E3105" s="7" t="str">
        <f>"男"</f>
        <v>男</v>
      </c>
    </row>
    <row r="3106" spans="1:5" ht="30" customHeight="1">
      <c r="A3106" s="7">
        <v>3103</v>
      </c>
      <c r="B3106" s="7" t="str">
        <f>"38662022042115052628008"</f>
        <v>38662022042115052628008</v>
      </c>
      <c r="C3106" s="7" t="s">
        <v>39</v>
      </c>
      <c r="D3106" s="7" t="str">
        <f>"陈有娓"</f>
        <v>陈有娓</v>
      </c>
      <c r="E3106" s="7" t="str">
        <f>"女"</f>
        <v>女</v>
      </c>
    </row>
    <row r="3107" spans="1:5" ht="30" customHeight="1">
      <c r="A3107" s="7">
        <v>3104</v>
      </c>
      <c r="B3107" s="7" t="str">
        <f>"38662022042115345428267"</f>
        <v>38662022042115345428267</v>
      </c>
      <c r="C3107" s="7" t="s">
        <v>39</v>
      </c>
      <c r="D3107" s="7" t="str">
        <f>"郑再娜"</f>
        <v>郑再娜</v>
      </c>
      <c r="E3107" s="7" t="str">
        <f>"女"</f>
        <v>女</v>
      </c>
    </row>
    <row r="3108" spans="1:5" ht="30" customHeight="1">
      <c r="A3108" s="7">
        <v>3105</v>
      </c>
      <c r="B3108" s="7" t="str">
        <f>"38662022042117033028872"</f>
        <v>38662022042117033028872</v>
      </c>
      <c r="C3108" s="7" t="s">
        <v>39</v>
      </c>
      <c r="D3108" s="7" t="str">
        <f>"黄英"</f>
        <v>黄英</v>
      </c>
      <c r="E3108" s="7" t="str">
        <f>"女"</f>
        <v>女</v>
      </c>
    </row>
    <row r="3109" spans="1:5" ht="30" customHeight="1">
      <c r="A3109" s="7">
        <v>3106</v>
      </c>
      <c r="B3109" s="7" t="str">
        <f>"38662022042117142228955"</f>
        <v>38662022042117142228955</v>
      </c>
      <c r="C3109" s="7" t="s">
        <v>39</v>
      </c>
      <c r="D3109" s="7" t="str">
        <f>"吴健宁"</f>
        <v>吴健宁</v>
      </c>
      <c r="E3109" s="7" t="str">
        <f>"男"</f>
        <v>男</v>
      </c>
    </row>
    <row r="3110" spans="1:5" ht="30" customHeight="1">
      <c r="A3110" s="7">
        <v>3107</v>
      </c>
      <c r="B3110" s="7" t="str">
        <f>"38662022042119354129617"</f>
        <v>38662022042119354129617</v>
      </c>
      <c r="C3110" s="7" t="s">
        <v>39</v>
      </c>
      <c r="D3110" s="7" t="str">
        <f>"陈玲妹"</f>
        <v>陈玲妹</v>
      </c>
      <c r="E3110" s="7" t="str">
        <f aca="true" t="shared" si="144" ref="E3110:E3133">"女"</f>
        <v>女</v>
      </c>
    </row>
    <row r="3111" spans="1:5" ht="30" customHeight="1">
      <c r="A3111" s="7">
        <v>3108</v>
      </c>
      <c r="B3111" s="7" t="str">
        <f>"38662022042120122829777"</f>
        <v>38662022042120122829777</v>
      </c>
      <c r="C3111" s="7" t="s">
        <v>39</v>
      </c>
      <c r="D3111" s="7" t="str">
        <f>"冯南"</f>
        <v>冯南</v>
      </c>
      <c r="E3111" s="7" t="str">
        <f t="shared" si="144"/>
        <v>女</v>
      </c>
    </row>
    <row r="3112" spans="1:5" ht="30" customHeight="1">
      <c r="A3112" s="7">
        <v>3109</v>
      </c>
      <c r="B3112" s="7" t="str">
        <f>"38662022042122311730510"</f>
        <v>38662022042122311730510</v>
      </c>
      <c r="C3112" s="7" t="s">
        <v>39</v>
      </c>
      <c r="D3112" s="7" t="str">
        <f>"王雪翠"</f>
        <v>王雪翠</v>
      </c>
      <c r="E3112" s="7" t="str">
        <f t="shared" si="144"/>
        <v>女</v>
      </c>
    </row>
    <row r="3113" spans="1:5" ht="30" customHeight="1">
      <c r="A3113" s="7">
        <v>3110</v>
      </c>
      <c r="B3113" s="7" t="str">
        <f>"38662022042211532732428"</f>
        <v>38662022042211532732428</v>
      </c>
      <c r="C3113" s="7" t="s">
        <v>39</v>
      </c>
      <c r="D3113" s="7" t="str">
        <f>"粟静雯"</f>
        <v>粟静雯</v>
      </c>
      <c r="E3113" s="7" t="str">
        <f t="shared" si="144"/>
        <v>女</v>
      </c>
    </row>
    <row r="3114" spans="1:5" ht="30" customHeight="1">
      <c r="A3114" s="7">
        <v>3111</v>
      </c>
      <c r="B3114" s="7" t="str">
        <f>"38662022042211592432450"</f>
        <v>38662022042211592432450</v>
      </c>
      <c r="C3114" s="7" t="s">
        <v>39</v>
      </c>
      <c r="D3114" s="7" t="str">
        <f>"王静怡"</f>
        <v>王静怡</v>
      </c>
      <c r="E3114" s="7" t="str">
        <f t="shared" si="144"/>
        <v>女</v>
      </c>
    </row>
    <row r="3115" spans="1:5" ht="30" customHeight="1">
      <c r="A3115" s="7">
        <v>3112</v>
      </c>
      <c r="B3115" s="7" t="str">
        <f>"38662022042213193832771"</f>
        <v>38662022042213193832771</v>
      </c>
      <c r="C3115" s="7" t="s">
        <v>39</v>
      </c>
      <c r="D3115" s="7" t="str">
        <f>"何文文"</f>
        <v>何文文</v>
      </c>
      <c r="E3115" s="7" t="str">
        <f t="shared" si="144"/>
        <v>女</v>
      </c>
    </row>
    <row r="3116" spans="1:5" ht="30" customHeight="1">
      <c r="A3116" s="7">
        <v>3113</v>
      </c>
      <c r="B3116" s="7" t="str">
        <f>"38662022042213584732891"</f>
        <v>38662022042213584732891</v>
      </c>
      <c r="C3116" s="7" t="s">
        <v>39</v>
      </c>
      <c r="D3116" s="7" t="str">
        <f>"伍海容"</f>
        <v>伍海容</v>
      </c>
      <c r="E3116" s="7" t="str">
        <f t="shared" si="144"/>
        <v>女</v>
      </c>
    </row>
    <row r="3117" spans="1:5" ht="30" customHeight="1">
      <c r="A3117" s="7">
        <v>3114</v>
      </c>
      <c r="B3117" s="7" t="str">
        <f>"38662022042217575634207"</f>
        <v>38662022042217575634207</v>
      </c>
      <c r="C3117" s="7" t="s">
        <v>39</v>
      </c>
      <c r="D3117" s="7" t="str">
        <f>"郑学彩"</f>
        <v>郑学彩</v>
      </c>
      <c r="E3117" s="7" t="str">
        <f t="shared" si="144"/>
        <v>女</v>
      </c>
    </row>
    <row r="3118" spans="1:5" ht="30" customHeight="1">
      <c r="A3118" s="7">
        <v>3115</v>
      </c>
      <c r="B3118" s="7" t="str">
        <f>"38662022042222051634703"</f>
        <v>38662022042222051634703</v>
      </c>
      <c r="C3118" s="7" t="s">
        <v>39</v>
      </c>
      <c r="D3118" s="7" t="str">
        <f>"王康丽"</f>
        <v>王康丽</v>
      </c>
      <c r="E3118" s="7" t="str">
        <f t="shared" si="144"/>
        <v>女</v>
      </c>
    </row>
    <row r="3119" spans="1:5" ht="30" customHeight="1">
      <c r="A3119" s="7">
        <v>3116</v>
      </c>
      <c r="B3119" s="7" t="str">
        <f>"38662022042309141134936"</f>
        <v>38662022042309141134936</v>
      </c>
      <c r="C3119" s="7" t="s">
        <v>39</v>
      </c>
      <c r="D3119" s="7" t="str">
        <f>"董佳佳"</f>
        <v>董佳佳</v>
      </c>
      <c r="E3119" s="7" t="str">
        <f t="shared" si="144"/>
        <v>女</v>
      </c>
    </row>
    <row r="3120" spans="1:5" ht="30" customHeight="1">
      <c r="A3120" s="7">
        <v>3117</v>
      </c>
      <c r="B3120" s="7" t="str">
        <f>"38662022042310414335054"</f>
        <v>38662022042310414335054</v>
      </c>
      <c r="C3120" s="7" t="s">
        <v>39</v>
      </c>
      <c r="D3120" s="7" t="str">
        <f>"张琪静"</f>
        <v>张琪静</v>
      </c>
      <c r="E3120" s="7" t="str">
        <f t="shared" si="144"/>
        <v>女</v>
      </c>
    </row>
    <row r="3121" spans="1:5" ht="30" customHeight="1">
      <c r="A3121" s="7">
        <v>3118</v>
      </c>
      <c r="B3121" s="7" t="str">
        <f>"38662022042316420835529"</f>
        <v>38662022042316420835529</v>
      </c>
      <c r="C3121" s="7" t="s">
        <v>39</v>
      </c>
      <c r="D3121" s="7" t="str">
        <f>"邢贞苗"</f>
        <v>邢贞苗</v>
      </c>
      <c r="E3121" s="7" t="str">
        <f t="shared" si="144"/>
        <v>女</v>
      </c>
    </row>
    <row r="3122" spans="1:5" ht="30" customHeight="1">
      <c r="A3122" s="7">
        <v>3119</v>
      </c>
      <c r="B3122" s="7" t="str">
        <f>"38662022042321382335896"</f>
        <v>38662022042321382335896</v>
      </c>
      <c r="C3122" s="7" t="s">
        <v>39</v>
      </c>
      <c r="D3122" s="7" t="str">
        <f>"吴清爽"</f>
        <v>吴清爽</v>
      </c>
      <c r="E3122" s="7" t="str">
        <f t="shared" si="144"/>
        <v>女</v>
      </c>
    </row>
    <row r="3123" spans="1:5" ht="30" customHeight="1">
      <c r="A3123" s="7">
        <v>3120</v>
      </c>
      <c r="B3123" s="7" t="str">
        <f>"38662022042411204836521"</f>
        <v>38662022042411204836521</v>
      </c>
      <c r="C3123" s="7" t="s">
        <v>39</v>
      </c>
      <c r="D3123" s="7" t="str">
        <f>"林本平"</f>
        <v>林本平</v>
      </c>
      <c r="E3123" s="7" t="str">
        <f t="shared" si="144"/>
        <v>女</v>
      </c>
    </row>
    <row r="3124" spans="1:5" ht="30" customHeight="1">
      <c r="A3124" s="7">
        <v>3121</v>
      </c>
      <c r="B3124" s="7" t="str">
        <f>"38662022042418082437246"</f>
        <v>38662022042418082437246</v>
      </c>
      <c r="C3124" s="7" t="s">
        <v>39</v>
      </c>
      <c r="D3124" s="7" t="str">
        <f>"陈盛兰"</f>
        <v>陈盛兰</v>
      </c>
      <c r="E3124" s="7" t="str">
        <f t="shared" si="144"/>
        <v>女</v>
      </c>
    </row>
    <row r="3125" spans="1:5" ht="30" customHeight="1">
      <c r="A3125" s="7">
        <v>3122</v>
      </c>
      <c r="B3125" s="7" t="str">
        <f>"38662022042420080637407"</f>
        <v>38662022042420080637407</v>
      </c>
      <c r="C3125" s="7" t="s">
        <v>39</v>
      </c>
      <c r="D3125" s="7" t="str">
        <f>"郑婷"</f>
        <v>郑婷</v>
      </c>
      <c r="E3125" s="7" t="str">
        <f t="shared" si="144"/>
        <v>女</v>
      </c>
    </row>
    <row r="3126" spans="1:5" ht="30" customHeight="1">
      <c r="A3126" s="7">
        <v>3123</v>
      </c>
      <c r="B3126" s="7" t="str">
        <f>"38662022042422285737637"</f>
        <v>38662022042422285737637</v>
      </c>
      <c r="C3126" s="7" t="s">
        <v>39</v>
      </c>
      <c r="D3126" s="7" t="str">
        <f>"杜云婷"</f>
        <v>杜云婷</v>
      </c>
      <c r="E3126" s="7" t="str">
        <f t="shared" si="144"/>
        <v>女</v>
      </c>
    </row>
    <row r="3127" spans="1:5" ht="30" customHeight="1">
      <c r="A3127" s="7">
        <v>3124</v>
      </c>
      <c r="B3127" s="7" t="str">
        <f>"38662022042509012937844"</f>
        <v>38662022042509012937844</v>
      </c>
      <c r="C3127" s="7" t="s">
        <v>39</v>
      </c>
      <c r="D3127" s="7" t="str">
        <f>"董菲菲"</f>
        <v>董菲菲</v>
      </c>
      <c r="E3127" s="7" t="str">
        <f t="shared" si="144"/>
        <v>女</v>
      </c>
    </row>
    <row r="3128" spans="1:5" ht="30" customHeight="1">
      <c r="A3128" s="7">
        <v>3125</v>
      </c>
      <c r="B3128" s="7" t="str">
        <f>"38662022042510244137986"</f>
        <v>38662022042510244137986</v>
      </c>
      <c r="C3128" s="7" t="s">
        <v>39</v>
      </c>
      <c r="D3128" s="7" t="str">
        <f>"彭舒凤"</f>
        <v>彭舒凤</v>
      </c>
      <c r="E3128" s="7" t="str">
        <f t="shared" si="144"/>
        <v>女</v>
      </c>
    </row>
    <row r="3129" spans="1:5" ht="30" customHeight="1">
      <c r="A3129" s="7">
        <v>3126</v>
      </c>
      <c r="B3129" s="7" t="str">
        <f>"38662022042518023638615"</f>
        <v>38662022042518023638615</v>
      </c>
      <c r="C3129" s="7" t="s">
        <v>39</v>
      </c>
      <c r="D3129" s="7" t="str">
        <f>"吴采锶"</f>
        <v>吴采锶</v>
      </c>
      <c r="E3129" s="7" t="str">
        <f t="shared" si="144"/>
        <v>女</v>
      </c>
    </row>
    <row r="3130" spans="1:5" ht="30" customHeight="1">
      <c r="A3130" s="7">
        <v>3127</v>
      </c>
      <c r="B3130" s="7" t="str">
        <f>"38662022042518361738654"</f>
        <v>38662022042518361738654</v>
      </c>
      <c r="C3130" s="7" t="s">
        <v>39</v>
      </c>
      <c r="D3130" s="7" t="str">
        <f>"钟周洛"</f>
        <v>钟周洛</v>
      </c>
      <c r="E3130" s="7" t="str">
        <f t="shared" si="144"/>
        <v>女</v>
      </c>
    </row>
    <row r="3131" spans="1:5" ht="30" customHeight="1">
      <c r="A3131" s="7">
        <v>3128</v>
      </c>
      <c r="B3131" s="7" t="str">
        <f>"38662022042600221839072"</f>
        <v>38662022042600221839072</v>
      </c>
      <c r="C3131" s="7" t="s">
        <v>39</v>
      </c>
      <c r="D3131" s="7" t="str">
        <f>"王不够"</f>
        <v>王不够</v>
      </c>
      <c r="E3131" s="7" t="str">
        <f t="shared" si="144"/>
        <v>女</v>
      </c>
    </row>
    <row r="3132" spans="1:5" ht="30" customHeight="1">
      <c r="A3132" s="7">
        <v>3129</v>
      </c>
      <c r="B3132" s="7" t="str">
        <f>"38662022042610362739315"</f>
        <v>38662022042610362739315</v>
      </c>
      <c r="C3132" s="7" t="s">
        <v>39</v>
      </c>
      <c r="D3132" s="7" t="str">
        <f>"张珍紫"</f>
        <v>张珍紫</v>
      </c>
      <c r="E3132" s="7" t="str">
        <f t="shared" si="144"/>
        <v>女</v>
      </c>
    </row>
    <row r="3133" spans="1:5" ht="30" customHeight="1">
      <c r="A3133" s="7">
        <v>3130</v>
      </c>
      <c r="B3133" s="7" t="str">
        <f>"38662022042618014439956"</f>
        <v>38662022042618014439956</v>
      </c>
      <c r="C3133" s="7" t="s">
        <v>39</v>
      </c>
      <c r="D3133" s="7" t="str">
        <f>"袁丽琳"</f>
        <v>袁丽琳</v>
      </c>
      <c r="E3133" s="7" t="str">
        <f t="shared" si="144"/>
        <v>女</v>
      </c>
    </row>
    <row r="3134" spans="1:5" ht="30" customHeight="1">
      <c r="A3134" s="7">
        <v>3131</v>
      </c>
      <c r="B3134" s="7" t="str">
        <f>"38662022042620371340153"</f>
        <v>38662022042620371340153</v>
      </c>
      <c r="C3134" s="7" t="s">
        <v>39</v>
      </c>
      <c r="D3134" s="7" t="str">
        <f>"林招运"</f>
        <v>林招运</v>
      </c>
      <c r="E3134" s="7" t="str">
        <f>"男"</f>
        <v>男</v>
      </c>
    </row>
    <row r="3135" spans="1:5" ht="30" customHeight="1">
      <c r="A3135" s="7">
        <v>3132</v>
      </c>
      <c r="B3135" s="7" t="str">
        <f>"38662022042710462341956"</f>
        <v>38662022042710462341956</v>
      </c>
      <c r="C3135" s="7" t="s">
        <v>39</v>
      </c>
      <c r="D3135" s="7" t="str">
        <f>"林女娟"</f>
        <v>林女娟</v>
      </c>
      <c r="E3135" s="7" t="str">
        <f>"女"</f>
        <v>女</v>
      </c>
    </row>
    <row r="3136" spans="1:5" ht="30" customHeight="1">
      <c r="A3136" s="7">
        <v>3133</v>
      </c>
      <c r="B3136" s="7" t="str">
        <f>"38662022042714381743508"</f>
        <v>38662022042714381743508</v>
      </c>
      <c r="C3136" s="7" t="s">
        <v>39</v>
      </c>
      <c r="D3136" s="7" t="str">
        <f>"张艺"</f>
        <v>张艺</v>
      </c>
      <c r="E3136" s="7" t="str">
        <f>"男"</f>
        <v>男</v>
      </c>
    </row>
    <row r="3137" spans="1:5" ht="30" customHeight="1">
      <c r="A3137" s="7">
        <v>3134</v>
      </c>
      <c r="B3137" s="7" t="str">
        <f>"38662022042715583044019"</f>
        <v>38662022042715583044019</v>
      </c>
      <c r="C3137" s="7" t="s">
        <v>39</v>
      </c>
      <c r="D3137" s="7" t="str">
        <f>"曾婷"</f>
        <v>曾婷</v>
      </c>
      <c r="E3137" s="7" t="str">
        <f>"女"</f>
        <v>女</v>
      </c>
    </row>
    <row r="3138" spans="1:5" ht="30" customHeight="1">
      <c r="A3138" s="7">
        <v>3135</v>
      </c>
      <c r="B3138" s="7" t="str">
        <f>"38662022042110051125694"</f>
        <v>38662022042110051125694</v>
      </c>
      <c r="C3138" s="7" t="s">
        <v>40</v>
      </c>
      <c r="D3138" s="7" t="str">
        <f>"翁克源"</f>
        <v>翁克源</v>
      </c>
      <c r="E3138" s="7" t="str">
        <f>"男"</f>
        <v>男</v>
      </c>
    </row>
    <row r="3139" spans="1:5" ht="30" customHeight="1">
      <c r="A3139" s="7">
        <v>3136</v>
      </c>
      <c r="B3139" s="7" t="str">
        <f>"38662022042110292226007"</f>
        <v>38662022042110292226007</v>
      </c>
      <c r="C3139" s="7" t="s">
        <v>40</v>
      </c>
      <c r="D3139" s="7" t="str">
        <f>"林高尊"</f>
        <v>林高尊</v>
      </c>
      <c r="E3139" s="7" t="str">
        <f>"男"</f>
        <v>男</v>
      </c>
    </row>
    <row r="3140" spans="1:5" ht="30" customHeight="1">
      <c r="A3140" s="7">
        <v>3137</v>
      </c>
      <c r="B3140" s="7" t="str">
        <f>"38662022042115050328005"</f>
        <v>38662022042115050328005</v>
      </c>
      <c r="C3140" s="7" t="s">
        <v>40</v>
      </c>
      <c r="D3140" s="7" t="str">
        <f>"陈志姣"</f>
        <v>陈志姣</v>
      </c>
      <c r="E3140" s="7" t="str">
        <f>"女"</f>
        <v>女</v>
      </c>
    </row>
    <row r="3141" spans="1:5" ht="30" customHeight="1">
      <c r="A3141" s="7">
        <v>3138</v>
      </c>
      <c r="B3141" s="7" t="str">
        <f>"38662022042115182128136"</f>
        <v>38662022042115182128136</v>
      </c>
      <c r="C3141" s="7" t="s">
        <v>40</v>
      </c>
      <c r="D3141" s="7" t="str">
        <f>"欧开轩"</f>
        <v>欧开轩</v>
      </c>
      <c r="E3141" s="7" t="str">
        <f>"男"</f>
        <v>男</v>
      </c>
    </row>
    <row r="3142" spans="1:5" ht="30" customHeight="1">
      <c r="A3142" s="7">
        <v>3139</v>
      </c>
      <c r="B3142" s="7" t="str">
        <f>"38662022042117165828973"</f>
        <v>38662022042117165828973</v>
      </c>
      <c r="C3142" s="7" t="s">
        <v>40</v>
      </c>
      <c r="D3142" s="7" t="str">
        <f>"符春宝"</f>
        <v>符春宝</v>
      </c>
      <c r="E3142" s="7" t="str">
        <f>"男"</f>
        <v>男</v>
      </c>
    </row>
    <row r="3143" spans="1:5" ht="30" customHeight="1">
      <c r="A3143" s="7">
        <v>3140</v>
      </c>
      <c r="B3143" s="7" t="str">
        <f>"38662022042119584829706"</f>
        <v>38662022042119584829706</v>
      </c>
      <c r="C3143" s="7" t="s">
        <v>40</v>
      </c>
      <c r="D3143" s="7" t="str">
        <f>"林芳惠"</f>
        <v>林芳惠</v>
      </c>
      <c r="E3143" s="7" t="str">
        <f>"女"</f>
        <v>女</v>
      </c>
    </row>
    <row r="3144" spans="1:5" ht="30" customHeight="1">
      <c r="A3144" s="7">
        <v>3141</v>
      </c>
      <c r="B3144" s="7" t="str">
        <f>"38662022042122365330540"</f>
        <v>38662022042122365330540</v>
      </c>
      <c r="C3144" s="7" t="s">
        <v>40</v>
      </c>
      <c r="D3144" s="7" t="str">
        <f>"彭昌龙"</f>
        <v>彭昌龙</v>
      </c>
      <c r="E3144" s="7" t="str">
        <f aca="true" t="shared" si="145" ref="E3144:E3153">"男"</f>
        <v>男</v>
      </c>
    </row>
    <row r="3145" spans="1:5" ht="30" customHeight="1">
      <c r="A3145" s="7">
        <v>3142</v>
      </c>
      <c r="B3145" s="7" t="str">
        <f>"38662022042214385633059"</f>
        <v>38662022042214385633059</v>
      </c>
      <c r="C3145" s="7" t="s">
        <v>40</v>
      </c>
      <c r="D3145" s="7" t="str">
        <f>"羊为俊"</f>
        <v>羊为俊</v>
      </c>
      <c r="E3145" s="7" t="str">
        <f t="shared" si="145"/>
        <v>男</v>
      </c>
    </row>
    <row r="3146" spans="1:5" ht="30" customHeight="1">
      <c r="A3146" s="7">
        <v>3143</v>
      </c>
      <c r="B3146" s="7" t="str">
        <f>"38662022042215035333186"</f>
        <v>38662022042215035333186</v>
      </c>
      <c r="C3146" s="7" t="s">
        <v>40</v>
      </c>
      <c r="D3146" s="7" t="str">
        <f>"董衡"</f>
        <v>董衡</v>
      </c>
      <c r="E3146" s="7" t="str">
        <f t="shared" si="145"/>
        <v>男</v>
      </c>
    </row>
    <row r="3147" spans="1:5" ht="30" customHeight="1">
      <c r="A3147" s="7">
        <v>3144</v>
      </c>
      <c r="B3147" s="7" t="str">
        <f>"38662022042215195433278"</f>
        <v>38662022042215195433278</v>
      </c>
      <c r="C3147" s="7" t="s">
        <v>40</v>
      </c>
      <c r="D3147" s="7" t="str">
        <f>"李德徐"</f>
        <v>李德徐</v>
      </c>
      <c r="E3147" s="7" t="str">
        <f t="shared" si="145"/>
        <v>男</v>
      </c>
    </row>
    <row r="3148" spans="1:5" ht="30" customHeight="1">
      <c r="A3148" s="7">
        <v>3145</v>
      </c>
      <c r="B3148" s="7" t="str">
        <f>"38662022042218280634278"</f>
        <v>38662022042218280634278</v>
      </c>
      <c r="C3148" s="7" t="s">
        <v>40</v>
      </c>
      <c r="D3148" s="7" t="str">
        <f>"李昌隆"</f>
        <v>李昌隆</v>
      </c>
      <c r="E3148" s="7" t="str">
        <f t="shared" si="145"/>
        <v>男</v>
      </c>
    </row>
    <row r="3149" spans="1:5" ht="30" customHeight="1">
      <c r="A3149" s="7">
        <v>3146</v>
      </c>
      <c r="B3149" s="7" t="str">
        <f>"38662022042316440235533"</f>
        <v>38662022042316440235533</v>
      </c>
      <c r="C3149" s="7" t="s">
        <v>40</v>
      </c>
      <c r="D3149" s="7" t="str">
        <f>"欧哲彬"</f>
        <v>欧哲彬</v>
      </c>
      <c r="E3149" s="7" t="str">
        <f t="shared" si="145"/>
        <v>男</v>
      </c>
    </row>
    <row r="3150" spans="1:5" ht="30" customHeight="1">
      <c r="A3150" s="7">
        <v>3147</v>
      </c>
      <c r="B3150" s="7" t="str">
        <f>"38662022042318220735643"</f>
        <v>38662022042318220735643</v>
      </c>
      <c r="C3150" s="7" t="s">
        <v>40</v>
      </c>
      <c r="D3150" s="7" t="str">
        <f>"曾维旭"</f>
        <v>曾维旭</v>
      </c>
      <c r="E3150" s="7" t="str">
        <f t="shared" si="145"/>
        <v>男</v>
      </c>
    </row>
    <row r="3151" spans="1:5" ht="30" customHeight="1">
      <c r="A3151" s="7">
        <v>3148</v>
      </c>
      <c r="B3151" s="7" t="str">
        <f>"38662022042409344636320"</f>
        <v>38662022042409344636320</v>
      </c>
      <c r="C3151" s="7" t="s">
        <v>40</v>
      </c>
      <c r="D3151" s="7" t="str">
        <f>"符大树"</f>
        <v>符大树</v>
      </c>
      <c r="E3151" s="7" t="str">
        <f t="shared" si="145"/>
        <v>男</v>
      </c>
    </row>
    <row r="3152" spans="1:5" ht="30" customHeight="1">
      <c r="A3152" s="7">
        <v>3149</v>
      </c>
      <c r="B3152" s="7" t="str">
        <f>"38662022042414475036832"</f>
        <v>38662022042414475036832</v>
      </c>
      <c r="C3152" s="7" t="s">
        <v>40</v>
      </c>
      <c r="D3152" s="7" t="str">
        <f>"符敦旭"</f>
        <v>符敦旭</v>
      </c>
      <c r="E3152" s="7" t="str">
        <f t="shared" si="145"/>
        <v>男</v>
      </c>
    </row>
    <row r="3153" spans="1:5" ht="30" customHeight="1">
      <c r="A3153" s="7">
        <v>3150</v>
      </c>
      <c r="B3153" s="7" t="str">
        <f>"38662022042509592237943"</f>
        <v>38662022042509592237943</v>
      </c>
      <c r="C3153" s="7" t="s">
        <v>40</v>
      </c>
      <c r="D3153" s="7" t="str">
        <f>"董乾"</f>
        <v>董乾</v>
      </c>
      <c r="E3153" s="7" t="str">
        <f t="shared" si="145"/>
        <v>男</v>
      </c>
    </row>
    <row r="3154" spans="1:5" ht="30" customHeight="1">
      <c r="A3154" s="7">
        <v>3151</v>
      </c>
      <c r="B3154" s="7" t="str">
        <f>"38662022042511295838120"</f>
        <v>38662022042511295838120</v>
      </c>
      <c r="C3154" s="7" t="s">
        <v>40</v>
      </c>
      <c r="D3154" s="7" t="str">
        <f>"吴定秋"</f>
        <v>吴定秋</v>
      </c>
      <c r="E3154" s="7" t="str">
        <f>"女"</f>
        <v>女</v>
      </c>
    </row>
    <row r="3155" spans="1:5" ht="30" customHeight="1">
      <c r="A3155" s="7">
        <v>3152</v>
      </c>
      <c r="B3155" s="7" t="str">
        <f>"38662022042515422238413"</f>
        <v>38662022042515422238413</v>
      </c>
      <c r="C3155" s="7" t="s">
        <v>40</v>
      </c>
      <c r="D3155" s="7" t="str">
        <f>"王善"</f>
        <v>王善</v>
      </c>
      <c r="E3155" s="7" t="str">
        <f>"男"</f>
        <v>男</v>
      </c>
    </row>
    <row r="3156" spans="1:5" ht="30" customHeight="1">
      <c r="A3156" s="7">
        <v>3153</v>
      </c>
      <c r="B3156" s="7" t="str">
        <f>"38662022042523482939050"</f>
        <v>38662022042523482939050</v>
      </c>
      <c r="C3156" s="7" t="s">
        <v>40</v>
      </c>
      <c r="D3156" s="7" t="str">
        <f>"林霞"</f>
        <v>林霞</v>
      </c>
      <c r="E3156" s="7" t="str">
        <f>"女"</f>
        <v>女</v>
      </c>
    </row>
    <row r="3157" spans="1:5" ht="30" customHeight="1">
      <c r="A3157" s="7">
        <v>3154</v>
      </c>
      <c r="B3157" s="7" t="str">
        <f>"38662022042608055639117"</f>
        <v>38662022042608055639117</v>
      </c>
      <c r="C3157" s="7" t="s">
        <v>40</v>
      </c>
      <c r="D3157" s="7" t="str">
        <f>"吴春艳"</f>
        <v>吴春艳</v>
      </c>
      <c r="E3157" s="7" t="str">
        <f>"女"</f>
        <v>女</v>
      </c>
    </row>
    <row r="3158" spans="1:5" ht="30" customHeight="1">
      <c r="A3158" s="7">
        <v>3155</v>
      </c>
      <c r="B3158" s="7" t="str">
        <f>"38662022042616000739755"</f>
        <v>38662022042616000739755</v>
      </c>
      <c r="C3158" s="7" t="s">
        <v>40</v>
      </c>
      <c r="D3158" s="7" t="str">
        <f>"郑纪旺"</f>
        <v>郑纪旺</v>
      </c>
      <c r="E3158" s="7" t="str">
        <f>"男"</f>
        <v>男</v>
      </c>
    </row>
    <row r="3159" spans="1:5" ht="30" customHeight="1">
      <c r="A3159" s="7">
        <v>3156</v>
      </c>
      <c r="B3159" s="7" t="str">
        <f>"38662022042709310341085"</f>
        <v>38662022042709310341085</v>
      </c>
      <c r="C3159" s="7" t="s">
        <v>40</v>
      </c>
      <c r="D3159" s="7" t="str">
        <f>"吴祖贤"</f>
        <v>吴祖贤</v>
      </c>
      <c r="E3159" s="7" t="str">
        <f>"男"</f>
        <v>男</v>
      </c>
    </row>
    <row r="3160" spans="1:5" ht="30" customHeight="1">
      <c r="A3160" s="7">
        <v>3157</v>
      </c>
      <c r="B3160" s="7" t="str">
        <f>"38662022042710315841784"</f>
        <v>38662022042710315841784</v>
      </c>
      <c r="C3160" s="7" t="s">
        <v>40</v>
      </c>
      <c r="D3160" s="7" t="str">
        <f>"石造"</f>
        <v>石造</v>
      </c>
      <c r="E3160" s="7" t="str">
        <f>"男"</f>
        <v>男</v>
      </c>
    </row>
    <row r="3161" spans="1:5" ht="30" customHeight="1">
      <c r="A3161" s="7">
        <v>3158</v>
      </c>
      <c r="B3161" s="7" t="str">
        <f>"38662022042109225425158"</f>
        <v>38662022042109225425158</v>
      </c>
      <c r="C3161" s="7" t="s">
        <v>41</v>
      </c>
      <c r="D3161" s="7" t="str">
        <f>"范旭"</f>
        <v>范旭</v>
      </c>
      <c r="E3161" s="7" t="str">
        <f>"男"</f>
        <v>男</v>
      </c>
    </row>
    <row r="3162" spans="1:5" ht="30" customHeight="1">
      <c r="A3162" s="7">
        <v>3159</v>
      </c>
      <c r="B3162" s="7" t="str">
        <f>"38662022042109454625435"</f>
        <v>38662022042109454625435</v>
      </c>
      <c r="C3162" s="7" t="s">
        <v>41</v>
      </c>
      <c r="D3162" s="7" t="str">
        <f>"李坤"</f>
        <v>李坤</v>
      </c>
      <c r="E3162" s="7" t="str">
        <f>"女"</f>
        <v>女</v>
      </c>
    </row>
    <row r="3163" spans="1:5" ht="30" customHeight="1">
      <c r="A3163" s="7">
        <v>3160</v>
      </c>
      <c r="B3163" s="7" t="str">
        <f>"38662022042311092235089"</f>
        <v>38662022042311092235089</v>
      </c>
      <c r="C3163" s="7" t="s">
        <v>41</v>
      </c>
      <c r="D3163" s="7" t="str">
        <f>"刘宇馨"</f>
        <v>刘宇馨</v>
      </c>
      <c r="E3163" s="7" t="str">
        <f>"女"</f>
        <v>女</v>
      </c>
    </row>
    <row r="3164" spans="1:5" ht="30" customHeight="1">
      <c r="A3164" s="7">
        <v>3161</v>
      </c>
      <c r="B3164" s="7" t="str">
        <f>"38662022042511060938079"</f>
        <v>38662022042511060938079</v>
      </c>
      <c r="C3164" s="7" t="s">
        <v>41</v>
      </c>
      <c r="D3164" s="7" t="str">
        <f>"蔡芬"</f>
        <v>蔡芬</v>
      </c>
      <c r="E3164" s="7" t="str">
        <f>"女"</f>
        <v>女</v>
      </c>
    </row>
    <row r="3165" spans="1:5" ht="30" customHeight="1">
      <c r="A3165" s="7">
        <v>3162</v>
      </c>
      <c r="B3165" s="7" t="str">
        <f>"38662022042616432639847"</f>
        <v>38662022042616432639847</v>
      </c>
      <c r="C3165" s="7" t="s">
        <v>41</v>
      </c>
      <c r="D3165" s="7" t="str">
        <f>"陈艳梅"</f>
        <v>陈艳梅</v>
      </c>
      <c r="E3165" s="7" t="str">
        <f>"女"</f>
        <v>女</v>
      </c>
    </row>
    <row r="3166" spans="1:5" ht="30" customHeight="1">
      <c r="A3166" s="7">
        <v>3163</v>
      </c>
      <c r="B3166" s="7" t="str">
        <f>"38662022042111383626732"</f>
        <v>38662022042111383626732</v>
      </c>
      <c r="C3166" s="7" t="s">
        <v>42</v>
      </c>
      <c r="D3166" s="7" t="str">
        <f>"朱敏"</f>
        <v>朱敏</v>
      </c>
      <c r="E3166" s="7" t="str">
        <f>"女"</f>
        <v>女</v>
      </c>
    </row>
    <row r="3167" spans="1:5" ht="30" customHeight="1">
      <c r="A3167" s="7">
        <v>3164</v>
      </c>
      <c r="B3167" s="7" t="str">
        <f>"38662022042115505728397"</f>
        <v>38662022042115505728397</v>
      </c>
      <c r="C3167" s="7" t="s">
        <v>42</v>
      </c>
      <c r="D3167" s="7" t="str">
        <f>"钟信念"</f>
        <v>钟信念</v>
      </c>
      <c r="E3167" s="7" t="str">
        <f aca="true" t="shared" si="146" ref="E3167:E3177">"女"</f>
        <v>女</v>
      </c>
    </row>
    <row r="3168" spans="1:5" ht="30" customHeight="1">
      <c r="A3168" s="7">
        <v>3165</v>
      </c>
      <c r="B3168" s="7" t="str">
        <f>"38662022042321215935870"</f>
        <v>38662022042321215935870</v>
      </c>
      <c r="C3168" s="7" t="s">
        <v>42</v>
      </c>
      <c r="D3168" s="7" t="str">
        <f>"李娇妮"</f>
        <v>李娇妮</v>
      </c>
      <c r="E3168" s="7" t="str">
        <f t="shared" si="146"/>
        <v>女</v>
      </c>
    </row>
    <row r="3169" spans="1:5" ht="30" customHeight="1">
      <c r="A3169" s="7">
        <v>3166</v>
      </c>
      <c r="B3169" s="7" t="str">
        <f>"38662022042621275840246"</f>
        <v>38662022042621275840246</v>
      </c>
      <c r="C3169" s="7" t="s">
        <v>42</v>
      </c>
      <c r="D3169" s="7" t="str">
        <f>"张小短"</f>
        <v>张小短</v>
      </c>
      <c r="E3169" s="7" t="str">
        <f t="shared" si="146"/>
        <v>女</v>
      </c>
    </row>
    <row r="3170" spans="1:5" ht="30" customHeight="1">
      <c r="A3170" s="7">
        <v>3167</v>
      </c>
      <c r="B3170" s="7" t="str">
        <f>"38662022042713191243055"</f>
        <v>38662022042713191243055</v>
      </c>
      <c r="C3170" s="7" t="s">
        <v>42</v>
      </c>
      <c r="D3170" s="7" t="str">
        <f>"刘梓贤"</f>
        <v>刘梓贤</v>
      </c>
      <c r="E3170" s="7" t="str">
        <f t="shared" si="146"/>
        <v>女</v>
      </c>
    </row>
    <row r="3171" spans="1:5" ht="30" customHeight="1">
      <c r="A3171" s="7">
        <v>3168</v>
      </c>
      <c r="B3171" s="7" t="str">
        <f>"38662022042715535943991"</f>
        <v>38662022042715535943991</v>
      </c>
      <c r="C3171" s="7" t="s">
        <v>42</v>
      </c>
      <c r="D3171" s="7" t="str">
        <f>"张梵"</f>
        <v>张梵</v>
      </c>
      <c r="E3171" s="7" t="str">
        <f t="shared" si="146"/>
        <v>女</v>
      </c>
    </row>
    <row r="3172" spans="1:5" ht="30" customHeight="1">
      <c r="A3172" s="7">
        <v>3169</v>
      </c>
      <c r="B3172" s="7" t="str">
        <f>"38662022042109041324933"</f>
        <v>38662022042109041324933</v>
      </c>
      <c r="C3172" s="7" t="s">
        <v>43</v>
      </c>
      <c r="D3172" s="7" t="str">
        <f>"郑康敏"</f>
        <v>郑康敏</v>
      </c>
      <c r="E3172" s="7" t="str">
        <f t="shared" si="146"/>
        <v>女</v>
      </c>
    </row>
    <row r="3173" spans="1:5" ht="30" customHeight="1">
      <c r="A3173" s="7">
        <v>3170</v>
      </c>
      <c r="B3173" s="7" t="str">
        <f>"38662022042109431125410"</f>
        <v>38662022042109431125410</v>
      </c>
      <c r="C3173" s="7" t="s">
        <v>43</v>
      </c>
      <c r="D3173" s="7" t="str">
        <f>"符丽萍"</f>
        <v>符丽萍</v>
      </c>
      <c r="E3173" s="7" t="str">
        <f t="shared" si="146"/>
        <v>女</v>
      </c>
    </row>
    <row r="3174" spans="1:5" ht="30" customHeight="1">
      <c r="A3174" s="7">
        <v>3171</v>
      </c>
      <c r="B3174" s="7" t="str">
        <f>"38662022042109563325579"</f>
        <v>38662022042109563325579</v>
      </c>
      <c r="C3174" s="7" t="s">
        <v>43</v>
      </c>
      <c r="D3174" s="7" t="str">
        <f>"麦少缘"</f>
        <v>麦少缘</v>
      </c>
      <c r="E3174" s="7" t="str">
        <f t="shared" si="146"/>
        <v>女</v>
      </c>
    </row>
    <row r="3175" spans="1:5" ht="30" customHeight="1">
      <c r="A3175" s="7">
        <v>3172</v>
      </c>
      <c r="B3175" s="7" t="str">
        <f>"38662022042110063925712"</f>
        <v>38662022042110063925712</v>
      </c>
      <c r="C3175" s="7" t="s">
        <v>43</v>
      </c>
      <c r="D3175" s="7" t="str">
        <f>"吴钟莹"</f>
        <v>吴钟莹</v>
      </c>
      <c r="E3175" s="7" t="str">
        <f t="shared" si="146"/>
        <v>女</v>
      </c>
    </row>
    <row r="3176" spans="1:5" ht="30" customHeight="1">
      <c r="A3176" s="7">
        <v>3173</v>
      </c>
      <c r="B3176" s="7" t="str">
        <f>"38662022042110074525724"</f>
        <v>38662022042110074525724</v>
      </c>
      <c r="C3176" s="7" t="s">
        <v>43</v>
      </c>
      <c r="D3176" s="7" t="str">
        <f>"刘奇"</f>
        <v>刘奇</v>
      </c>
      <c r="E3176" s="7" t="str">
        <f t="shared" si="146"/>
        <v>女</v>
      </c>
    </row>
    <row r="3177" spans="1:5" ht="30" customHeight="1">
      <c r="A3177" s="7">
        <v>3174</v>
      </c>
      <c r="B3177" s="7" t="str">
        <f>"38662022042110113725776"</f>
        <v>38662022042110113725776</v>
      </c>
      <c r="C3177" s="7" t="s">
        <v>43</v>
      </c>
      <c r="D3177" s="7" t="str">
        <f>"王姑女"</f>
        <v>王姑女</v>
      </c>
      <c r="E3177" s="7" t="str">
        <f t="shared" si="146"/>
        <v>女</v>
      </c>
    </row>
    <row r="3178" spans="1:5" ht="30" customHeight="1">
      <c r="A3178" s="7">
        <v>3175</v>
      </c>
      <c r="B3178" s="7" t="str">
        <f>"38662022042110271125974"</f>
        <v>38662022042110271125974</v>
      </c>
      <c r="C3178" s="7" t="s">
        <v>43</v>
      </c>
      <c r="D3178" s="7" t="str">
        <f>"杜传亮"</f>
        <v>杜传亮</v>
      </c>
      <c r="E3178" s="7" t="str">
        <f>"男"</f>
        <v>男</v>
      </c>
    </row>
    <row r="3179" spans="1:5" ht="30" customHeight="1">
      <c r="A3179" s="7">
        <v>3176</v>
      </c>
      <c r="B3179" s="7" t="str">
        <f>"38662022042110335126066"</f>
        <v>38662022042110335126066</v>
      </c>
      <c r="C3179" s="7" t="s">
        <v>43</v>
      </c>
      <c r="D3179" s="7" t="str">
        <f>"吴珍"</f>
        <v>吴珍</v>
      </c>
      <c r="E3179" s="7" t="str">
        <f aca="true" t="shared" si="147" ref="E3179:E3186">"女"</f>
        <v>女</v>
      </c>
    </row>
    <row r="3180" spans="1:5" ht="30" customHeight="1">
      <c r="A3180" s="7">
        <v>3177</v>
      </c>
      <c r="B3180" s="7" t="str">
        <f>"38662022042111161626524"</f>
        <v>38662022042111161626524</v>
      </c>
      <c r="C3180" s="7" t="s">
        <v>43</v>
      </c>
      <c r="D3180" s="7" t="str">
        <f>"周美华"</f>
        <v>周美华</v>
      </c>
      <c r="E3180" s="7" t="str">
        <f t="shared" si="147"/>
        <v>女</v>
      </c>
    </row>
    <row r="3181" spans="1:5" ht="30" customHeight="1">
      <c r="A3181" s="7">
        <v>3178</v>
      </c>
      <c r="B3181" s="7" t="str">
        <f>"38662022042111434826780"</f>
        <v>38662022042111434826780</v>
      </c>
      <c r="C3181" s="7" t="s">
        <v>43</v>
      </c>
      <c r="D3181" s="7" t="str">
        <f>"张顺新"</f>
        <v>张顺新</v>
      </c>
      <c r="E3181" s="7" t="str">
        <f t="shared" si="147"/>
        <v>女</v>
      </c>
    </row>
    <row r="3182" spans="1:5" ht="30" customHeight="1">
      <c r="A3182" s="7">
        <v>3179</v>
      </c>
      <c r="B3182" s="7" t="str">
        <f>"38662022042115074728026"</f>
        <v>38662022042115074728026</v>
      </c>
      <c r="C3182" s="7" t="s">
        <v>43</v>
      </c>
      <c r="D3182" s="7" t="str">
        <f>"王菊"</f>
        <v>王菊</v>
      </c>
      <c r="E3182" s="7" t="str">
        <f t="shared" si="147"/>
        <v>女</v>
      </c>
    </row>
    <row r="3183" spans="1:5" ht="30" customHeight="1">
      <c r="A3183" s="7">
        <v>3180</v>
      </c>
      <c r="B3183" s="7" t="str">
        <f>"38662022042115155628112"</f>
        <v>38662022042115155628112</v>
      </c>
      <c r="C3183" s="7" t="s">
        <v>43</v>
      </c>
      <c r="D3183" s="7" t="str">
        <f>"黄垂青"</f>
        <v>黄垂青</v>
      </c>
      <c r="E3183" s="7" t="str">
        <f t="shared" si="147"/>
        <v>女</v>
      </c>
    </row>
    <row r="3184" spans="1:5" ht="30" customHeight="1">
      <c r="A3184" s="7">
        <v>3181</v>
      </c>
      <c r="B3184" s="7" t="str">
        <f>"38662022042115485628380"</f>
        <v>38662022042115485628380</v>
      </c>
      <c r="C3184" s="7" t="s">
        <v>43</v>
      </c>
      <c r="D3184" s="7" t="str">
        <f>"杨育菁"</f>
        <v>杨育菁</v>
      </c>
      <c r="E3184" s="7" t="str">
        <f t="shared" si="147"/>
        <v>女</v>
      </c>
    </row>
    <row r="3185" spans="1:5" ht="30" customHeight="1">
      <c r="A3185" s="7">
        <v>3182</v>
      </c>
      <c r="B3185" s="7" t="str">
        <f>"38662022042116284528655"</f>
        <v>38662022042116284528655</v>
      </c>
      <c r="C3185" s="7" t="s">
        <v>43</v>
      </c>
      <c r="D3185" s="7" t="str">
        <f>"黎亚霞"</f>
        <v>黎亚霞</v>
      </c>
      <c r="E3185" s="7" t="str">
        <f t="shared" si="147"/>
        <v>女</v>
      </c>
    </row>
    <row r="3186" spans="1:5" ht="30" customHeight="1">
      <c r="A3186" s="7">
        <v>3183</v>
      </c>
      <c r="B3186" s="7" t="str">
        <f>"38662022042118365929348"</f>
        <v>38662022042118365929348</v>
      </c>
      <c r="C3186" s="7" t="s">
        <v>43</v>
      </c>
      <c r="D3186" s="7" t="str">
        <f>"蒋倩"</f>
        <v>蒋倩</v>
      </c>
      <c r="E3186" s="7" t="str">
        <f t="shared" si="147"/>
        <v>女</v>
      </c>
    </row>
    <row r="3187" spans="1:5" ht="30" customHeight="1">
      <c r="A3187" s="7">
        <v>3184</v>
      </c>
      <c r="B3187" s="7" t="str">
        <f>"38662022042121013730043"</f>
        <v>38662022042121013730043</v>
      </c>
      <c r="C3187" s="7" t="s">
        <v>43</v>
      </c>
      <c r="D3187" s="7" t="str">
        <f>"杨童"</f>
        <v>杨童</v>
      </c>
      <c r="E3187" s="7" t="str">
        <f>"男"</f>
        <v>男</v>
      </c>
    </row>
    <row r="3188" spans="1:5" ht="30" customHeight="1">
      <c r="A3188" s="7">
        <v>3185</v>
      </c>
      <c r="B3188" s="7" t="str">
        <f>"38662022042121081430082"</f>
        <v>38662022042121081430082</v>
      </c>
      <c r="C3188" s="7" t="s">
        <v>43</v>
      </c>
      <c r="D3188" s="7" t="str">
        <f>"方宝瑜"</f>
        <v>方宝瑜</v>
      </c>
      <c r="E3188" s="7" t="str">
        <f aca="true" t="shared" si="148" ref="E3188:E3205">"女"</f>
        <v>女</v>
      </c>
    </row>
    <row r="3189" spans="1:5" ht="30" customHeight="1">
      <c r="A3189" s="7">
        <v>3186</v>
      </c>
      <c r="B3189" s="7" t="str">
        <f>"38662022042121293330205"</f>
        <v>38662022042121293330205</v>
      </c>
      <c r="C3189" s="7" t="s">
        <v>43</v>
      </c>
      <c r="D3189" s="7" t="str">
        <f>"高芳琳"</f>
        <v>高芳琳</v>
      </c>
      <c r="E3189" s="7" t="str">
        <f t="shared" si="148"/>
        <v>女</v>
      </c>
    </row>
    <row r="3190" spans="1:5" ht="30" customHeight="1">
      <c r="A3190" s="7">
        <v>3187</v>
      </c>
      <c r="B3190" s="7" t="str">
        <f>"38662022042121331330223"</f>
        <v>38662022042121331330223</v>
      </c>
      <c r="C3190" s="7" t="s">
        <v>43</v>
      </c>
      <c r="D3190" s="7" t="str">
        <f>"梁真芸"</f>
        <v>梁真芸</v>
      </c>
      <c r="E3190" s="7" t="str">
        <f t="shared" si="148"/>
        <v>女</v>
      </c>
    </row>
    <row r="3191" spans="1:5" ht="30" customHeight="1">
      <c r="A3191" s="7">
        <v>3188</v>
      </c>
      <c r="B3191" s="7" t="str">
        <f>"38662022042122544030609"</f>
        <v>38662022042122544030609</v>
      </c>
      <c r="C3191" s="7" t="s">
        <v>43</v>
      </c>
      <c r="D3191" s="7" t="str">
        <f>"陈韵"</f>
        <v>陈韵</v>
      </c>
      <c r="E3191" s="7" t="str">
        <f t="shared" si="148"/>
        <v>女</v>
      </c>
    </row>
    <row r="3192" spans="1:5" ht="30" customHeight="1">
      <c r="A3192" s="7">
        <v>3189</v>
      </c>
      <c r="B3192" s="7" t="str">
        <f>"38662022042123204630714"</f>
        <v>38662022042123204630714</v>
      </c>
      <c r="C3192" s="7" t="s">
        <v>43</v>
      </c>
      <c r="D3192" s="7" t="str">
        <f>"郑长女"</f>
        <v>郑长女</v>
      </c>
      <c r="E3192" s="7" t="str">
        <f t="shared" si="148"/>
        <v>女</v>
      </c>
    </row>
    <row r="3193" spans="1:5" ht="30" customHeight="1">
      <c r="A3193" s="7">
        <v>3190</v>
      </c>
      <c r="B3193" s="7" t="str">
        <f>"38662022042123243930726"</f>
        <v>38662022042123243930726</v>
      </c>
      <c r="C3193" s="7" t="s">
        <v>43</v>
      </c>
      <c r="D3193" s="7" t="str">
        <f>"杨珍"</f>
        <v>杨珍</v>
      </c>
      <c r="E3193" s="7" t="str">
        <f t="shared" si="148"/>
        <v>女</v>
      </c>
    </row>
    <row r="3194" spans="1:5" ht="30" customHeight="1">
      <c r="A3194" s="7">
        <v>3191</v>
      </c>
      <c r="B3194" s="7" t="str">
        <f>"38662022042210235231598"</f>
        <v>38662022042210235231598</v>
      </c>
      <c r="C3194" s="7" t="s">
        <v>43</v>
      </c>
      <c r="D3194" s="7" t="str">
        <f>"黄彩英"</f>
        <v>黄彩英</v>
      </c>
      <c r="E3194" s="7" t="str">
        <f t="shared" si="148"/>
        <v>女</v>
      </c>
    </row>
    <row r="3195" spans="1:5" ht="30" customHeight="1">
      <c r="A3195" s="7">
        <v>3192</v>
      </c>
      <c r="B3195" s="7" t="str">
        <f>"38662022042210411331696"</f>
        <v>38662022042210411331696</v>
      </c>
      <c r="C3195" s="7" t="s">
        <v>43</v>
      </c>
      <c r="D3195" s="7" t="str">
        <f>"吴培玉"</f>
        <v>吴培玉</v>
      </c>
      <c r="E3195" s="7" t="str">
        <f t="shared" si="148"/>
        <v>女</v>
      </c>
    </row>
    <row r="3196" spans="1:5" ht="30" customHeight="1">
      <c r="A3196" s="7">
        <v>3193</v>
      </c>
      <c r="B3196" s="7" t="str">
        <f>"38662022042211385332362"</f>
        <v>38662022042211385332362</v>
      </c>
      <c r="C3196" s="7" t="s">
        <v>43</v>
      </c>
      <c r="D3196" s="7" t="str">
        <f>"程范婷"</f>
        <v>程范婷</v>
      </c>
      <c r="E3196" s="7" t="str">
        <f t="shared" si="148"/>
        <v>女</v>
      </c>
    </row>
    <row r="3197" spans="1:5" ht="30" customHeight="1">
      <c r="A3197" s="7">
        <v>3194</v>
      </c>
      <c r="B3197" s="7" t="str">
        <f>"38662022042215181933263"</f>
        <v>38662022042215181933263</v>
      </c>
      <c r="C3197" s="7" t="s">
        <v>43</v>
      </c>
      <c r="D3197" s="7" t="str">
        <f>"杨秀婷"</f>
        <v>杨秀婷</v>
      </c>
      <c r="E3197" s="7" t="str">
        <f t="shared" si="148"/>
        <v>女</v>
      </c>
    </row>
    <row r="3198" spans="1:5" ht="30" customHeight="1">
      <c r="A3198" s="7">
        <v>3195</v>
      </c>
      <c r="B3198" s="7" t="str">
        <f>"38662022042215311833356"</f>
        <v>38662022042215311833356</v>
      </c>
      <c r="C3198" s="7" t="s">
        <v>43</v>
      </c>
      <c r="D3198" s="7" t="str">
        <f>"何晖"</f>
        <v>何晖</v>
      </c>
      <c r="E3198" s="7" t="str">
        <f t="shared" si="148"/>
        <v>女</v>
      </c>
    </row>
    <row r="3199" spans="1:5" ht="30" customHeight="1">
      <c r="A3199" s="7">
        <v>3196</v>
      </c>
      <c r="B3199" s="7" t="str">
        <f>"38662022042219242734398"</f>
        <v>38662022042219242734398</v>
      </c>
      <c r="C3199" s="7" t="s">
        <v>43</v>
      </c>
      <c r="D3199" s="7" t="str">
        <f>"刘水英"</f>
        <v>刘水英</v>
      </c>
      <c r="E3199" s="7" t="str">
        <f t="shared" si="148"/>
        <v>女</v>
      </c>
    </row>
    <row r="3200" spans="1:5" ht="30" customHeight="1">
      <c r="A3200" s="7">
        <v>3197</v>
      </c>
      <c r="B3200" s="7" t="str">
        <f>"38662022042220150134497"</f>
        <v>38662022042220150134497</v>
      </c>
      <c r="C3200" s="7" t="s">
        <v>43</v>
      </c>
      <c r="D3200" s="7" t="str">
        <f>"詹嘉雯"</f>
        <v>詹嘉雯</v>
      </c>
      <c r="E3200" s="7" t="str">
        <f t="shared" si="148"/>
        <v>女</v>
      </c>
    </row>
    <row r="3201" spans="1:5" ht="30" customHeight="1">
      <c r="A3201" s="7">
        <v>3198</v>
      </c>
      <c r="B3201" s="7" t="str">
        <f>"38662022042221164034607"</f>
        <v>38662022042221164034607</v>
      </c>
      <c r="C3201" s="7" t="s">
        <v>43</v>
      </c>
      <c r="D3201" s="7" t="str">
        <f>"朱晨怡"</f>
        <v>朱晨怡</v>
      </c>
      <c r="E3201" s="7" t="str">
        <f t="shared" si="148"/>
        <v>女</v>
      </c>
    </row>
    <row r="3202" spans="1:5" ht="30" customHeight="1">
      <c r="A3202" s="7">
        <v>3199</v>
      </c>
      <c r="B3202" s="7" t="str">
        <f>"38662022042309403834971"</f>
        <v>38662022042309403834971</v>
      </c>
      <c r="C3202" s="7" t="s">
        <v>43</v>
      </c>
      <c r="D3202" s="7" t="str">
        <f>"廖飞凤"</f>
        <v>廖飞凤</v>
      </c>
      <c r="E3202" s="7" t="str">
        <f t="shared" si="148"/>
        <v>女</v>
      </c>
    </row>
    <row r="3203" spans="1:5" ht="30" customHeight="1">
      <c r="A3203" s="7">
        <v>3200</v>
      </c>
      <c r="B3203" s="7" t="str">
        <f>"38662022042310541335069"</f>
        <v>38662022042310541335069</v>
      </c>
      <c r="C3203" s="7" t="s">
        <v>43</v>
      </c>
      <c r="D3203" s="7" t="str">
        <f>"蔡雨舟"</f>
        <v>蔡雨舟</v>
      </c>
      <c r="E3203" s="7" t="str">
        <f t="shared" si="148"/>
        <v>女</v>
      </c>
    </row>
    <row r="3204" spans="1:5" ht="30" customHeight="1">
      <c r="A3204" s="7">
        <v>3201</v>
      </c>
      <c r="B3204" s="7" t="str">
        <f>"38662022042311244735110"</f>
        <v>38662022042311244735110</v>
      </c>
      <c r="C3204" s="7" t="s">
        <v>43</v>
      </c>
      <c r="D3204" s="7" t="str">
        <f>"李华丹"</f>
        <v>李华丹</v>
      </c>
      <c r="E3204" s="7" t="str">
        <f t="shared" si="148"/>
        <v>女</v>
      </c>
    </row>
    <row r="3205" spans="1:5" ht="30" customHeight="1">
      <c r="A3205" s="7">
        <v>3202</v>
      </c>
      <c r="B3205" s="7" t="str">
        <f>"38662022042312272935203"</f>
        <v>38662022042312272935203</v>
      </c>
      <c r="C3205" s="7" t="s">
        <v>43</v>
      </c>
      <c r="D3205" s="7" t="str">
        <f>"黄美琪"</f>
        <v>黄美琪</v>
      </c>
      <c r="E3205" s="7" t="str">
        <f t="shared" si="148"/>
        <v>女</v>
      </c>
    </row>
    <row r="3206" spans="1:5" ht="30" customHeight="1">
      <c r="A3206" s="7">
        <v>3203</v>
      </c>
      <c r="B3206" s="7" t="str">
        <f>"38662022042317374835608"</f>
        <v>38662022042317374835608</v>
      </c>
      <c r="C3206" s="7" t="s">
        <v>43</v>
      </c>
      <c r="D3206" s="7" t="str">
        <f>"齐钰"</f>
        <v>齐钰</v>
      </c>
      <c r="E3206" s="7" t="str">
        <f>"男"</f>
        <v>男</v>
      </c>
    </row>
    <row r="3207" spans="1:5" ht="30" customHeight="1">
      <c r="A3207" s="7">
        <v>3204</v>
      </c>
      <c r="B3207" s="7" t="str">
        <f>"38662022042321382935897"</f>
        <v>38662022042321382935897</v>
      </c>
      <c r="C3207" s="7" t="s">
        <v>43</v>
      </c>
      <c r="D3207" s="7" t="str">
        <f>"关火妹"</f>
        <v>关火妹</v>
      </c>
      <c r="E3207" s="7" t="str">
        <f aca="true" t="shared" si="149" ref="E3207:E3242">"女"</f>
        <v>女</v>
      </c>
    </row>
    <row r="3208" spans="1:5" ht="30" customHeight="1">
      <c r="A3208" s="7">
        <v>3205</v>
      </c>
      <c r="B3208" s="7" t="str">
        <f>"38662022042322354435997"</f>
        <v>38662022042322354435997</v>
      </c>
      <c r="C3208" s="7" t="s">
        <v>43</v>
      </c>
      <c r="D3208" s="7" t="str">
        <f>"吴必莉"</f>
        <v>吴必莉</v>
      </c>
      <c r="E3208" s="7" t="str">
        <f t="shared" si="149"/>
        <v>女</v>
      </c>
    </row>
    <row r="3209" spans="1:5" ht="30" customHeight="1">
      <c r="A3209" s="7">
        <v>3206</v>
      </c>
      <c r="B3209" s="7" t="str">
        <f>"38662022042322522036033"</f>
        <v>38662022042322522036033</v>
      </c>
      <c r="C3209" s="7" t="s">
        <v>43</v>
      </c>
      <c r="D3209" s="7" t="str">
        <f>"彭夏芳"</f>
        <v>彭夏芳</v>
      </c>
      <c r="E3209" s="7" t="str">
        <f t="shared" si="149"/>
        <v>女</v>
      </c>
    </row>
    <row r="3210" spans="1:5" ht="30" customHeight="1">
      <c r="A3210" s="7">
        <v>3207</v>
      </c>
      <c r="B3210" s="7" t="str">
        <f>"38662022042410093636388"</f>
        <v>38662022042410093636388</v>
      </c>
      <c r="C3210" s="7" t="s">
        <v>43</v>
      </c>
      <c r="D3210" s="7" t="str">
        <f>"符吉妃"</f>
        <v>符吉妃</v>
      </c>
      <c r="E3210" s="7" t="str">
        <f t="shared" si="149"/>
        <v>女</v>
      </c>
    </row>
    <row r="3211" spans="1:5" ht="30" customHeight="1">
      <c r="A3211" s="7">
        <v>3208</v>
      </c>
      <c r="B3211" s="7" t="str">
        <f>"38662022042410201736407"</f>
        <v>38662022042410201736407</v>
      </c>
      <c r="C3211" s="7" t="s">
        <v>43</v>
      </c>
      <c r="D3211" s="7" t="str">
        <f>"蔡庆祝"</f>
        <v>蔡庆祝</v>
      </c>
      <c r="E3211" s="7" t="str">
        <f t="shared" si="149"/>
        <v>女</v>
      </c>
    </row>
    <row r="3212" spans="1:5" ht="30" customHeight="1">
      <c r="A3212" s="7">
        <v>3209</v>
      </c>
      <c r="B3212" s="7" t="str">
        <f>"38662022042410205636409"</f>
        <v>38662022042410205636409</v>
      </c>
      <c r="C3212" s="7" t="s">
        <v>43</v>
      </c>
      <c r="D3212" s="7" t="str">
        <f>"汪鑫宏"</f>
        <v>汪鑫宏</v>
      </c>
      <c r="E3212" s="7" t="str">
        <f t="shared" si="149"/>
        <v>女</v>
      </c>
    </row>
    <row r="3213" spans="1:5" ht="30" customHeight="1">
      <c r="A3213" s="7">
        <v>3210</v>
      </c>
      <c r="B3213" s="7" t="str">
        <f>"38662022042412550836694"</f>
        <v>38662022042412550836694</v>
      </c>
      <c r="C3213" s="7" t="s">
        <v>43</v>
      </c>
      <c r="D3213" s="7" t="str">
        <f>"王燕"</f>
        <v>王燕</v>
      </c>
      <c r="E3213" s="7" t="str">
        <f t="shared" si="149"/>
        <v>女</v>
      </c>
    </row>
    <row r="3214" spans="1:5" ht="30" customHeight="1">
      <c r="A3214" s="7">
        <v>3211</v>
      </c>
      <c r="B3214" s="7" t="str">
        <f>"38662022042510250837987"</f>
        <v>38662022042510250837987</v>
      </c>
      <c r="C3214" s="7" t="s">
        <v>43</v>
      </c>
      <c r="D3214" s="7" t="str">
        <f>"何娇"</f>
        <v>何娇</v>
      </c>
      <c r="E3214" s="7" t="str">
        <f t="shared" si="149"/>
        <v>女</v>
      </c>
    </row>
    <row r="3215" spans="1:5" ht="30" customHeight="1">
      <c r="A3215" s="7">
        <v>3212</v>
      </c>
      <c r="B3215" s="7" t="str">
        <f>"38662022042513065638212"</f>
        <v>38662022042513065638212</v>
      </c>
      <c r="C3215" s="7" t="s">
        <v>43</v>
      </c>
      <c r="D3215" s="7" t="str">
        <f>"符谷丹"</f>
        <v>符谷丹</v>
      </c>
      <c r="E3215" s="7" t="str">
        <f t="shared" si="149"/>
        <v>女</v>
      </c>
    </row>
    <row r="3216" spans="1:5" ht="30" customHeight="1">
      <c r="A3216" s="7">
        <v>3213</v>
      </c>
      <c r="B3216" s="7" t="str">
        <f>"38662022042517162938563"</f>
        <v>38662022042517162938563</v>
      </c>
      <c r="C3216" s="7" t="s">
        <v>43</v>
      </c>
      <c r="D3216" s="7" t="str">
        <f>"陈雪"</f>
        <v>陈雪</v>
      </c>
      <c r="E3216" s="7" t="str">
        <f t="shared" si="149"/>
        <v>女</v>
      </c>
    </row>
    <row r="3217" spans="1:5" ht="30" customHeight="1">
      <c r="A3217" s="7">
        <v>3214</v>
      </c>
      <c r="B3217" s="7" t="str">
        <f>"38662022042521370938877"</f>
        <v>38662022042521370938877</v>
      </c>
      <c r="C3217" s="7" t="s">
        <v>43</v>
      </c>
      <c r="D3217" s="7" t="str">
        <f>"叶华梅"</f>
        <v>叶华梅</v>
      </c>
      <c r="E3217" s="7" t="str">
        <f t="shared" si="149"/>
        <v>女</v>
      </c>
    </row>
    <row r="3218" spans="1:5" ht="30" customHeight="1">
      <c r="A3218" s="7">
        <v>3215</v>
      </c>
      <c r="B3218" s="7" t="str">
        <f>"38662022042522452438972"</f>
        <v>38662022042522452438972</v>
      </c>
      <c r="C3218" s="7" t="s">
        <v>43</v>
      </c>
      <c r="D3218" s="7" t="str">
        <f>"杨清晏"</f>
        <v>杨清晏</v>
      </c>
      <c r="E3218" s="7" t="str">
        <f t="shared" si="149"/>
        <v>女</v>
      </c>
    </row>
    <row r="3219" spans="1:5" ht="30" customHeight="1">
      <c r="A3219" s="7">
        <v>3216</v>
      </c>
      <c r="B3219" s="7" t="str">
        <f>"38662022042600300839075"</f>
        <v>38662022042600300839075</v>
      </c>
      <c r="C3219" s="7" t="s">
        <v>43</v>
      </c>
      <c r="D3219" s="7" t="str">
        <f>"吴漫洪"</f>
        <v>吴漫洪</v>
      </c>
      <c r="E3219" s="7" t="str">
        <f t="shared" si="149"/>
        <v>女</v>
      </c>
    </row>
    <row r="3220" spans="1:5" ht="30" customHeight="1">
      <c r="A3220" s="7">
        <v>3217</v>
      </c>
      <c r="B3220" s="7" t="str">
        <f>"38662022042615183939671"</f>
        <v>38662022042615183939671</v>
      </c>
      <c r="C3220" s="7" t="s">
        <v>43</v>
      </c>
      <c r="D3220" s="7" t="str">
        <f>"杨明旭"</f>
        <v>杨明旭</v>
      </c>
      <c r="E3220" s="7" t="str">
        <f t="shared" si="149"/>
        <v>女</v>
      </c>
    </row>
    <row r="3221" spans="1:5" ht="30" customHeight="1">
      <c r="A3221" s="7">
        <v>3218</v>
      </c>
      <c r="B3221" s="7" t="str">
        <f>"38662022042615555239745"</f>
        <v>38662022042615555239745</v>
      </c>
      <c r="C3221" s="7" t="s">
        <v>43</v>
      </c>
      <c r="D3221" s="7" t="str">
        <f>"韦美竹"</f>
        <v>韦美竹</v>
      </c>
      <c r="E3221" s="7" t="str">
        <f t="shared" si="149"/>
        <v>女</v>
      </c>
    </row>
    <row r="3222" spans="1:5" ht="30" customHeight="1">
      <c r="A3222" s="7">
        <v>3219</v>
      </c>
      <c r="B3222" s="7" t="str">
        <f>"38662022042616333239821"</f>
        <v>38662022042616333239821</v>
      </c>
      <c r="C3222" s="7" t="s">
        <v>43</v>
      </c>
      <c r="D3222" s="7" t="str">
        <f>"陈皇菊"</f>
        <v>陈皇菊</v>
      </c>
      <c r="E3222" s="7" t="str">
        <f t="shared" si="149"/>
        <v>女</v>
      </c>
    </row>
    <row r="3223" spans="1:5" ht="30" customHeight="1">
      <c r="A3223" s="7">
        <v>3220</v>
      </c>
      <c r="B3223" s="7" t="str">
        <f>"38662022042616472339853"</f>
        <v>38662022042616472339853</v>
      </c>
      <c r="C3223" s="7" t="s">
        <v>43</v>
      </c>
      <c r="D3223" s="7" t="str">
        <f>"王玉霞"</f>
        <v>王玉霞</v>
      </c>
      <c r="E3223" s="7" t="str">
        <f t="shared" si="149"/>
        <v>女</v>
      </c>
    </row>
    <row r="3224" spans="1:5" ht="30" customHeight="1">
      <c r="A3224" s="7">
        <v>3221</v>
      </c>
      <c r="B3224" s="7" t="str">
        <f>"38662022042616581039876"</f>
        <v>38662022042616581039876</v>
      </c>
      <c r="C3224" s="7" t="s">
        <v>43</v>
      </c>
      <c r="D3224" s="7" t="str">
        <f>"王海玲"</f>
        <v>王海玲</v>
      </c>
      <c r="E3224" s="7" t="str">
        <f t="shared" si="149"/>
        <v>女</v>
      </c>
    </row>
    <row r="3225" spans="1:5" ht="30" customHeight="1">
      <c r="A3225" s="7">
        <v>3222</v>
      </c>
      <c r="B3225" s="7" t="str">
        <f>"38662022042617030839886"</f>
        <v>38662022042617030839886</v>
      </c>
      <c r="C3225" s="7" t="s">
        <v>43</v>
      </c>
      <c r="D3225" s="7" t="str">
        <f>"王娜"</f>
        <v>王娜</v>
      </c>
      <c r="E3225" s="7" t="str">
        <f t="shared" si="149"/>
        <v>女</v>
      </c>
    </row>
    <row r="3226" spans="1:5" ht="30" customHeight="1">
      <c r="A3226" s="7">
        <v>3223</v>
      </c>
      <c r="B3226" s="7" t="str">
        <f>"38662022042617410039930"</f>
        <v>38662022042617410039930</v>
      </c>
      <c r="C3226" s="7" t="s">
        <v>43</v>
      </c>
      <c r="D3226" s="7" t="str">
        <f>"张汉娇"</f>
        <v>张汉娇</v>
      </c>
      <c r="E3226" s="7" t="str">
        <f t="shared" si="149"/>
        <v>女</v>
      </c>
    </row>
    <row r="3227" spans="1:5" ht="30" customHeight="1">
      <c r="A3227" s="7">
        <v>3224</v>
      </c>
      <c r="B3227" s="7" t="str">
        <f>"38662022042620091240105"</f>
        <v>38662022042620091240105</v>
      </c>
      <c r="C3227" s="7" t="s">
        <v>43</v>
      </c>
      <c r="D3227" s="7" t="str">
        <f>"陈秀靓"</f>
        <v>陈秀靓</v>
      </c>
      <c r="E3227" s="7" t="str">
        <f t="shared" si="149"/>
        <v>女</v>
      </c>
    </row>
    <row r="3228" spans="1:5" ht="30" customHeight="1">
      <c r="A3228" s="7">
        <v>3225</v>
      </c>
      <c r="B3228" s="7" t="str">
        <f>"38662022042623354440456"</f>
        <v>38662022042623354440456</v>
      </c>
      <c r="C3228" s="7" t="s">
        <v>43</v>
      </c>
      <c r="D3228" s="7" t="str">
        <f>"罗小奋"</f>
        <v>罗小奋</v>
      </c>
      <c r="E3228" s="7" t="str">
        <f t="shared" si="149"/>
        <v>女</v>
      </c>
    </row>
    <row r="3229" spans="1:5" ht="30" customHeight="1">
      <c r="A3229" s="7">
        <v>3226</v>
      </c>
      <c r="B3229" s="7" t="str">
        <f>"38662022042706430540549"</f>
        <v>38662022042706430540549</v>
      </c>
      <c r="C3229" s="7" t="s">
        <v>43</v>
      </c>
      <c r="D3229" s="7" t="str">
        <f>"陈苗"</f>
        <v>陈苗</v>
      </c>
      <c r="E3229" s="7" t="str">
        <f t="shared" si="149"/>
        <v>女</v>
      </c>
    </row>
    <row r="3230" spans="1:5" ht="30" customHeight="1">
      <c r="A3230" s="7">
        <v>3227</v>
      </c>
      <c r="B3230" s="7" t="str">
        <f>"38662022042708063540580"</f>
        <v>38662022042708063540580</v>
      </c>
      <c r="C3230" s="7" t="s">
        <v>43</v>
      </c>
      <c r="D3230" s="7" t="str">
        <f>"黄晶晶"</f>
        <v>黄晶晶</v>
      </c>
      <c r="E3230" s="7" t="str">
        <f t="shared" si="149"/>
        <v>女</v>
      </c>
    </row>
    <row r="3231" spans="1:5" ht="30" customHeight="1">
      <c r="A3231" s="7">
        <v>3228</v>
      </c>
      <c r="B3231" s="7" t="str">
        <f>"38662022042708213440592"</f>
        <v>38662022042708213440592</v>
      </c>
      <c r="C3231" s="7" t="s">
        <v>43</v>
      </c>
      <c r="D3231" s="7" t="str">
        <f>"陈龄美"</f>
        <v>陈龄美</v>
      </c>
      <c r="E3231" s="7" t="str">
        <f t="shared" si="149"/>
        <v>女</v>
      </c>
    </row>
    <row r="3232" spans="1:5" ht="30" customHeight="1">
      <c r="A3232" s="7">
        <v>3229</v>
      </c>
      <c r="B3232" s="7" t="str">
        <f>"38662022042710013741468"</f>
        <v>38662022042710013741468</v>
      </c>
      <c r="C3232" s="7" t="s">
        <v>43</v>
      </c>
      <c r="D3232" s="7" t="str">
        <f>"黎秋丽"</f>
        <v>黎秋丽</v>
      </c>
      <c r="E3232" s="7" t="str">
        <f t="shared" si="149"/>
        <v>女</v>
      </c>
    </row>
    <row r="3233" spans="1:5" ht="30" customHeight="1">
      <c r="A3233" s="7">
        <v>3230</v>
      </c>
      <c r="B3233" s="7" t="str">
        <f>"38662022042711013842095"</f>
        <v>38662022042711013842095</v>
      </c>
      <c r="C3233" s="7" t="s">
        <v>43</v>
      </c>
      <c r="D3233" s="7" t="str">
        <f>"雷安娜"</f>
        <v>雷安娜</v>
      </c>
      <c r="E3233" s="7" t="str">
        <f t="shared" si="149"/>
        <v>女</v>
      </c>
    </row>
    <row r="3234" spans="1:5" ht="30" customHeight="1">
      <c r="A3234" s="7">
        <v>3231</v>
      </c>
      <c r="B3234" s="7" t="str">
        <f>"38662022042711500442469"</f>
        <v>38662022042711500442469</v>
      </c>
      <c r="C3234" s="7" t="s">
        <v>43</v>
      </c>
      <c r="D3234" s="7" t="str">
        <f>"林鸣芙"</f>
        <v>林鸣芙</v>
      </c>
      <c r="E3234" s="7" t="str">
        <f t="shared" si="149"/>
        <v>女</v>
      </c>
    </row>
    <row r="3235" spans="1:5" ht="30" customHeight="1">
      <c r="A3235" s="7">
        <v>3232</v>
      </c>
      <c r="B3235" s="7" t="str">
        <f>"38662022042712242542686"</f>
        <v>38662022042712242542686</v>
      </c>
      <c r="C3235" s="7" t="s">
        <v>43</v>
      </c>
      <c r="D3235" s="7" t="str">
        <f>"占薇薇"</f>
        <v>占薇薇</v>
      </c>
      <c r="E3235" s="7" t="str">
        <f t="shared" si="149"/>
        <v>女</v>
      </c>
    </row>
    <row r="3236" spans="1:5" ht="30" customHeight="1">
      <c r="A3236" s="7">
        <v>3233</v>
      </c>
      <c r="B3236" s="7" t="str">
        <f>"38662022042712285642713"</f>
        <v>38662022042712285642713</v>
      </c>
      <c r="C3236" s="7" t="s">
        <v>43</v>
      </c>
      <c r="D3236" s="7" t="str">
        <f>"熊秋红"</f>
        <v>熊秋红</v>
      </c>
      <c r="E3236" s="7" t="str">
        <f t="shared" si="149"/>
        <v>女</v>
      </c>
    </row>
    <row r="3237" spans="1:5" ht="30" customHeight="1">
      <c r="A3237" s="7">
        <v>3234</v>
      </c>
      <c r="B3237" s="7" t="str">
        <f>"38662022042714500543584"</f>
        <v>38662022042714500543584</v>
      </c>
      <c r="C3237" s="7" t="s">
        <v>43</v>
      </c>
      <c r="D3237" s="7" t="str">
        <f>"王新乾"</f>
        <v>王新乾</v>
      </c>
      <c r="E3237" s="7" t="str">
        <f t="shared" si="149"/>
        <v>女</v>
      </c>
    </row>
    <row r="3238" spans="1:5" ht="30" customHeight="1">
      <c r="A3238" s="7">
        <v>3235</v>
      </c>
      <c r="B3238" s="7" t="str">
        <f>"38662022042109234625169"</f>
        <v>38662022042109234625169</v>
      </c>
      <c r="C3238" s="7" t="s">
        <v>44</v>
      </c>
      <c r="D3238" s="7" t="str">
        <f>"蔡小娜"</f>
        <v>蔡小娜</v>
      </c>
      <c r="E3238" s="7" t="str">
        <f t="shared" si="149"/>
        <v>女</v>
      </c>
    </row>
    <row r="3239" spans="1:5" ht="30" customHeight="1">
      <c r="A3239" s="7">
        <v>3236</v>
      </c>
      <c r="B3239" s="7" t="str">
        <f>"38662022042109464925446"</f>
        <v>38662022042109464925446</v>
      </c>
      <c r="C3239" s="7" t="s">
        <v>44</v>
      </c>
      <c r="D3239" s="7" t="str">
        <f>"吉欢"</f>
        <v>吉欢</v>
      </c>
      <c r="E3239" s="7" t="str">
        <f t="shared" si="149"/>
        <v>女</v>
      </c>
    </row>
    <row r="3240" spans="1:5" ht="30" customHeight="1">
      <c r="A3240" s="7">
        <v>3237</v>
      </c>
      <c r="B3240" s="7" t="str">
        <f>"38662022042110243025944"</f>
        <v>38662022042110243025944</v>
      </c>
      <c r="C3240" s="7" t="s">
        <v>44</v>
      </c>
      <c r="D3240" s="7" t="str">
        <f>"毛丹妮"</f>
        <v>毛丹妮</v>
      </c>
      <c r="E3240" s="7" t="str">
        <f t="shared" si="149"/>
        <v>女</v>
      </c>
    </row>
    <row r="3241" spans="1:5" ht="30" customHeight="1">
      <c r="A3241" s="7">
        <v>3238</v>
      </c>
      <c r="B3241" s="7" t="str">
        <f>"38662022042111021426394"</f>
        <v>38662022042111021426394</v>
      </c>
      <c r="C3241" s="7" t="s">
        <v>44</v>
      </c>
      <c r="D3241" s="7" t="str">
        <f>"王慧玲"</f>
        <v>王慧玲</v>
      </c>
      <c r="E3241" s="7" t="str">
        <f t="shared" si="149"/>
        <v>女</v>
      </c>
    </row>
    <row r="3242" spans="1:5" ht="30" customHeight="1">
      <c r="A3242" s="7">
        <v>3239</v>
      </c>
      <c r="B3242" s="7" t="str">
        <f>"38662022042111141326506"</f>
        <v>38662022042111141326506</v>
      </c>
      <c r="C3242" s="7" t="s">
        <v>44</v>
      </c>
      <c r="D3242" s="7" t="str">
        <f>"王发翠"</f>
        <v>王发翠</v>
      </c>
      <c r="E3242" s="7" t="str">
        <f t="shared" si="149"/>
        <v>女</v>
      </c>
    </row>
    <row r="3243" spans="1:5" ht="30" customHeight="1">
      <c r="A3243" s="7">
        <v>3240</v>
      </c>
      <c r="B3243" s="7" t="str">
        <f>"38662022042114452127833"</f>
        <v>38662022042114452127833</v>
      </c>
      <c r="C3243" s="7" t="s">
        <v>44</v>
      </c>
      <c r="D3243" s="7" t="str">
        <f>"许明文"</f>
        <v>许明文</v>
      </c>
      <c r="E3243" s="7" t="str">
        <f>"男"</f>
        <v>男</v>
      </c>
    </row>
    <row r="3244" spans="1:5" ht="30" customHeight="1">
      <c r="A3244" s="7">
        <v>3241</v>
      </c>
      <c r="B3244" s="7" t="str">
        <f>"38662022042115140128091"</f>
        <v>38662022042115140128091</v>
      </c>
      <c r="C3244" s="7" t="s">
        <v>44</v>
      </c>
      <c r="D3244" s="7" t="str">
        <f>"王锋"</f>
        <v>王锋</v>
      </c>
      <c r="E3244" s="7" t="str">
        <f>"男"</f>
        <v>男</v>
      </c>
    </row>
    <row r="3245" spans="1:5" ht="30" customHeight="1">
      <c r="A3245" s="7">
        <v>3242</v>
      </c>
      <c r="B3245" s="7" t="str">
        <f>"38662022042116142828544"</f>
        <v>38662022042116142828544</v>
      </c>
      <c r="C3245" s="7" t="s">
        <v>44</v>
      </c>
      <c r="D3245" s="7" t="str">
        <f>"周美君"</f>
        <v>周美君</v>
      </c>
      <c r="E3245" s="7" t="str">
        <f aca="true" t="shared" si="150" ref="E3245:E3254">"女"</f>
        <v>女</v>
      </c>
    </row>
    <row r="3246" spans="1:5" ht="30" customHeight="1">
      <c r="A3246" s="7">
        <v>3243</v>
      </c>
      <c r="B3246" s="7" t="str">
        <f>"38662022042117572029190"</f>
        <v>38662022042117572029190</v>
      </c>
      <c r="C3246" s="7" t="s">
        <v>44</v>
      </c>
      <c r="D3246" s="7" t="str">
        <f>"黄小雪"</f>
        <v>黄小雪</v>
      </c>
      <c r="E3246" s="7" t="str">
        <f t="shared" si="150"/>
        <v>女</v>
      </c>
    </row>
    <row r="3247" spans="1:5" ht="30" customHeight="1">
      <c r="A3247" s="7">
        <v>3244</v>
      </c>
      <c r="B3247" s="7" t="str">
        <f>"38662022042119060729475"</f>
        <v>38662022042119060729475</v>
      </c>
      <c r="C3247" s="7" t="s">
        <v>44</v>
      </c>
      <c r="D3247" s="7" t="str">
        <f>"周月风"</f>
        <v>周月风</v>
      </c>
      <c r="E3247" s="7" t="str">
        <f t="shared" si="150"/>
        <v>女</v>
      </c>
    </row>
    <row r="3248" spans="1:5" ht="30" customHeight="1">
      <c r="A3248" s="7">
        <v>3245</v>
      </c>
      <c r="B3248" s="7" t="str">
        <f>"38662022042119202929541"</f>
        <v>38662022042119202929541</v>
      </c>
      <c r="C3248" s="7" t="s">
        <v>44</v>
      </c>
      <c r="D3248" s="7" t="str">
        <f>"曾海平"</f>
        <v>曾海平</v>
      </c>
      <c r="E3248" s="7" t="str">
        <f t="shared" si="150"/>
        <v>女</v>
      </c>
    </row>
    <row r="3249" spans="1:5" ht="30" customHeight="1">
      <c r="A3249" s="7">
        <v>3246</v>
      </c>
      <c r="B3249" s="7" t="str">
        <f>"38662022042120481829978"</f>
        <v>38662022042120481829978</v>
      </c>
      <c r="C3249" s="7" t="s">
        <v>44</v>
      </c>
      <c r="D3249" s="7" t="str">
        <f>"吴园园"</f>
        <v>吴园园</v>
      </c>
      <c r="E3249" s="7" t="str">
        <f t="shared" si="150"/>
        <v>女</v>
      </c>
    </row>
    <row r="3250" spans="1:5" ht="30" customHeight="1">
      <c r="A3250" s="7">
        <v>3247</v>
      </c>
      <c r="B3250" s="7" t="str">
        <f>"38662022042120583830023"</f>
        <v>38662022042120583830023</v>
      </c>
      <c r="C3250" s="7" t="s">
        <v>44</v>
      </c>
      <c r="D3250" s="7" t="str">
        <f>"李林霖"</f>
        <v>李林霖</v>
      </c>
      <c r="E3250" s="7" t="str">
        <f t="shared" si="150"/>
        <v>女</v>
      </c>
    </row>
    <row r="3251" spans="1:5" ht="30" customHeight="1">
      <c r="A3251" s="7">
        <v>3248</v>
      </c>
      <c r="B3251" s="7" t="str">
        <f>"38662022042121355030234"</f>
        <v>38662022042121355030234</v>
      </c>
      <c r="C3251" s="7" t="s">
        <v>44</v>
      </c>
      <c r="D3251" s="7" t="str">
        <f>"王槐妙"</f>
        <v>王槐妙</v>
      </c>
      <c r="E3251" s="7" t="str">
        <f t="shared" si="150"/>
        <v>女</v>
      </c>
    </row>
    <row r="3252" spans="1:5" ht="30" customHeight="1">
      <c r="A3252" s="7">
        <v>3249</v>
      </c>
      <c r="B3252" s="7" t="str">
        <f>"38662022042208104030956"</f>
        <v>38662022042208104030956</v>
      </c>
      <c r="C3252" s="7" t="s">
        <v>44</v>
      </c>
      <c r="D3252" s="7" t="str">
        <f>"周子乃"</f>
        <v>周子乃</v>
      </c>
      <c r="E3252" s="7" t="str">
        <f t="shared" si="150"/>
        <v>女</v>
      </c>
    </row>
    <row r="3253" spans="1:5" ht="30" customHeight="1">
      <c r="A3253" s="7">
        <v>3250</v>
      </c>
      <c r="B3253" s="7" t="str">
        <f>"38662022042210574631798"</f>
        <v>38662022042210574631798</v>
      </c>
      <c r="C3253" s="7" t="s">
        <v>44</v>
      </c>
      <c r="D3253" s="7" t="str">
        <f>"陈银捷"</f>
        <v>陈银捷</v>
      </c>
      <c r="E3253" s="7" t="str">
        <f t="shared" si="150"/>
        <v>女</v>
      </c>
    </row>
    <row r="3254" spans="1:5" ht="30" customHeight="1">
      <c r="A3254" s="7">
        <v>3251</v>
      </c>
      <c r="B3254" s="7" t="str">
        <f>"38662022042215563933516"</f>
        <v>38662022042215563933516</v>
      </c>
      <c r="C3254" s="7" t="s">
        <v>44</v>
      </c>
      <c r="D3254" s="7" t="str">
        <f>"赵彩伶"</f>
        <v>赵彩伶</v>
      </c>
      <c r="E3254" s="7" t="str">
        <f t="shared" si="150"/>
        <v>女</v>
      </c>
    </row>
    <row r="3255" spans="1:5" ht="30" customHeight="1">
      <c r="A3255" s="7">
        <v>3252</v>
      </c>
      <c r="B3255" s="7" t="str">
        <f>"38662022042216203033670"</f>
        <v>38662022042216203033670</v>
      </c>
      <c r="C3255" s="7" t="s">
        <v>44</v>
      </c>
      <c r="D3255" s="7" t="str">
        <f>"王乃威"</f>
        <v>王乃威</v>
      </c>
      <c r="E3255" s="7" t="str">
        <f aca="true" t="shared" si="151" ref="E3255:E3259">"男"</f>
        <v>男</v>
      </c>
    </row>
    <row r="3256" spans="1:5" ht="30" customHeight="1">
      <c r="A3256" s="7">
        <v>3253</v>
      </c>
      <c r="B3256" s="7" t="str">
        <f>"38662022042217060333970"</f>
        <v>38662022042217060333970</v>
      </c>
      <c r="C3256" s="7" t="s">
        <v>44</v>
      </c>
      <c r="D3256" s="7" t="str">
        <f>"王娜"</f>
        <v>王娜</v>
      </c>
      <c r="E3256" s="7" t="str">
        <f aca="true" t="shared" si="152" ref="E3256:E3267">"女"</f>
        <v>女</v>
      </c>
    </row>
    <row r="3257" spans="1:5" ht="30" customHeight="1">
      <c r="A3257" s="7">
        <v>3254</v>
      </c>
      <c r="B3257" s="7" t="str">
        <f>"38662022042217071733978"</f>
        <v>38662022042217071733978</v>
      </c>
      <c r="C3257" s="7" t="s">
        <v>44</v>
      </c>
      <c r="D3257" s="7" t="str">
        <f>"朱世伟"</f>
        <v>朱世伟</v>
      </c>
      <c r="E3257" s="7" t="str">
        <f t="shared" si="151"/>
        <v>男</v>
      </c>
    </row>
    <row r="3258" spans="1:5" ht="30" customHeight="1">
      <c r="A3258" s="7">
        <v>3255</v>
      </c>
      <c r="B3258" s="7" t="str">
        <f>"38662022042217381234130"</f>
        <v>38662022042217381234130</v>
      </c>
      <c r="C3258" s="7" t="s">
        <v>44</v>
      </c>
      <c r="D3258" s="7" t="str">
        <f>"李彩花"</f>
        <v>李彩花</v>
      </c>
      <c r="E3258" s="7" t="str">
        <f t="shared" si="152"/>
        <v>女</v>
      </c>
    </row>
    <row r="3259" spans="1:5" ht="30" customHeight="1">
      <c r="A3259" s="7">
        <v>3256</v>
      </c>
      <c r="B3259" s="7" t="str">
        <f>"38662022042221253634627"</f>
        <v>38662022042221253634627</v>
      </c>
      <c r="C3259" s="7" t="s">
        <v>44</v>
      </c>
      <c r="D3259" s="7" t="str">
        <f>"潘孝德"</f>
        <v>潘孝德</v>
      </c>
      <c r="E3259" s="7" t="str">
        <f t="shared" si="151"/>
        <v>男</v>
      </c>
    </row>
    <row r="3260" spans="1:5" ht="30" customHeight="1">
      <c r="A3260" s="7">
        <v>3257</v>
      </c>
      <c r="B3260" s="7" t="str">
        <f>"38662022042221355534643"</f>
        <v>38662022042221355534643</v>
      </c>
      <c r="C3260" s="7" t="s">
        <v>44</v>
      </c>
      <c r="D3260" s="7" t="str">
        <f>"陈冰冰"</f>
        <v>陈冰冰</v>
      </c>
      <c r="E3260" s="7" t="str">
        <f t="shared" si="152"/>
        <v>女</v>
      </c>
    </row>
    <row r="3261" spans="1:5" ht="30" customHeight="1">
      <c r="A3261" s="7">
        <v>3258</v>
      </c>
      <c r="B3261" s="7" t="str">
        <f>"38662022042300355534852"</f>
        <v>38662022042300355534852</v>
      </c>
      <c r="C3261" s="7" t="s">
        <v>44</v>
      </c>
      <c r="D3261" s="7" t="str">
        <f>"王艳梅"</f>
        <v>王艳梅</v>
      </c>
      <c r="E3261" s="7" t="str">
        <f t="shared" si="152"/>
        <v>女</v>
      </c>
    </row>
    <row r="3262" spans="1:5" ht="30" customHeight="1">
      <c r="A3262" s="7">
        <v>3259</v>
      </c>
      <c r="B3262" s="7" t="str">
        <f>"38662022042313053735244"</f>
        <v>38662022042313053735244</v>
      </c>
      <c r="C3262" s="7" t="s">
        <v>44</v>
      </c>
      <c r="D3262" s="7" t="str">
        <f>"曹杨琪"</f>
        <v>曹杨琪</v>
      </c>
      <c r="E3262" s="7" t="str">
        <f t="shared" si="152"/>
        <v>女</v>
      </c>
    </row>
    <row r="3263" spans="1:5" ht="30" customHeight="1">
      <c r="A3263" s="7">
        <v>3260</v>
      </c>
      <c r="B3263" s="7" t="str">
        <f>"38662022042314083335321"</f>
        <v>38662022042314083335321</v>
      </c>
      <c r="C3263" s="7" t="s">
        <v>44</v>
      </c>
      <c r="D3263" s="7" t="str">
        <f>"苏家露"</f>
        <v>苏家露</v>
      </c>
      <c r="E3263" s="7" t="str">
        <f t="shared" si="152"/>
        <v>女</v>
      </c>
    </row>
    <row r="3264" spans="1:5" ht="30" customHeight="1">
      <c r="A3264" s="7">
        <v>3261</v>
      </c>
      <c r="B3264" s="7" t="str">
        <f>"38662022042315251035411"</f>
        <v>38662022042315251035411</v>
      </c>
      <c r="C3264" s="7" t="s">
        <v>44</v>
      </c>
      <c r="D3264" s="7" t="str">
        <f>"符振乐"</f>
        <v>符振乐</v>
      </c>
      <c r="E3264" s="7" t="str">
        <f t="shared" si="152"/>
        <v>女</v>
      </c>
    </row>
    <row r="3265" spans="1:5" ht="30" customHeight="1">
      <c r="A3265" s="7">
        <v>3262</v>
      </c>
      <c r="B3265" s="7" t="str">
        <f>"38662022042315582735479"</f>
        <v>38662022042315582735479</v>
      </c>
      <c r="C3265" s="7" t="s">
        <v>44</v>
      </c>
      <c r="D3265" s="7" t="str">
        <f>"陈燕莞"</f>
        <v>陈燕莞</v>
      </c>
      <c r="E3265" s="7" t="str">
        <f t="shared" si="152"/>
        <v>女</v>
      </c>
    </row>
    <row r="3266" spans="1:5" ht="30" customHeight="1">
      <c r="A3266" s="7">
        <v>3263</v>
      </c>
      <c r="B3266" s="7" t="str">
        <f>"38662022042317314035601"</f>
        <v>38662022042317314035601</v>
      </c>
      <c r="C3266" s="7" t="s">
        <v>44</v>
      </c>
      <c r="D3266" s="7" t="str">
        <f>"符永丹"</f>
        <v>符永丹</v>
      </c>
      <c r="E3266" s="7" t="str">
        <f t="shared" si="152"/>
        <v>女</v>
      </c>
    </row>
    <row r="3267" spans="1:5" ht="30" customHeight="1">
      <c r="A3267" s="7">
        <v>3264</v>
      </c>
      <c r="B3267" s="7" t="str">
        <f>"38662022042320213835763"</f>
        <v>38662022042320213835763</v>
      </c>
      <c r="C3267" s="7" t="s">
        <v>44</v>
      </c>
      <c r="D3267" s="7" t="str">
        <f>"孙景丽"</f>
        <v>孙景丽</v>
      </c>
      <c r="E3267" s="7" t="str">
        <f t="shared" si="152"/>
        <v>女</v>
      </c>
    </row>
    <row r="3268" spans="1:5" ht="30" customHeight="1">
      <c r="A3268" s="7">
        <v>3265</v>
      </c>
      <c r="B3268" s="7" t="str">
        <f>"38662022042322521936032"</f>
        <v>38662022042322521936032</v>
      </c>
      <c r="C3268" s="7" t="s">
        <v>44</v>
      </c>
      <c r="D3268" s="7" t="str">
        <f>"张运兴"</f>
        <v>张运兴</v>
      </c>
      <c r="E3268" s="7" t="str">
        <f>"男"</f>
        <v>男</v>
      </c>
    </row>
    <row r="3269" spans="1:5" ht="30" customHeight="1">
      <c r="A3269" s="7">
        <v>3266</v>
      </c>
      <c r="B3269" s="7" t="str">
        <f>"38662022042409514936346"</f>
        <v>38662022042409514936346</v>
      </c>
      <c r="C3269" s="7" t="s">
        <v>44</v>
      </c>
      <c r="D3269" s="7" t="str">
        <f>"邱巧俐"</f>
        <v>邱巧俐</v>
      </c>
      <c r="E3269" s="7" t="str">
        <f aca="true" t="shared" si="153" ref="E3269:E3273">"女"</f>
        <v>女</v>
      </c>
    </row>
    <row r="3270" spans="1:5" ht="30" customHeight="1">
      <c r="A3270" s="7">
        <v>3267</v>
      </c>
      <c r="B3270" s="7" t="str">
        <f>"38662022042410110936391"</f>
        <v>38662022042410110936391</v>
      </c>
      <c r="C3270" s="7" t="s">
        <v>44</v>
      </c>
      <c r="D3270" s="7" t="str">
        <f>"唐燕萍"</f>
        <v>唐燕萍</v>
      </c>
      <c r="E3270" s="7" t="str">
        <f t="shared" si="153"/>
        <v>女</v>
      </c>
    </row>
    <row r="3271" spans="1:5" ht="30" customHeight="1">
      <c r="A3271" s="7">
        <v>3268</v>
      </c>
      <c r="B3271" s="7" t="str">
        <f>"38662022042410515036469"</f>
        <v>38662022042410515036469</v>
      </c>
      <c r="C3271" s="7" t="s">
        <v>44</v>
      </c>
      <c r="D3271" s="7" t="str">
        <f>"梁如竟"</f>
        <v>梁如竟</v>
      </c>
      <c r="E3271" s="7" t="str">
        <f t="shared" si="153"/>
        <v>女</v>
      </c>
    </row>
    <row r="3272" spans="1:5" ht="30" customHeight="1">
      <c r="A3272" s="7">
        <v>3269</v>
      </c>
      <c r="B3272" s="7" t="str">
        <f>"38662022042411112536509"</f>
        <v>38662022042411112536509</v>
      </c>
      <c r="C3272" s="7" t="s">
        <v>44</v>
      </c>
      <c r="D3272" s="7" t="str">
        <f>"张雪丽"</f>
        <v>张雪丽</v>
      </c>
      <c r="E3272" s="7" t="str">
        <f t="shared" si="153"/>
        <v>女</v>
      </c>
    </row>
    <row r="3273" spans="1:5" ht="30" customHeight="1">
      <c r="A3273" s="7">
        <v>3270</v>
      </c>
      <c r="B3273" s="7" t="str">
        <f>"38662022042412255336632"</f>
        <v>38662022042412255336632</v>
      </c>
      <c r="C3273" s="7" t="s">
        <v>44</v>
      </c>
      <c r="D3273" s="7" t="str">
        <f>"曾雨晶"</f>
        <v>曾雨晶</v>
      </c>
      <c r="E3273" s="7" t="str">
        <f t="shared" si="153"/>
        <v>女</v>
      </c>
    </row>
    <row r="3274" spans="1:5" ht="30" customHeight="1">
      <c r="A3274" s="7">
        <v>3271</v>
      </c>
      <c r="B3274" s="7" t="str">
        <f>"38662022042419443037372"</f>
        <v>38662022042419443037372</v>
      </c>
      <c r="C3274" s="7" t="s">
        <v>44</v>
      </c>
      <c r="D3274" s="7" t="str">
        <f>"吴贻照"</f>
        <v>吴贻照</v>
      </c>
      <c r="E3274" s="7" t="str">
        <f>"男"</f>
        <v>男</v>
      </c>
    </row>
    <row r="3275" spans="1:5" ht="30" customHeight="1">
      <c r="A3275" s="7">
        <v>3272</v>
      </c>
      <c r="B3275" s="7" t="str">
        <f>"38662022042421114737525"</f>
        <v>38662022042421114737525</v>
      </c>
      <c r="C3275" s="7" t="s">
        <v>44</v>
      </c>
      <c r="D3275" s="7" t="str">
        <f>"吴秋桂"</f>
        <v>吴秋桂</v>
      </c>
      <c r="E3275" s="7" t="str">
        <f aca="true" t="shared" si="154" ref="E3275:E3279">"女"</f>
        <v>女</v>
      </c>
    </row>
    <row r="3276" spans="1:5" ht="30" customHeight="1">
      <c r="A3276" s="7">
        <v>3273</v>
      </c>
      <c r="B3276" s="7" t="str">
        <f>"38662022042508242737817"</f>
        <v>38662022042508242737817</v>
      </c>
      <c r="C3276" s="7" t="s">
        <v>44</v>
      </c>
      <c r="D3276" s="7" t="str">
        <f>"郑家善"</f>
        <v>郑家善</v>
      </c>
      <c r="E3276" s="7" t="str">
        <f t="shared" si="154"/>
        <v>女</v>
      </c>
    </row>
    <row r="3277" spans="1:5" ht="30" customHeight="1">
      <c r="A3277" s="7">
        <v>3274</v>
      </c>
      <c r="B3277" s="7" t="str">
        <f>"38662022042509005537843"</f>
        <v>38662022042509005537843</v>
      </c>
      <c r="C3277" s="7" t="s">
        <v>44</v>
      </c>
      <c r="D3277" s="7" t="str">
        <f>"陈朝龙"</f>
        <v>陈朝龙</v>
      </c>
      <c r="E3277" s="7" t="str">
        <f>"男"</f>
        <v>男</v>
      </c>
    </row>
    <row r="3278" spans="1:5" ht="30" customHeight="1">
      <c r="A3278" s="7">
        <v>3275</v>
      </c>
      <c r="B3278" s="7" t="str">
        <f>"38662022042512591538206"</f>
        <v>38662022042512591538206</v>
      </c>
      <c r="C3278" s="7" t="s">
        <v>44</v>
      </c>
      <c r="D3278" s="7" t="str">
        <f>"张海燕"</f>
        <v>张海燕</v>
      </c>
      <c r="E3278" s="7" t="str">
        <f t="shared" si="154"/>
        <v>女</v>
      </c>
    </row>
    <row r="3279" spans="1:5" ht="30" customHeight="1">
      <c r="A3279" s="7">
        <v>3276</v>
      </c>
      <c r="B3279" s="7" t="str">
        <f>"38662022042515342538394"</f>
        <v>38662022042515342538394</v>
      </c>
      <c r="C3279" s="7" t="s">
        <v>44</v>
      </c>
      <c r="D3279" s="7" t="str">
        <f>"黎爱霞"</f>
        <v>黎爱霞</v>
      </c>
      <c r="E3279" s="7" t="str">
        <f t="shared" si="154"/>
        <v>女</v>
      </c>
    </row>
    <row r="3280" spans="1:5" ht="30" customHeight="1">
      <c r="A3280" s="7">
        <v>3277</v>
      </c>
      <c r="B3280" s="7" t="str">
        <f>"38662022042516012438448"</f>
        <v>38662022042516012438448</v>
      </c>
      <c r="C3280" s="7" t="s">
        <v>44</v>
      </c>
      <c r="D3280" s="7" t="str">
        <f>"王江临"</f>
        <v>王江临</v>
      </c>
      <c r="E3280" s="7" t="str">
        <f>"男"</f>
        <v>男</v>
      </c>
    </row>
    <row r="3281" spans="1:5" ht="30" customHeight="1">
      <c r="A3281" s="7">
        <v>3278</v>
      </c>
      <c r="B3281" s="7" t="str">
        <f>"38662022042522261738948"</f>
        <v>38662022042522261738948</v>
      </c>
      <c r="C3281" s="7" t="s">
        <v>44</v>
      </c>
      <c r="D3281" s="7" t="str">
        <f>"曾圆"</f>
        <v>曾圆</v>
      </c>
      <c r="E3281" s="7" t="str">
        <f aca="true" t="shared" si="155" ref="E3281:E3287">"女"</f>
        <v>女</v>
      </c>
    </row>
    <row r="3282" spans="1:5" ht="30" customHeight="1">
      <c r="A3282" s="7">
        <v>3279</v>
      </c>
      <c r="B3282" s="7" t="str">
        <f>"38662022042522585938996"</f>
        <v>38662022042522585938996</v>
      </c>
      <c r="C3282" s="7" t="s">
        <v>44</v>
      </c>
      <c r="D3282" s="7" t="str">
        <f>"翁先洁"</f>
        <v>翁先洁</v>
      </c>
      <c r="E3282" s="7" t="str">
        <f t="shared" si="155"/>
        <v>女</v>
      </c>
    </row>
    <row r="3283" spans="1:5" ht="30" customHeight="1">
      <c r="A3283" s="7">
        <v>3280</v>
      </c>
      <c r="B3283" s="7" t="str">
        <f>"38662022042609451739235"</f>
        <v>38662022042609451739235</v>
      </c>
      <c r="C3283" s="7" t="s">
        <v>44</v>
      </c>
      <c r="D3283" s="7" t="str">
        <f>"李小微"</f>
        <v>李小微</v>
      </c>
      <c r="E3283" s="7" t="str">
        <f t="shared" si="155"/>
        <v>女</v>
      </c>
    </row>
    <row r="3284" spans="1:5" ht="30" customHeight="1">
      <c r="A3284" s="7">
        <v>3281</v>
      </c>
      <c r="B3284" s="7" t="str">
        <f>"38662022042616585039878"</f>
        <v>38662022042616585039878</v>
      </c>
      <c r="C3284" s="7" t="s">
        <v>44</v>
      </c>
      <c r="D3284" s="7" t="str">
        <f>"吴碧"</f>
        <v>吴碧</v>
      </c>
      <c r="E3284" s="7" t="str">
        <f t="shared" si="155"/>
        <v>女</v>
      </c>
    </row>
    <row r="3285" spans="1:5" ht="30" customHeight="1">
      <c r="A3285" s="7">
        <v>3282</v>
      </c>
      <c r="B3285" s="7" t="str">
        <f>"38662022042618273939982"</f>
        <v>38662022042618273939982</v>
      </c>
      <c r="C3285" s="7" t="s">
        <v>44</v>
      </c>
      <c r="D3285" s="7" t="str">
        <f>"吕丹丹"</f>
        <v>吕丹丹</v>
      </c>
      <c r="E3285" s="7" t="str">
        <f t="shared" si="155"/>
        <v>女</v>
      </c>
    </row>
    <row r="3286" spans="1:5" ht="30" customHeight="1">
      <c r="A3286" s="7">
        <v>3283</v>
      </c>
      <c r="B3286" s="7" t="str">
        <f>"38662022042621432340265"</f>
        <v>38662022042621432340265</v>
      </c>
      <c r="C3286" s="7" t="s">
        <v>44</v>
      </c>
      <c r="D3286" s="7" t="str">
        <f>"陈琼彩"</f>
        <v>陈琼彩</v>
      </c>
      <c r="E3286" s="7" t="str">
        <f t="shared" si="155"/>
        <v>女</v>
      </c>
    </row>
    <row r="3287" spans="1:5" ht="30" customHeight="1">
      <c r="A3287" s="7">
        <v>3284</v>
      </c>
      <c r="B3287" s="7" t="str">
        <f>"38662022042623030440404"</f>
        <v>38662022042623030440404</v>
      </c>
      <c r="C3287" s="7" t="s">
        <v>44</v>
      </c>
      <c r="D3287" s="7" t="str">
        <f>"罗彩玲"</f>
        <v>罗彩玲</v>
      </c>
      <c r="E3287" s="7" t="str">
        <f t="shared" si="155"/>
        <v>女</v>
      </c>
    </row>
    <row r="3288" spans="1:5" ht="30" customHeight="1">
      <c r="A3288" s="7">
        <v>3285</v>
      </c>
      <c r="B3288" s="7" t="str">
        <f>"38662022042623395940464"</f>
        <v>38662022042623395940464</v>
      </c>
      <c r="C3288" s="7" t="s">
        <v>44</v>
      </c>
      <c r="D3288" s="7" t="str">
        <f>"冯敏"</f>
        <v>冯敏</v>
      </c>
      <c r="E3288" s="7" t="str">
        <f>"男"</f>
        <v>男</v>
      </c>
    </row>
    <row r="3289" spans="1:5" ht="30" customHeight="1">
      <c r="A3289" s="7">
        <v>3286</v>
      </c>
      <c r="B3289" s="7" t="str">
        <f>"38662022042710540242025"</f>
        <v>38662022042710540242025</v>
      </c>
      <c r="C3289" s="7" t="s">
        <v>44</v>
      </c>
      <c r="D3289" s="7" t="str">
        <f>"邢文婷"</f>
        <v>邢文婷</v>
      </c>
      <c r="E3289" s="7" t="str">
        <f aca="true" t="shared" si="156" ref="E3289:E3294">"女"</f>
        <v>女</v>
      </c>
    </row>
    <row r="3290" spans="1:5" ht="30" customHeight="1">
      <c r="A3290" s="7">
        <v>3287</v>
      </c>
      <c r="B3290" s="7" t="str">
        <f>"38662022042710593842078"</f>
        <v>38662022042710593842078</v>
      </c>
      <c r="C3290" s="7" t="s">
        <v>44</v>
      </c>
      <c r="D3290" s="7" t="str">
        <f>"杨燕"</f>
        <v>杨燕</v>
      </c>
      <c r="E3290" s="7" t="str">
        <f t="shared" si="156"/>
        <v>女</v>
      </c>
    </row>
    <row r="3291" spans="1:5" ht="30" customHeight="1">
      <c r="A3291" s="7">
        <v>3288</v>
      </c>
      <c r="B3291" s="7" t="str">
        <f>"38662022042711435442431"</f>
        <v>38662022042711435442431</v>
      </c>
      <c r="C3291" s="7" t="s">
        <v>44</v>
      </c>
      <c r="D3291" s="7" t="str">
        <f>"刘晓霜"</f>
        <v>刘晓霜</v>
      </c>
      <c r="E3291" s="7" t="str">
        <f t="shared" si="156"/>
        <v>女</v>
      </c>
    </row>
    <row r="3292" spans="1:5" ht="30" customHeight="1">
      <c r="A3292" s="7">
        <v>3289</v>
      </c>
      <c r="B3292" s="7" t="str">
        <f>"38662022042714323943469"</f>
        <v>38662022042714323943469</v>
      </c>
      <c r="C3292" s="7" t="s">
        <v>44</v>
      </c>
      <c r="D3292" s="7" t="str">
        <f>"黄静仪"</f>
        <v>黄静仪</v>
      </c>
      <c r="E3292" s="7" t="str">
        <f t="shared" si="156"/>
        <v>女</v>
      </c>
    </row>
    <row r="3293" spans="1:5" ht="30" customHeight="1">
      <c r="A3293" s="7">
        <v>3290</v>
      </c>
      <c r="B3293" s="7" t="str">
        <f>"38662022042715322443849"</f>
        <v>38662022042715322443849</v>
      </c>
      <c r="C3293" s="7" t="s">
        <v>44</v>
      </c>
      <c r="D3293" s="7" t="str">
        <f>"刘妹"</f>
        <v>刘妹</v>
      </c>
      <c r="E3293" s="7" t="str">
        <f t="shared" si="156"/>
        <v>女</v>
      </c>
    </row>
    <row r="3294" spans="1:5" ht="30" customHeight="1">
      <c r="A3294" s="7">
        <v>3291</v>
      </c>
      <c r="B3294" s="7" t="str">
        <f>"38662022042109072424975"</f>
        <v>38662022042109072424975</v>
      </c>
      <c r="C3294" s="7" t="s">
        <v>45</v>
      </c>
      <c r="D3294" s="7" t="str">
        <f>"许娇丽"</f>
        <v>许娇丽</v>
      </c>
      <c r="E3294" s="7" t="str">
        <f t="shared" si="156"/>
        <v>女</v>
      </c>
    </row>
    <row r="3295" spans="1:5" ht="30" customHeight="1">
      <c r="A3295" s="7">
        <v>3292</v>
      </c>
      <c r="B3295" s="7" t="str">
        <f>"38662022042109243325178"</f>
        <v>38662022042109243325178</v>
      </c>
      <c r="C3295" s="7" t="s">
        <v>45</v>
      </c>
      <c r="D3295" s="7" t="str">
        <f>"黄成家"</f>
        <v>黄成家</v>
      </c>
      <c r="E3295" s="7" t="str">
        <f>"男"</f>
        <v>男</v>
      </c>
    </row>
    <row r="3296" spans="1:5" ht="30" customHeight="1">
      <c r="A3296" s="7">
        <v>3293</v>
      </c>
      <c r="B3296" s="7" t="str">
        <f>"38662022042109525025523"</f>
        <v>38662022042109525025523</v>
      </c>
      <c r="C3296" s="7" t="s">
        <v>45</v>
      </c>
      <c r="D3296" s="7" t="str">
        <f>"林敏"</f>
        <v>林敏</v>
      </c>
      <c r="E3296" s="7" t="str">
        <f aca="true" t="shared" si="157" ref="E3296:E3300">"女"</f>
        <v>女</v>
      </c>
    </row>
    <row r="3297" spans="1:5" ht="30" customHeight="1">
      <c r="A3297" s="7">
        <v>3294</v>
      </c>
      <c r="B3297" s="7" t="str">
        <f>"38662022042109563725581"</f>
        <v>38662022042109563725581</v>
      </c>
      <c r="C3297" s="7" t="s">
        <v>45</v>
      </c>
      <c r="D3297" s="7" t="str">
        <f>"张燕榕"</f>
        <v>张燕榕</v>
      </c>
      <c r="E3297" s="7" t="str">
        <f t="shared" si="157"/>
        <v>女</v>
      </c>
    </row>
    <row r="3298" spans="1:5" ht="30" customHeight="1">
      <c r="A3298" s="7">
        <v>3295</v>
      </c>
      <c r="B3298" s="7" t="str">
        <f>"38662022042110114125777"</f>
        <v>38662022042110114125777</v>
      </c>
      <c r="C3298" s="7" t="s">
        <v>45</v>
      </c>
      <c r="D3298" s="7" t="str">
        <f>"梁美燕"</f>
        <v>梁美燕</v>
      </c>
      <c r="E3298" s="7" t="str">
        <f t="shared" si="157"/>
        <v>女</v>
      </c>
    </row>
    <row r="3299" spans="1:5" ht="30" customHeight="1">
      <c r="A3299" s="7">
        <v>3296</v>
      </c>
      <c r="B3299" s="7" t="str">
        <f>"38662022042110194425875"</f>
        <v>38662022042110194425875</v>
      </c>
      <c r="C3299" s="7" t="s">
        <v>45</v>
      </c>
      <c r="D3299" s="7" t="str">
        <f>"陈盈"</f>
        <v>陈盈</v>
      </c>
      <c r="E3299" s="7" t="str">
        <f t="shared" si="157"/>
        <v>女</v>
      </c>
    </row>
    <row r="3300" spans="1:5" ht="30" customHeight="1">
      <c r="A3300" s="7">
        <v>3297</v>
      </c>
      <c r="B3300" s="7" t="str">
        <f>"38662022042110334826063"</f>
        <v>38662022042110334826063</v>
      </c>
      <c r="C3300" s="7" t="s">
        <v>45</v>
      </c>
      <c r="D3300" s="7" t="str">
        <f>"王艳秋"</f>
        <v>王艳秋</v>
      </c>
      <c r="E3300" s="7" t="str">
        <f t="shared" si="157"/>
        <v>女</v>
      </c>
    </row>
    <row r="3301" spans="1:5" ht="30" customHeight="1">
      <c r="A3301" s="7">
        <v>3298</v>
      </c>
      <c r="B3301" s="7" t="str">
        <f>"38662022042110465826220"</f>
        <v>38662022042110465826220</v>
      </c>
      <c r="C3301" s="7" t="s">
        <v>45</v>
      </c>
      <c r="D3301" s="7" t="str">
        <f>"王朝阳"</f>
        <v>王朝阳</v>
      </c>
      <c r="E3301" s="7" t="str">
        <f>"男"</f>
        <v>男</v>
      </c>
    </row>
    <row r="3302" spans="1:5" ht="30" customHeight="1">
      <c r="A3302" s="7">
        <v>3299</v>
      </c>
      <c r="B3302" s="7" t="str">
        <f>"38662022042110551226316"</f>
        <v>38662022042110551226316</v>
      </c>
      <c r="C3302" s="7" t="s">
        <v>45</v>
      </c>
      <c r="D3302" s="7" t="str">
        <f>"杨蕙溶"</f>
        <v>杨蕙溶</v>
      </c>
      <c r="E3302" s="7" t="str">
        <f aca="true" t="shared" si="158" ref="E3302:E3308">"女"</f>
        <v>女</v>
      </c>
    </row>
    <row r="3303" spans="1:5" ht="30" customHeight="1">
      <c r="A3303" s="7">
        <v>3300</v>
      </c>
      <c r="B3303" s="7" t="str">
        <f>"38662022042111122426488"</f>
        <v>38662022042111122426488</v>
      </c>
      <c r="C3303" s="7" t="s">
        <v>45</v>
      </c>
      <c r="D3303" s="7" t="str">
        <f>"李天咪"</f>
        <v>李天咪</v>
      </c>
      <c r="E3303" s="7" t="str">
        <f t="shared" si="158"/>
        <v>女</v>
      </c>
    </row>
    <row r="3304" spans="1:5" ht="30" customHeight="1">
      <c r="A3304" s="7">
        <v>3301</v>
      </c>
      <c r="B3304" s="7" t="str">
        <f>"38662022042114472327849"</f>
        <v>38662022042114472327849</v>
      </c>
      <c r="C3304" s="7" t="s">
        <v>45</v>
      </c>
      <c r="D3304" s="7" t="str">
        <f>"刘强"</f>
        <v>刘强</v>
      </c>
      <c r="E3304" s="7" t="str">
        <f>"男"</f>
        <v>男</v>
      </c>
    </row>
    <row r="3305" spans="1:5" ht="30" customHeight="1">
      <c r="A3305" s="7">
        <v>3302</v>
      </c>
      <c r="B3305" s="7" t="str">
        <f>"38662022042115050228004"</f>
        <v>38662022042115050228004</v>
      </c>
      <c r="C3305" s="7" t="s">
        <v>45</v>
      </c>
      <c r="D3305" s="7" t="str">
        <f>"杨秀坤"</f>
        <v>杨秀坤</v>
      </c>
      <c r="E3305" s="7" t="str">
        <f t="shared" si="158"/>
        <v>女</v>
      </c>
    </row>
    <row r="3306" spans="1:5" ht="30" customHeight="1">
      <c r="A3306" s="7">
        <v>3303</v>
      </c>
      <c r="B3306" s="7" t="str">
        <f>"38662022042115105228059"</f>
        <v>38662022042115105228059</v>
      </c>
      <c r="C3306" s="7" t="s">
        <v>45</v>
      </c>
      <c r="D3306" s="7" t="str">
        <f>"郭巧玲"</f>
        <v>郭巧玲</v>
      </c>
      <c r="E3306" s="7" t="str">
        <f t="shared" si="158"/>
        <v>女</v>
      </c>
    </row>
    <row r="3307" spans="1:5" ht="30" customHeight="1">
      <c r="A3307" s="7">
        <v>3304</v>
      </c>
      <c r="B3307" s="7" t="str">
        <f>"38662022042115205028153"</f>
        <v>38662022042115205028153</v>
      </c>
      <c r="C3307" s="7" t="s">
        <v>45</v>
      </c>
      <c r="D3307" s="7" t="str">
        <f>"李江弟"</f>
        <v>李江弟</v>
      </c>
      <c r="E3307" s="7" t="str">
        <f t="shared" si="158"/>
        <v>女</v>
      </c>
    </row>
    <row r="3308" spans="1:5" ht="30" customHeight="1">
      <c r="A3308" s="7">
        <v>3305</v>
      </c>
      <c r="B3308" s="7" t="str">
        <f>"38662022042117101428921"</f>
        <v>38662022042117101428921</v>
      </c>
      <c r="C3308" s="7" t="s">
        <v>45</v>
      </c>
      <c r="D3308" s="7" t="str">
        <f>"卢文静"</f>
        <v>卢文静</v>
      </c>
      <c r="E3308" s="7" t="str">
        <f t="shared" si="158"/>
        <v>女</v>
      </c>
    </row>
    <row r="3309" spans="1:5" ht="30" customHeight="1">
      <c r="A3309" s="7">
        <v>3306</v>
      </c>
      <c r="B3309" s="7" t="str">
        <f>"38662022042117462429128"</f>
        <v>38662022042117462429128</v>
      </c>
      <c r="C3309" s="7" t="s">
        <v>45</v>
      </c>
      <c r="D3309" s="7" t="str">
        <f>"文宏"</f>
        <v>文宏</v>
      </c>
      <c r="E3309" s="7" t="str">
        <f aca="true" t="shared" si="159" ref="E3309:E3313">"男"</f>
        <v>男</v>
      </c>
    </row>
    <row r="3310" spans="1:5" ht="30" customHeight="1">
      <c r="A3310" s="7">
        <v>3307</v>
      </c>
      <c r="B3310" s="7" t="str">
        <f>"38662022042118085729239"</f>
        <v>38662022042118085729239</v>
      </c>
      <c r="C3310" s="7" t="s">
        <v>45</v>
      </c>
      <c r="D3310" s="7" t="str">
        <f>"陈丽芳"</f>
        <v>陈丽芳</v>
      </c>
      <c r="E3310" s="7" t="str">
        <f aca="true" t="shared" si="160" ref="E3310:E3314">"女"</f>
        <v>女</v>
      </c>
    </row>
    <row r="3311" spans="1:5" ht="30" customHeight="1">
      <c r="A3311" s="7">
        <v>3308</v>
      </c>
      <c r="B3311" s="7" t="str">
        <f>"38662022042119390829632"</f>
        <v>38662022042119390829632</v>
      </c>
      <c r="C3311" s="7" t="s">
        <v>45</v>
      </c>
      <c r="D3311" s="7" t="str">
        <f>"何小丽"</f>
        <v>何小丽</v>
      </c>
      <c r="E3311" s="7" t="str">
        <f t="shared" si="160"/>
        <v>女</v>
      </c>
    </row>
    <row r="3312" spans="1:5" ht="30" customHeight="1">
      <c r="A3312" s="7">
        <v>3309</v>
      </c>
      <c r="B3312" s="7" t="str">
        <f>"38662022042121001030034"</f>
        <v>38662022042121001030034</v>
      </c>
      <c r="C3312" s="7" t="s">
        <v>45</v>
      </c>
      <c r="D3312" s="7" t="str">
        <f>"王伟"</f>
        <v>王伟</v>
      </c>
      <c r="E3312" s="7" t="str">
        <f t="shared" si="159"/>
        <v>男</v>
      </c>
    </row>
    <row r="3313" spans="1:5" ht="30" customHeight="1">
      <c r="A3313" s="7">
        <v>3310</v>
      </c>
      <c r="B3313" s="7" t="str">
        <f>"38662022042123155230701"</f>
        <v>38662022042123155230701</v>
      </c>
      <c r="C3313" s="7" t="s">
        <v>45</v>
      </c>
      <c r="D3313" s="7" t="str">
        <f>"陈可大"</f>
        <v>陈可大</v>
      </c>
      <c r="E3313" s="7" t="str">
        <f t="shared" si="159"/>
        <v>男</v>
      </c>
    </row>
    <row r="3314" spans="1:5" ht="30" customHeight="1">
      <c r="A3314" s="7">
        <v>3311</v>
      </c>
      <c r="B3314" s="7" t="str">
        <f>"38662022042209122731179"</f>
        <v>38662022042209122731179</v>
      </c>
      <c r="C3314" s="7" t="s">
        <v>45</v>
      </c>
      <c r="D3314" s="7" t="str">
        <f>"邱媛"</f>
        <v>邱媛</v>
      </c>
      <c r="E3314" s="7" t="str">
        <f t="shared" si="160"/>
        <v>女</v>
      </c>
    </row>
    <row r="3315" spans="1:5" ht="30" customHeight="1">
      <c r="A3315" s="7">
        <v>3312</v>
      </c>
      <c r="B3315" s="7" t="str">
        <f>"38662022042210510031767"</f>
        <v>38662022042210510031767</v>
      </c>
      <c r="C3315" s="7" t="s">
        <v>45</v>
      </c>
      <c r="D3315" s="7" t="str">
        <f>"陈太保"</f>
        <v>陈太保</v>
      </c>
      <c r="E3315" s="7" t="str">
        <f>"男"</f>
        <v>男</v>
      </c>
    </row>
    <row r="3316" spans="1:5" ht="30" customHeight="1">
      <c r="A3316" s="7">
        <v>3313</v>
      </c>
      <c r="B3316" s="7" t="str">
        <f>"38662022042217170734024"</f>
        <v>38662022042217170734024</v>
      </c>
      <c r="C3316" s="7" t="s">
        <v>45</v>
      </c>
      <c r="D3316" s="7" t="str">
        <f>"黄雯佳"</f>
        <v>黄雯佳</v>
      </c>
      <c r="E3316" s="7" t="str">
        <f aca="true" t="shared" si="161" ref="E3316:E3319">"女"</f>
        <v>女</v>
      </c>
    </row>
    <row r="3317" spans="1:5" ht="30" customHeight="1">
      <c r="A3317" s="7">
        <v>3314</v>
      </c>
      <c r="B3317" s="7" t="str">
        <f>"38662022042217364234124"</f>
        <v>38662022042217364234124</v>
      </c>
      <c r="C3317" s="7" t="s">
        <v>45</v>
      </c>
      <c r="D3317" s="7" t="str">
        <f>"郭珍"</f>
        <v>郭珍</v>
      </c>
      <c r="E3317" s="7" t="str">
        <f t="shared" si="161"/>
        <v>女</v>
      </c>
    </row>
    <row r="3318" spans="1:5" ht="30" customHeight="1">
      <c r="A3318" s="7">
        <v>3315</v>
      </c>
      <c r="B3318" s="7" t="str">
        <f>"38662022042218005434215"</f>
        <v>38662022042218005434215</v>
      </c>
      <c r="C3318" s="7" t="s">
        <v>45</v>
      </c>
      <c r="D3318" s="7" t="str">
        <f>"冯晓"</f>
        <v>冯晓</v>
      </c>
      <c r="E3318" s="7" t="str">
        <f t="shared" si="161"/>
        <v>女</v>
      </c>
    </row>
    <row r="3319" spans="1:5" ht="30" customHeight="1">
      <c r="A3319" s="7">
        <v>3316</v>
      </c>
      <c r="B3319" s="7" t="str">
        <f>"38662022042218463334321"</f>
        <v>38662022042218463334321</v>
      </c>
      <c r="C3319" s="7" t="s">
        <v>45</v>
      </c>
      <c r="D3319" s="7" t="str">
        <f>"王馥荣"</f>
        <v>王馥荣</v>
      </c>
      <c r="E3319" s="7" t="str">
        <f t="shared" si="161"/>
        <v>女</v>
      </c>
    </row>
    <row r="3320" spans="1:5" ht="30" customHeight="1">
      <c r="A3320" s="7">
        <v>3317</v>
      </c>
      <c r="B3320" s="7" t="str">
        <f>"38662022042309180134944"</f>
        <v>38662022042309180134944</v>
      </c>
      <c r="C3320" s="7" t="s">
        <v>45</v>
      </c>
      <c r="D3320" s="7" t="str">
        <f>"蔡奕军"</f>
        <v>蔡奕军</v>
      </c>
      <c r="E3320" s="7" t="str">
        <f>"男"</f>
        <v>男</v>
      </c>
    </row>
    <row r="3321" spans="1:5" ht="30" customHeight="1">
      <c r="A3321" s="7">
        <v>3318</v>
      </c>
      <c r="B3321" s="7" t="str">
        <f>"38662022042310002735003"</f>
        <v>38662022042310002735003</v>
      </c>
      <c r="C3321" s="7" t="s">
        <v>45</v>
      </c>
      <c r="D3321" s="7" t="str">
        <f>"邱明煌"</f>
        <v>邱明煌</v>
      </c>
      <c r="E3321" s="7" t="str">
        <f>"男"</f>
        <v>男</v>
      </c>
    </row>
    <row r="3322" spans="1:5" ht="30" customHeight="1">
      <c r="A3322" s="7">
        <v>3319</v>
      </c>
      <c r="B3322" s="7" t="str">
        <f>"38662022042310130335014"</f>
        <v>38662022042310130335014</v>
      </c>
      <c r="C3322" s="7" t="s">
        <v>45</v>
      </c>
      <c r="D3322" s="7" t="str">
        <f>"万火玉"</f>
        <v>万火玉</v>
      </c>
      <c r="E3322" s="7" t="str">
        <f aca="true" t="shared" si="162" ref="E3322:E3330">"女"</f>
        <v>女</v>
      </c>
    </row>
    <row r="3323" spans="1:5" ht="30" customHeight="1">
      <c r="A3323" s="7">
        <v>3320</v>
      </c>
      <c r="B3323" s="7" t="str">
        <f>"38662022042317090735574"</f>
        <v>38662022042317090735574</v>
      </c>
      <c r="C3323" s="7" t="s">
        <v>45</v>
      </c>
      <c r="D3323" s="7" t="str">
        <f>"王昌喜"</f>
        <v>王昌喜</v>
      </c>
      <c r="E3323" s="7" t="str">
        <f t="shared" si="162"/>
        <v>女</v>
      </c>
    </row>
    <row r="3324" spans="1:5" ht="30" customHeight="1">
      <c r="A3324" s="7">
        <v>3321</v>
      </c>
      <c r="B3324" s="7" t="str">
        <f>"38662022042322063335945"</f>
        <v>38662022042322063335945</v>
      </c>
      <c r="C3324" s="7" t="s">
        <v>45</v>
      </c>
      <c r="D3324" s="7" t="str">
        <f>"陈玉梅"</f>
        <v>陈玉梅</v>
      </c>
      <c r="E3324" s="7" t="str">
        <f t="shared" si="162"/>
        <v>女</v>
      </c>
    </row>
    <row r="3325" spans="1:5" ht="30" customHeight="1">
      <c r="A3325" s="7">
        <v>3322</v>
      </c>
      <c r="B3325" s="7" t="str">
        <f>"38662022042410173936406"</f>
        <v>38662022042410173936406</v>
      </c>
      <c r="C3325" s="7" t="s">
        <v>45</v>
      </c>
      <c r="D3325" s="7" t="str">
        <f>"彭亚星"</f>
        <v>彭亚星</v>
      </c>
      <c r="E3325" s="7" t="str">
        <f t="shared" si="162"/>
        <v>女</v>
      </c>
    </row>
    <row r="3326" spans="1:5" ht="30" customHeight="1">
      <c r="A3326" s="7">
        <v>3323</v>
      </c>
      <c r="B3326" s="7" t="str">
        <f>"38662022042416302437060"</f>
        <v>38662022042416302437060</v>
      </c>
      <c r="C3326" s="7" t="s">
        <v>45</v>
      </c>
      <c r="D3326" s="7" t="str">
        <f>"王小敏"</f>
        <v>王小敏</v>
      </c>
      <c r="E3326" s="7" t="str">
        <f t="shared" si="162"/>
        <v>女</v>
      </c>
    </row>
    <row r="3327" spans="1:5" ht="30" customHeight="1">
      <c r="A3327" s="7">
        <v>3324</v>
      </c>
      <c r="B3327" s="7" t="str">
        <f>"38662022042418020637235"</f>
        <v>38662022042418020637235</v>
      </c>
      <c r="C3327" s="7" t="s">
        <v>45</v>
      </c>
      <c r="D3327" s="7" t="str">
        <f>"孙有干"</f>
        <v>孙有干</v>
      </c>
      <c r="E3327" s="7" t="str">
        <f t="shared" si="162"/>
        <v>女</v>
      </c>
    </row>
    <row r="3328" spans="1:5" ht="30" customHeight="1">
      <c r="A3328" s="7">
        <v>3325</v>
      </c>
      <c r="B3328" s="7" t="str">
        <f>"38662022042418185837262"</f>
        <v>38662022042418185837262</v>
      </c>
      <c r="C3328" s="7" t="s">
        <v>45</v>
      </c>
      <c r="D3328" s="7" t="str">
        <f>"陈佳莹"</f>
        <v>陈佳莹</v>
      </c>
      <c r="E3328" s="7" t="str">
        <f t="shared" si="162"/>
        <v>女</v>
      </c>
    </row>
    <row r="3329" spans="1:5" ht="30" customHeight="1">
      <c r="A3329" s="7">
        <v>3326</v>
      </c>
      <c r="B3329" s="7" t="str">
        <f>"38662022042420275037442"</f>
        <v>38662022042420275037442</v>
      </c>
      <c r="C3329" s="7" t="s">
        <v>45</v>
      </c>
      <c r="D3329" s="7" t="str">
        <f>"郑雪"</f>
        <v>郑雪</v>
      </c>
      <c r="E3329" s="7" t="str">
        <f t="shared" si="162"/>
        <v>女</v>
      </c>
    </row>
    <row r="3330" spans="1:5" ht="30" customHeight="1">
      <c r="A3330" s="7">
        <v>3327</v>
      </c>
      <c r="B3330" s="7" t="str">
        <f>"38662022042422554437683"</f>
        <v>38662022042422554437683</v>
      </c>
      <c r="C3330" s="7" t="s">
        <v>45</v>
      </c>
      <c r="D3330" s="7" t="str">
        <f>"薛梅岭"</f>
        <v>薛梅岭</v>
      </c>
      <c r="E3330" s="7" t="str">
        <f t="shared" si="162"/>
        <v>女</v>
      </c>
    </row>
    <row r="3331" spans="1:5" ht="30" customHeight="1">
      <c r="A3331" s="7">
        <v>3328</v>
      </c>
      <c r="B3331" s="7" t="str">
        <f>"38662022042510500938048"</f>
        <v>38662022042510500938048</v>
      </c>
      <c r="C3331" s="7" t="s">
        <v>45</v>
      </c>
      <c r="D3331" s="7" t="str">
        <f>"董浩"</f>
        <v>董浩</v>
      </c>
      <c r="E3331" s="7" t="str">
        <f>"男"</f>
        <v>男</v>
      </c>
    </row>
    <row r="3332" spans="1:5" ht="30" customHeight="1">
      <c r="A3332" s="7">
        <v>3329</v>
      </c>
      <c r="B3332" s="7" t="str">
        <f>"38662022042510583938060"</f>
        <v>38662022042510583938060</v>
      </c>
      <c r="C3332" s="7" t="s">
        <v>45</v>
      </c>
      <c r="D3332" s="7" t="str">
        <f>"文畅桃"</f>
        <v>文畅桃</v>
      </c>
      <c r="E3332" s="7" t="str">
        <f aca="true" t="shared" si="163" ref="E3332:E3346">"女"</f>
        <v>女</v>
      </c>
    </row>
    <row r="3333" spans="1:5" ht="30" customHeight="1">
      <c r="A3333" s="7">
        <v>3330</v>
      </c>
      <c r="B3333" s="7" t="str">
        <f>"38662022042514523838306"</f>
        <v>38662022042514523838306</v>
      </c>
      <c r="C3333" s="7" t="s">
        <v>45</v>
      </c>
      <c r="D3333" s="7" t="str">
        <f>"董妍"</f>
        <v>董妍</v>
      </c>
      <c r="E3333" s="7" t="str">
        <f t="shared" si="163"/>
        <v>女</v>
      </c>
    </row>
    <row r="3334" spans="1:5" ht="30" customHeight="1">
      <c r="A3334" s="7">
        <v>3331</v>
      </c>
      <c r="B3334" s="7" t="str">
        <f>"38662022042518145238627"</f>
        <v>38662022042518145238627</v>
      </c>
      <c r="C3334" s="7" t="s">
        <v>45</v>
      </c>
      <c r="D3334" s="7" t="str">
        <f>"黄治英"</f>
        <v>黄治英</v>
      </c>
      <c r="E3334" s="7" t="str">
        <f t="shared" si="163"/>
        <v>女</v>
      </c>
    </row>
    <row r="3335" spans="1:5" ht="30" customHeight="1">
      <c r="A3335" s="7">
        <v>3332</v>
      </c>
      <c r="B3335" s="7" t="str">
        <f>"38662022042518271138642"</f>
        <v>38662022042518271138642</v>
      </c>
      <c r="C3335" s="7" t="s">
        <v>45</v>
      </c>
      <c r="D3335" s="7" t="str">
        <f>"唐小丽"</f>
        <v>唐小丽</v>
      </c>
      <c r="E3335" s="7" t="str">
        <f t="shared" si="163"/>
        <v>女</v>
      </c>
    </row>
    <row r="3336" spans="1:5" ht="30" customHeight="1">
      <c r="A3336" s="7">
        <v>3333</v>
      </c>
      <c r="B3336" s="7" t="str">
        <f>"38662022042519493438728"</f>
        <v>38662022042519493438728</v>
      </c>
      <c r="C3336" s="7" t="s">
        <v>45</v>
      </c>
      <c r="D3336" s="7" t="str">
        <f>"黄端芬"</f>
        <v>黄端芬</v>
      </c>
      <c r="E3336" s="7" t="str">
        <f t="shared" si="163"/>
        <v>女</v>
      </c>
    </row>
    <row r="3337" spans="1:5" ht="30" customHeight="1">
      <c r="A3337" s="7">
        <v>3334</v>
      </c>
      <c r="B3337" s="7" t="str">
        <f>"38662022042521532138902"</f>
        <v>38662022042521532138902</v>
      </c>
      <c r="C3337" s="7" t="s">
        <v>45</v>
      </c>
      <c r="D3337" s="7" t="str">
        <f>"羊高联"</f>
        <v>羊高联</v>
      </c>
      <c r="E3337" s="7" t="str">
        <f t="shared" si="163"/>
        <v>女</v>
      </c>
    </row>
    <row r="3338" spans="1:5" ht="30" customHeight="1">
      <c r="A3338" s="7">
        <v>3335</v>
      </c>
      <c r="B3338" s="7" t="str">
        <f>"38662022042521570238905"</f>
        <v>38662022042521570238905</v>
      </c>
      <c r="C3338" s="7" t="s">
        <v>45</v>
      </c>
      <c r="D3338" s="7" t="str">
        <f>"符筱霞"</f>
        <v>符筱霞</v>
      </c>
      <c r="E3338" s="7" t="str">
        <f t="shared" si="163"/>
        <v>女</v>
      </c>
    </row>
    <row r="3339" spans="1:5" ht="30" customHeight="1">
      <c r="A3339" s="7">
        <v>3336</v>
      </c>
      <c r="B3339" s="7" t="str">
        <f>"38662022042607255839106"</f>
        <v>38662022042607255839106</v>
      </c>
      <c r="C3339" s="7" t="s">
        <v>45</v>
      </c>
      <c r="D3339" s="7" t="str">
        <f>"梁玉珍"</f>
        <v>梁玉珍</v>
      </c>
      <c r="E3339" s="7" t="str">
        <f t="shared" si="163"/>
        <v>女</v>
      </c>
    </row>
    <row r="3340" spans="1:5" ht="30" customHeight="1">
      <c r="A3340" s="7">
        <v>3337</v>
      </c>
      <c r="B3340" s="7" t="str">
        <f>"38662022042608570839163"</f>
        <v>38662022042608570839163</v>
      </c>
      <c r="C3340" s="7" t="s">
        <v>45</v>
      </c>
      <c r="D3340" s="7" t="str">
        <f>"黎经萍"</f>
        <v>黎经萍</v>
      </c>
      <c r="E3340" s="7" t="str">
        <f t="shared" si="163"/>
        <v>女</v>
      </c>
    </row>
    <row r="3341" spans="1:5" ht="30" customHeight="1">
      <c r="A3341" s="7">
        <v>3338</v>
      </c>
      <c r="B3341" s="7" t="str">
        <f>"38662022042609013539169"</f>
        <v>38662022042609013539169</v>
      </c>
      <c r="C3341" s="7" t="s">
        <v>45</v>
      </c>
      <c r="D3341" s="7" t="str">
        <f>"黄业娟"</f>
        <v>黄业娟</v>
      </c>
      <c r="E3341" s="7" t="str">
        <f t="shared" si="163"/>
        <v>女</v>
      </c>
    </row>
    <row r="3342" spans="1:5" ht="30" customHeight="1">
      <c r="A3342" s="7">
        <v>3339</v>
      </c>
      <c r="B3342" s="7" t="str">
        <f>"38662022042609150939190"</f>
        <v>38662022042609150939190</v>
      </c>
      <c r="C3342" s="7" t="s">
        <v>45</v>
      </c>
      <c r="D3342" s="7" t="str">
        <f>"王霞"</f>
        <v>王霞</v>
      </c>
      <c r="E3342" s="7" t="str">
        <f t="shared" si="163"/>
        <v>女</v>
      </c>
    </row>
    <row r="3343" spans="1:5" ht="30" customHeight="1">
      <c r="A3343" s="7">
        <v>3340</v>
      </c>
      <c r="B3343" s="7" t="str">
        <f>"38662022042612151439459"</f>
        <v>38662022042612151439459</v>
      </c>
      <c r="C3343" s="7" t="s">
        <v>45</v>
      </c>
      <c r="D3343" s="7" t="str">
        <f>"王娇娇"</f>
        <v>王娇娇</v>
      </c>
      <c r="E3343" s="7" t="str">
        <f t="shared" si="163"/>
        <v>女</v>
      </c>
    </row>
    <row r="3344" spans="1:5" ht="30" customHeight="1">
      <c r="A3344" s="7">
        <v>3341</v>
      </c>
      <c r="B3344" s="7" t="str">
        <f>"38662022042615194839676"</f>
        <v>38662022042615194839676</v>
      </c>
      <c r="C3344" s="7" t="s">
        <v>45</v>
      </c>
      <c r="D3344" s="7" t="str">
        <f>"王凌"</f>
        <v>王凌</v>
      </c>
      <c r="E3344" s="7" t="str">
        <f t="shared" si="163"/>
        <v>女</v>
      </c>
    </row>
    <row r="3345" spans="1:5" ht="30" customHeight="1">
      <c r="A3345" s="7">
        <v>3342</v>
      </c>
      <c r="B3345" s="7" t="str">
        <f>"38662022042617133939896"</f>
        <v>38662022042617133939896</v>
      </c>
      <c r="C3345" s="7" t="s">
        <v>45</v>
      </c>
      <c r="D3345" s="7" t="str">
        <f>"吴名秋"</f>
        <v>吴名秋</v>
      </c>
      <c r="E3345" s="7" t="str">
        <f t="shared" si="163"/>
        <v>女</v>
      </c>
    </row>
    <row r="3346" spans="1:5" ht="30" customHeight="1">
      <c r="A3346" s="7">
        <v>3343</v>
      </c>
      <c r="B3346" s="7" t="str">
        <f>"38662022042617140639899"</f>
        <v>38662022042617140639899</v>
      </c>
      <c r="C3346" s="7" t="s">
        <v>45</v>
      </c>
      <c r="D3346" s="7" t="str">
        <f>"韩宜"</f>
        <v>韩宜</v>
      </c>
      <c r="E3346" s="7" t="str">
        <f t="shared" si="163"/>
        <v>女</v>
      </c>
    </row>
    <row r="3347" spans="1:5" ht="30" customHeight="1">
      <c r="A3347" s="7">
        <v>3344</v>
      </c>
      <c r="B3347" s="7" t="str">
        <f>"38662022042619213540046"</f>
        <v>38662022042619213540046</v>
      </c>
      <c r="C3347" s="7" t="s">
        <v>45</v>
      </c>
      <c r="D3347" s="7" t="str">
        <f>"焦国鹏"</f>
        <v>焦国鹏</v>
      </c>
      <c r="E3347" s="7" t="str">
        <f>"男"</f>
        <v>男</v>
      </c>
    </row>
    <row r="3348" spans="1:5" ht="30" customHeight="1">
      <c r="A3348" s="7">
        <v>3345</v>
      </c>
      <c r="B3348" s="7" t="str">
        <f>"38662022042620075740101"</f>
        <v>38662022042620075740101</v>
      </c>
      <c r="C3348" s="7" t="s">
        <v>45</v>
      </c>
      <c r="D3348" s="7" t="str">
        <f>"许桃垮"</f>
        <v>许桃垮</v>
      </c>
      <c r="E3348" s="7" t="str">
        <f aca="true" t="shared" si="164" ref="E3348:E3357">"女"</f>
        <v>女</v>
      </c>
    </row>
    <row r="3349" spans="1:5" ht="30" customHeight="1">
      <c r="A3349" s="7">
        <v>3346</v>
      </c>
      <c r="B3349" s="7" t="str">
        <f>"38662022042620313740142"</f>
        <v>38662022042620313740142</v>
      </c>
      <c r="C3349" s="7" t="s">
        <v>45</v>
      </c>
      <c r="D3349" s="7" t="str">
        <f>"阮琼霞"</f>
        <v>阮琼霞</v>
      </c>
      <c r="E3349" s="7" t="str">
        <f t="shared" si="164"/>
        <v>女</v>
      </c>
    </row>
    <row r="3350" spans="1:5" ht="30" customHeight="1">
      <c r="A3350" s="7">
        <v>3347</v>
      </c>
      <c r="B3350" s="7" t="str">
        <f>"38662022042623160040427"</f>
        <v>38662022042623160040427</v>
      </c>
      <c r="C3350" s="7" t="s">
        <v>45</v>
      </c>
      <c r="D3350" s="7" t="str">
        <f>"余伟娴"</f>
        <v>余伟娴</v>
      </c>
      <c r="E3350" s="7" t="str">
        <f t="shared" si="164"/>
        <v>女</v>
      </c>
    </row>
    <row r="3351" spans="1:5" ht="30" customHeight="1">
      <c r="A3351" s="7">
        <v>3348</v>
      </c>
      <c r="B3351" s="7" t="str">
        <f>"38662022042623521540479"</f>
        <v>38662022042623521540479</v>
      </c>
      <c r="C3351" s="7" t="s">
        <v>45</v>
      </c>
      <c r="D3351" s="7" t="str">
        <f>"苏元丽"</f>
        <v>苏元丽</v>
      </c>
      <c r="E3351" s="7" t="str">
        <f t="shared" si="164"/>
        <v>女</v>
      </c>
    </row>
    <row r="3352" spans="1:5" ht="30" customHeight="1">
      <c r="A3352" s="7">
        <v>3349</v>
      </c>
      <c r="B3352" s="7" t="str">
        <f>"38662022042707085440556"</f>
        <v>38662022042707085440556</v>
      </c>
      <c r="C3352" s="7" t="s">
        <v>45</v>
      </c>
      <c r="D3352" s="7" t="str">
        <f>"何李丽"</f>
        <v>何李丽</v>
      </c>
      <c r="E3352" s="7" t="str">
        <f t="shared" si="164"/>
        <v>女</v>
      </c>
    </row>
    <row r="3353" spans="1:5" ht="30" customHeight="1">
      <c r="A3353" s="7">
        <v>3350</v>
      </c>
      <c r="B3353" s="7" t="str">
        <f>"38662022042715044043670"</f>
        <v>38662022042715044043670</v>
      </c>
      <c r="C3353" s="7" t="s">
        <v>45</v>
      </c>
      <c r="D3353" s="7" t="str">
        <f>"李毅妹"</f>
        <v>李毅妹</v>
      </c>
      <c r="E3353" s="7" t="str">
        <f t="shared" si="164"/>
        <v>女</v>
      </c>
    </row>
    <row r="3354" spans="1:5" ht="30" customHeight="1">
      <c r="A3354" s="7">
        <v>3351</v>
      </c>
      <c r="B3354" s="7" t="str">
        <f>"38662022042109145825065"</f>
        <v>38662022042109145825065</v>
      </c>
      <c r="C3354" s="7" t="s">
        <v>46</v>
      </c>
      <c r="D3354" s="7" t="str">
        <f>"符蓉"</f>
        <v>符蓉</v>
      </c>
      <c r="E3354" s="7" t="str">
        <f t="shared" si="164"/>
        <v>女</v>
      </c>
    </row>
    <row r="3355" spans="1:5" ht="30" customHeight="1">
      <c r="A3355" s="7">
        <v>3352</v>
      </c>
      <c r="B3355" s="7" t="str">
        <f>"38662022042109591725626"</f>
        <v>38662022042109591725626</v>
      </c>
      <c r="C3355" s="7" t="s">
        <v>46</v>
      </c>
      <c r="D3355" s="7" t="str">
        <f>"朱娇"</f>
        <v>朱娇</v>
      </c>
      <c r="E3355" s="7" t="str">
        <f t="shared" si="164"/>
        <v>女</v>
      </c>
    </row>
    <row r="3356" spans="1:5" ht="30" customHeight="1">
      <c r="A3356" s="7">
        <v>3353</v>
      </c>
      <c r="B3356" s="7" t="str">
        <f>"38662022042110335026065"</f>
        <v>38662022042110335026065</v>
      </c>
      <c r="C3356" s="7" t="s">
        <v>46</v>
      </c>
      <c r="D3356" s="7" t="str">
        <f>"王金丹"</f>
        <v>王金丹</v>
      </c>
      <c r="E3356" s="7" t="str">
        <f t="shared" si="164"/>
        <v>女</v>
      </c>
    </row>
    <row r="3357" spans="1:5" ht="30" customHeight="1">
      <c r="A3357" s="7">
        <v>3354</v>
      </c>
      <c r="B3357" s="7" t="str">
        <f>"38662022042110383026115"</f>
        <v>38662022042110383026115</v>
      </c>
      <c r="C3357" s="7" t="s">
        <v>46</v>
      </c>
      <c r="D3357" s="7" t="str">
        <f>"王涵"</f>
        <v>王涵</v>
      </c>
      <c r="E3357" s="7" t="str">
        <f t="shared" si="164"/>
        <v>女</v>
      </c>
    </row>
    <row r="3358" spans="1:5" ht="30" customHeight="1">
      <c r="A3358" s="7">
        <v>3355</v>
      </c>
      <c r="B3358" s="7" t="str">
        <f>"38662022042110412426143"</f>
        <v>38662022042110412426143</v>
      </c>
      <c r="C3358" s="7" t="s">
        <v>46</v>
      </c>
      <c r="D3358" s="7" t="str">
        <f>"姜宽"</f>
        <v>姜宽</v>
      </c>
      <c r="E3358" s="7" t="str">
        <f>"男"</f>
        <v>男</v>
      </c>
    </row>
    <row r="3359" spans="1:5" ht="30" customHeight="1">
      <c r="A3359" s="7">
        <v>3356</v>
      </c>
      <c r="B3359" s="7" t="str">
        <f>"38662022042110510726275"</f>
        <v>38662022042110510726275</v>
      </c>
      <c r="C3359" s="7" t="s">
        <v>46</v>
      </c>
      <c r="D3359" s="7" t="str">
        <f>"符春蕾"</f>
        <v>符春蕾</v>
      </c>
      <c r="E3359" s="7" t="str">
        <f aca="true" t="shared" si="165" ref="E3359:E3361">"女"</f>
        <v>女</v>
      </c>
    </row>
    <row r="3360" spans="1:5" ht="30" customHeight="1">
      <c r="A3360" s="7">
        <v>3357</v>
      </c>
      <c r="B3360" s="7" t="str">
        <f>"38662022042112335427127"</f>
        <v>38662022042112335427127</v>
      </c>
      <c r="C3360" s="7" t="s">
        <v>46</v>
      </c>
      <c r="D3360" s="7" t="str">
        <f>"唐慧"</f>
        <v>唐慧</v>
      </c>
      <c r="E3360" s="7" t="str">
        <f t="shared" si="165"/>
        <v>女</v>
      </c>
    </row>
    <row r="3361" spans="1:5" ht="30" customHeight="1">
      <c r="A3361" s="7">
        <v>3358</v>
      </c>
      <c r="B3361" s="7" t="str">
        <f>"38662022042112492727218"</f>
        <v>38662022042112492727218</v>
      </c>
      <c r="C3361" s="7" t="s">
        <v>46</v>
      </c>
      <c r="D3361" s="7" t="str">
        <f>"陈江"</f>
        <v>陈江</v>
      </c>
      <c r="E3361" s="7" t="str">
        <f t="shared" si="165"/>
        <v>女</v>
      </c>
    </row>
    <row r="3362" spans="1:5" ht="30" customHeight="1">
      <c r="A3362" s="7">
        <v>3359</v>
      </c>
      <c r="B3362" s="7" t="str">
        <f>"38662022042114442627824"</f>
        <v>38662022042114442627824</v>
      </c>
      <c r="C3362" s="7" t="s">
        <v>46</v>
      </c>
      <c r="D3362" s="7" t="str">
        <f>"何升民"</f>
        <v>何升民</v>
      </c>
      <c r="E3362" s="7" t="str">
        <f>"男"</f>
        <v>男</v>
      </c>
    </row>
    <row r="3363" spans="1:5" ht="30" customHeight="1">
      <c r="A3363" s="7">
        <v>3360</v>
      </c>
      <c r="B3363" s="7" t="str">
        <f>"38662022042115393528302"</f>
        <v>38662022042115393528302</v>
      </c>
      <c r="C3363" s="7" t="s">
        <v>46</v>
      </c>
      <c r="D3363" s="7" t="str">
        <f>"蔡婉怡"</f>
        <v>蔡婉怡</v>
      </c>
      <c r="E3363" s="7" t="str">
        <f aca="true" t="shared" si="166" ref="E3363:E3365">"女"</f>
        <v>女</v>
      </c>
    </row>
    <row r="3364" spans="1:5" ht="30" customHeight="1">
      <c r="A3364" s="7">
        <v>3361</v>
      </c>
      <c r="B3364" s="7" t="str">
        <f>"38662022042115540128418"</f>
        <v>38662022042115540128418</v>
      </c>
      <c r="C3364" s="7" t="s">
        <v>46</v>
      </c>
      <c r="D3364" s="7" t="str">
        <f>"文金婵"</f>
        <v>文金婵</v>
      </c>
      <c r="E3364" s="7" t="str">
        <f t="shared" si="166"/>
        <v>女</v>
      </c>
    </row>
    <row r="3365" spans="1:5" ht="30" customHeight="1">
      <c r="A3365" s="7">
        <v>3362</v>
      </c>
      <c r="B3365" s="7" t="str">
        <f>"38662022042116221728611"</f>
        <v>38662022042116221728611</v>
      </c>
      <c r="C3365" s="7" t="s">
        <v>46</v>
      </c>
      <c r="D3365" s="7" t="str">
        <f>"王芳紫"</f>
        <v>王芳紫</v>
      </c>
      <c r="E3365" s="7" t="str">
        <f t="shared" si="166"/>
        <v>女</v>
      </c>
    </row>
    <row r="3366" spans="1:5" ht="30" customHeight="1">
      <c r="A3366" s="7">
        <v>3363</v>
      </c>
      <c r="B3366" s="7" t="str">
        <f>"38662022042116394028720"</f>
        <v>38662022042116394028720</v>
      </c>
      <c r="C3366" s="7" t="s">
        <v>46</v>
      </c>
      <c r="D3366" s="7" t="str">
        <f>"李廷轲"</f>
        <v>李廷轲</v>
      </c>
      <c r="E3366" s="7" t="str">
        <f>"男"</f>
        <v>男</v>
      </c>
    </row>
    <row r="3367" spans="1:5" ht="30" customHeight="1">
      <c r="A3367" s="7">
        <v>3364</v>
      </c>
      <c r="B3367" s="7" t="str">
        <f>"38662022042116482228779"</f>
        <v>38662022042116482228779</v>
      </c>
      <c r="C3367" s="7" t="s">
        <v>46</v>
      </c>
      <c r="D3367" s="7" t="str">
        <f>"杨婵娟"</f>
        <v>杨婵娟</v>
      </c>
      <c r="E3367" s="7" t="str">
        <f aca="true" t="shared" si="167" ref="E3367:E3371">"女"</f>
        <v>女</v>
      </c>
    </row>
    <row r="3368" spans="1:5" ht="30" customHeight="1">
      <c r="A3368" s="7">
        <v>3365</v>
      </c>
      <c r="B3368" s="7" t="str">
        <f>"38662022042116541028820"</f>
        <v>38662022042116541028820</v>
      </c>
      <c r="C3368" s="7" t="s">
        <v>46</v>
      </c>
      <c r="D3368" s="7" t="str">
        <f>"孙思敏"</f>
        <v>孙思敏</v>
      </c>
      <c r="E3368" s="7" t="str">
        <f t="shared" si="167"/>
        <v>女</v>
      </c>
    </row>
    <row r="3369" spans="1:5" ht="30" customHeight="1">
      <c r="A3369" s="7">
        <v>3366</v>
      </c>
      <c r="B3369" s="7" t="str">
        <f>"38662022042117253729027"</f>
        <v>38662022042117253729027</v>
      </c>
      <c r="C3369" s="7" t="s">
        <v>46</v>
      </c>
      <c r="D3369" s="7" t="str">
        <f>"陈舒婷"</f>
        <v>陈舒婷</v>
      </c>
      <c r="E3369" s="7" t="str">
        <f t="shared" si="167"/>
        <v>女</v>
      </c>
    </row>
    <row r="3370" spans="1:5" ht="30" customHeight="1">
      <c r="A3370" s="7">
        <v>3367</v>
      </c>
      <c r="B3370" s="7" t="str">
        <f>"38662022042117344829069"</f>
        <v>38662022042117344829069</v>
      </c>
      <c r="C3370" s="7" t="s">
        <v>46</v>
      </c>
      <c r="D3370" s="7" t="str">
        <f>"吴晓珍"</f>
        <v>吴晓珍</v>
      </c>
      <c r="E3370" s="7" t="str">
        <f t="shared" si="167"/>
        <v>女</v>
      </c>
    </row>
    <row r="3371" spans="1:5" ht="30" customHeight="1">
      <c r="A3371" s="7">
        <v>3368</v>
      </c>
      <c r="B3371" s="7" t="str">
        <f>"38662022042117345429071"</f>
        <v>38662022042117345429071</v>
      </c>
      <c r="C3371" s="7" t="s">
        <v>46</v>
      </c>
      <c r="D3371" s="7" t="str">
        <f>"贾茹"</f>
        <v>贾茹</v>
      </c>
      <c r="E3371" s="7" t="str">
        <f t="shared" si="167"/>
        <v>女</v>
      </c>
    </row>
    <row r="3372" spans="1:5" ht="30" customHeight="1">
      <c r="A3372" s="7">
        <v>3369</v>
      </c>
      <c r="B3372" s="7" t="str">
        <f>"38662022042117461429125"</f>
        <v>38662022042117461429125</v>
      </c>
      <c r="C3372" s="7" t="s">
        <v>46</v>
      </c>
      <c r="D3372" s="7" t="str">
        <f>"张昱"</f>
        <v>张昱</v>
      </c>
      <c r="E3372" s="7" t="str">
        <f aca="true" t="shared" si="168" ref="E3372:E3377">"男"</f>
        <v>男</v>
      </c>
    </row>
    <row r="3373" spans="1:5" ht="30" customHeight="1">
      <c r="A3373" s="7">
        <v>3370</v>
      </c>
      <c r="B3373" s="7" t="str">
        <f>"38662022042120493229989"</f>
        <v>38662022042120493229989</v>
      </c>
      <c r="C3373" s="7" t="s">
        <v>46</v>
      </c>
      <c r="D3373" s="7" t="str">
        <f>"黄振"</f>
        <v>黄振</v>
      </c>
      <c r="E3373" s="7" t="str">
        <f t="shared" si="168"/>
        <v>男</v>
      </c>
    </row>
    <row r="3374" spans="1:5" ht="30" customHeight="1">
      <c r="A3374" s="7">
        <v>3371</v>
      </c>
      <c r="B3374" s="7" t="str">
        <f>"38662022042121324630220"</f>
        <v>38662022042121324630220</v>
      </c>
      <c r="C3374" s="7" t="s">
        <v>46</v>
      </c>
      <c r="D3374" s="7" t="str">
        <f>"林敏敏"</f>
        <v>林敏敏</v>
      </c>
      <c r="E3374" s="7" t="str">
        <f aca="true" t="shared" si="169" ref="E3374:E3376">"女"</f>
        <v>女</v>
      </c>
    </row>
    <row r="3375" spans="1:5" ht="30" customHeight="1">
      <c r="A3375" s="7">
        <v>3372</v>
      </c>
      <c r="B3375" s="7" t="str">
        <f>"38662022042200042130819"</f>
        <v>38662022042200042130819</v>
      </c>
      <c r="C3375" s="7" t="s">
        <v>46</v>
      </c>
      <c r="D3375" s="7" t="str">
        <f>"薛水清"</f>
        <v>薛水清</v>
      </c>
      <c r="E3375" s="7" t="str">
        <f t="shared" si="169"/>
        <v>女</v>
      </c>
    </row>
    <row r="3376" spans="1:5" ht="30" customHeight="1">
      <c r="A3376" s="7">
        <v>3373</v>
      </c>
      <c r="B3376" s="7" t="str">
        <f>"38662022042208492131069"</f>
        <v>38662022042208492131069</v>
      </c>
      <c r="C3376" s="7" t="s">
        <v>46</v>
      </c>
      <c r="D3376" s="7" t="str">
        <f>"黎学莉"</f>
        <v>黎学莉</v>
      </c>
      <c r="E3376" s="7" t="str">
        <f t="shared" si="169"/>
        <v>女</v>
      </c>
    </row>
    <row r="3377" spans="1:5" ht="30" customHeight="1">
      <c r="A3377" s="7">
        <v>3374</v>
      </c>
      <c r="B3377" s="7" t="str">
        <f>"38662022042208580131111"</f>
        <v>38662022042208580131111</v>
      </c>
      <c r="C3377" s="7" t="s">
        <v>46</v>
      </c>
      <c r="D3377" s="7" t="str">
        <f>"王国兴"</f>
        <v>王国兴</v>
      </c>
      <c r="E3377" s="7" t="str">
        <f t="shared" si="168"/>
        <v>男</v>
      </c>
    </row>
    <row r="3378" spans="1:5" ht="30" customHeight="1">
      <c r="A3378" s="7">
        <v>3375</v>
      </c>
      <c r="B3378" s="7" t="str">
        <f>"38662022042210324731647"</f>
        <v>38662022042210324731647</v>
      </c>
      <c r="C3378" s="7" t="s">
        <v>46</v>
      </c>
      <c r="D3378" s="7" t="str">
        <f>"甄学苹"</f>
        <v>甄学苹</v>
      </c>
      <c r="E3378" s="7" t="str">
        <f aca="true" t="shared" si="170" ref="E3378:E3380">"女"</f>
        <v>女</v>
      </c>
    </row>
    <row r="3379" spans="1:5" ht="30" customHeight="1">
      <c r="A3379" s="7">
        <v>3376</v>
      </c>
      <c r="B3379" s="7" t="str">
        <f>"38662022042210391031683"</f>
        <v>38662022042210391031683</v>
      </c>
      <c r="C3379" s="7" t="s">
        <v>46</v>
      </c>
      <c r="D3379" s="7" t="str">
        <f>"卞满欢"</f>
        <v>卞满欢</v>
      </c>
      <c r="E3379" s="7" t="str">
        <f t="shared" si="170"/>
        <v>女</v>
      </c>
    </row>
    <row r="3380" spans="1:5" ht="30" customHeight="1">
      <c r="A3380" s="7">
        <v>3377</v>
      </c>
      <c r="B3380" s="7" t="str">
        <f>"38662022042210455531736"</f>
        <v>38662022042210455531736</v>
      </c>
      <c r="C3380" s="7" t="s">
        <v>46</v>
      </c>
      <c r="D3380" s="7" t="str">
        <f>"叶芷芹"</f>
        <v>叶芷芹</v>
      </c>
      <c r="E3380" s="7" t="str">
        <f t="shared" si="170"/>
        <v>女</v>
      </c>
    </row>
    <row r="3381" spans="1:5" ht="30" customHeight="1">
      <c r="A3381" s="7">
        <v>3378</v>
      </c>
      <c r="B3381" s="7" t="str">
        <f>"38662022042217531234186"</f>
        <v>38662022042217531234186</v>
      </c>
      <c r="C3381" s="7" t="s">
        <v>46</v>
      </c>
      <c r="D3381" s="7" t="str">
        <f>"陈俊"</f>
        <v>陈俊</v>
      </c>
      <c r="E3381" s="7" t="str">
        <f>"男"</f>
        <v>男</v>
      </c>
    </row>
    <row r="3382" spans="1:5" ht="30" customHeight="1">
      <c r="A3382" s="7">
        <v>3379</v>
      </c>
      <c r="B3382" s="7" t="str">
        <f>"38662022042218355934294"</f>
        <v>38662022042218355934294</v>
      </c>
      <c r="C3382" s="7" t="s">
        <v>46</v>
      </c>
      <c r="D3382" s="7" t="str">
        <f>"杜定总"</f>
        <v>杜定总</v>
      </c>
      <c r="E3382" s="7" t="str">
        <f>"男"</f>
        <v>男</v>
      </c>
    </row>
    <row r="3383" spans="1:5" ht="30" customHeight="1">
      <c r="A3383" s="7">
        <v>3380</v>
      </c>
      <c r="B3383" s="7" t="str">
        <f>"38662022042218513534327"</f>
        <v>38662022042218513534327</v>
      </c>
      <c r="C3383" s="7" t="s">
        <v>46</v>
      </c>
      <c r="D3383" s="7" t="str">
        <f>"杨玉秀"</f>
        <v>杨玉秀</v>
      </c>
      <c r="E3383" s="7" t="str">
        <f aca="true" t="shared" si="171" ref="E3383:E3391">"女"</f>
        <v>女</v>
      </c>
    </row>
    <row r="3384" spans="1:5" ht="30" customHeight="1">
      <c r="A3384" s="7">
        <v>3381</v>
      </c>
      <c r="B3384" s="7" t="str">
        <f>"38662022042220490334557"</f>
        <v>38662022042220490334557</v>
      </c>
      <c r="C3384" s="7" t="s">
        <v>46</v>
      </c>
      <c r="D3384" s="7" t="str">
        <f>"李兰菊"</f>
        <v>李兰菊</v>
      </c>
      <c r="E3384" s="7" t="str">
        <f t="shared" si="171"/>
        <v>女</v>
      </c>
    </row>
    <row r="3385" spans="1:5" ht="30" customHeight="1">
      <c r="A3385" s="7">
        <v>3382</v>
      </c>
      <c r="B3385" s="7" t="str">
        <f>"38662022042221575934692"</f>
        <v>38662022042221575934692</v>
      </c>
      <c r="C3385" s="7" t="s">
        <v>46</v>
      </c>
      <c r="D3385" s="7" t="str">
        <f>"吴造云"</f>
        <v>吴造云</v>
      </c>
      <c r="E3385" s="7" t="str">
        <f t="shared" si="171"/>
        <v>女</v>
      </c>
    </row>
    <row r="3386" spans="1:5" ht="30" customHeight="1">
      <c r="A3386" s="7">
        <v>3383</v>
      </c>
      <c r="B3386" s="7" t="str">
        <f>"38662022042223011134786"</f>
        <v>38662022042223011134786</v>
      </c>
      <c r="C3386" s="7" t="s">
        <v>46</v>
      </c>
      <c r="D3386" s="7" t="str">
        <f>"郑巧巧"</f>
        <v>郑巧巧</v>
      </c>
      <c r="E3386" s="7" t="str">
        <f t="shared" si="171"/>
        <v>女</v>
      </c>
    </row>
    <row r="3387" spans="1:5" ht="30" customHeight="1">
      <c r="A3387" s="7">
        <v>3384</v>
      </c>
      <c r="B3387" s="7" t="str">
        <f>"38662022042308170834900"</f>
        <v>38662022042308170834900</v>
      </c>
      <c r="C3387" s="7" t="s">
        <v>46</v>
      </c>
      <c r="D3387" s="7" t="str">
        <f>"孙翠妹"</f>
        <v>孙翠妹</v>
      </c>
      <c r="E3387" s="7" t="str">
        <f t="shared" si="171"/>
        <v>女</v>
      </c>
    </row>
    <row r="3388" spans="1:5" ht="30" customHeight="1">
      <c r="A3388" s="7">
        <v>3385</v>
      </c>
      <c r="B3388" s="7" t="str">
        <f>"38662022042309292134954"</f>
        <v>38662022042309292134954</v>
      </c>
      <c r="C3388" s="7" t="s">
        <v>46</v>
      </c>
      <c r="D3388" s="7" t="str">
        <f>"郭泽姑"</f>
        <v>郭泽姑</v>
      </c>
      <c r="E3388" s="7" t="str">
        <f t="shared" si="171"/>
        <v>女</v>
      </c>
    </row>
    <row r="3389" spans="1:5" ht="30" customHeight="1">
      <c r="A3389" s="7">
        <v>3386</v>
      </c>
      <c r="B3389" s="7" t="str">
        <f>"38662022042313021135241"</f>
        <v>38662022042313021135241</v>
      </c>
      <c r="C3389" s="7" t="s">
        <v>46</v>
      </c>
      <c r="D3389" s="7" t="str">
        <f>"曾玲"</f>
        <v>曾玲</v>
      </c>
      <c r="E3389" s="7" t="str">
        <f t="shared" si="171"/>
        <v>女</v>
      </c>
    </row>
    <row r="3390" spans="1:5" ht="30" customHeight="1">
      <c r="A3390" s="7">
        <v>3387</v>
      </c>
      <c r="B3390" s="7" t="str">
        <f>"38662022042313163335255"</f>
        <v>38662022042313163335255</v>
      </c>
      <c r="C3390" s="7" t="s">
        <v>46</v>
      </c>
      <c r="D3390" s="7" t="str">
        <f>"吴万桃"</f>
        <v>吴万桃</v>
      </c>
      <c r="E3390" s="7" t="str">
        <f t="shared" si="171"/>
        <v>女</v>
      </c>
    </row>
    <row r="3391" spans="1:5" ht="30" customHeight="1">
      <c r="A3391" s="7">
        <v>3388</v>
      </c>
      <c r="B3391" s="7" t="str">
        <f>"38662022042314093735323"</f>
        <v>38662022042314093735323</v>
      </c>
      <c r="C3391" s="7" t="s">
        <v>46</v>
      </c>
      <c r="D3391" s="7" t="str">
        <f>"郭小花"</f>
        <v>郭小花</v>
      </c>
      <c r="E3391" s="7" t="str">
        <f t="shared" si="171"/>
        <v>女</v>
      </c>
    </row>
    <row r="3392" spans="1:5" ht="30" customHeight="1">
      <c r="A3392" s="7">
        <v>3389</v>
      </c>
      <c r="B3392" s="7" t="str">
        <f>"38662022042318035435629"</f>
        <v>38662022042318035435629</v>
      </c>
      <c r="C3392" s="7" t="s">
        <v>46</v>
      </c>
      <c r="D3392" s="7" t="str">
        <f>"何林学"</f>
        <v>何林学</v>
      </c>
      <c r="E3392" s="7" t="str">
        <f>"男"</f>
        <v>男</v>
      </c>
    </row>
    <row r="3393" spans="1:5" ht="30" customHeight="1">
      <c r="A3393" s="7">
        <v>3390</v>
      </c>
      <c r="B3393" s="7" t="str">
        <f>"38662022042321163435859"</f>
        <v>38662022042321163435859</v>
      </c>
      <c r="C3393" s="7" t="s">
        <v>46</v>
      </c>
      <c r="D3393" s="7" t="str">
        <f>"覃钰童"</f>
        <v>覃钰童</v>
      </c>
      <c r="E3393" s="7" t="str">
        <f aca="true" t="shared" si="172" ref="E3393:E3397">"女"</f>
        <v>女</v>
      </c>
    </row>
    <row r="3394" spans="1:5" ht="30" customHeight="1">
      <c r="A3394" s="7">
        <v>3391</v>
      </c>
      <c r="B3394" s="7" t="str">
        <f>"38662022042408322236184"</f>
        <v>38662022042408322236184</v>
      </c>
      <c r="C3394" s="7" t="s">
        <v>46</v>
      </c>
      <c r="D3394" s="7" t="str">
        <f>"文陈华"</f>
        <v>文陈华</v>
      </c>
      <c r="E3394" s="7" t="str">
        <f t="shared" si="172"/>
        <v>女</v>
      </c>
    </row>
    <row r="3395" spans="1:5" ht="30" customHeight="1">
      <c r="A3395" s="7">
        <v>3392</v>
      </c>
      <c r="B3395" s="7" t="str">
        <f>"38662022042409562336358"</f>
        <v>38662022042409562336358</v>
      </c>
      <c r="C3395" s="7" t="s">
        <v>46</v>
      </c>
      <c r="D3395" s="7" t="str">
        <f>"庄黄霞"</f>
        <v>庄黄霞</v>
      </c>
      <c r="E3395" s="7" t="str">
        <f t="shared" si="172"/>
        <v>女</v>
      </c>
    </row>
    <row r="3396" spans="1:5" ht="30" customHeight="1">
      <c r="A3396" s="7">
        <v>3393</v>
      </c>
      <c r="B3396" s="7" t="str">
        <f>"38662022042410035136376"</f>
        <v>38662022042410035136376</v>
      </c>
      <c r="C3396" s="7" t="s">
        <v>46</v>
      </c>
      <c r="D3396" s="7" t="str">
        <f>"曾翠妹"</f>
        <v>曾翠妹</v>
      </c>
      <c r="E3396" s="7" t="str">
        <f t="shared" si="172"/>
        <v>女</v>
      </c>
    </row>
    <row r="3397" spans="1:5" ht="30" customHeight="1">
      <c r="A3397" s="7">
        <v>3394</v>
      </c>
      <c r="B3397" s="7" t="str">
        <f>"38662022042411034436493"</f>
        <v>38662022042411034436493</v>
      </c>
      <c r="C3397" s="7" t="s">
        <v>46</v>
      </c>
      <c r="D3397" s="7" t="str">
        <f>"邢惠清"</f>
        <v>邢惠清</v>
      </c>
      <c r="E3397" s="7" t="str">
        <f t="shared" si="172"/>
        <v>女</v>
      </c>
    </row>
    <row r="3398" spans="1:5" ht="30" customHeight="1">
      <c r="A3398" s="7">
        <v>3395</v>
      </c>
      <c r="B3398" s="7" t="str">
        <f>"38662022042416204837037"</f>
        <v>38662022042416204837037</v>
      </c>
      <c r="C3398" s="7" t="s">
        <v>46</v>
      </c>
      <c r="D3398" s="7" t="str">
        <f>"何武"</f>
        <v>何武</v>
      </c>
      <c r="E3398" s="7" t="str">
        <f>"男"</f>
        <v>男</v>
      </c>
    </row>
    <row r="3399" spans="1:5" ht="30" customHeight="1">
      <c r="A3399" s="7">
        <v>3396</v>
      </c>
      <c r="B3399" s="7" t="str">
        <f>"38662022042417055537144"</f>
        <v>38662022042417055537144</v>
      </c>
      <c r="C3399" s="7" t="s">
        <v>46</v>
      </c>
      <c r="D3399" s="7" t="str">
        <f>"王来银"</f>
        <v>王来银</v>
      </c>
      <c r="E3399" s="7" t="str">
        <f aca="true" t="shared" si="173" ref="E3399:E3407">"女"</f>
        <v>女</v>
      </c>
    </row>
    <row r="3400" spans="1:5" ht="30" customHeight="1">
      <c r="A3400" s="7">
        <v>3397</v>
      </c>
      <c r="B3400" s="7" t="str">
        <f>"38662022042417513237214"</f>
        <v>38662022042417513237214</v>
      </c>
      <c r="C3400" s="7" t="s">
        <v>46</v>
      </c>
      <c r="D3400" s="7" t="str">
        <f>"王莹"</f>
        <v>王莹</v>
      </c>
      <c r="E3400" s="7" t="str">
        <f t="shared" si="173"/>
        <v>女</v>
      </c>
    </row>
    <row r="3401" spans="1:5" ht="30" customHeight="1">
      <c r="A3401" s="7">
        <v>3398</v>
      </c>
      <c r="B3401" s="7" t="str">
        <f>"38662022042418463837302"</f>
        <v>38662022042418463837302</v>
      </c>
      <c r="C3401" s="7" t="s">
        <v>46</v>
      </c>
      <c r="D3401" s="7" t="str">
        <f>"钟文莹"</f>
        <v>钟文莹</v>
      </c>
      <c r="E3401" s="7" t="str">
        <f t="shared" si="173"/>
        <v>女</v>
      </c>
    </row>
    <row r="3402" spans="1:5" ht="30" customHeight="1">
      <c r="A3402" s="7">
        <v>3399</v>
      </c>
      <c r="B3402" s="7" t="str">
        <f>"38662022042421065537513"</f>
        <v>38662022042421065537513</v>
      </c>
      <c r="C3402" s="7" t="s">
        <v>46</v>
      </c>
      <c r="D3402" s="7" t="str">
        <f>"吉秀怡"</f>
        <v>吉秀怡</v>
      </c>
      <c r="E3402" s="7" t="str">
        <f t="shared" si="173"/>
        <v>女</v>
      </c>
    </row>
    <row r="3403" spans="1:5" ht="30" customHeight="1">
      <c r="A3403" s="7">
        <v>3400</v>
      </c>
      <c r="B3403" s="7" t="str">
        <f>"38662022042422290737638"</f>
        <v>38662022042422290737638</v>
      </c>
      <c r="C3403" s="7" t="s">
        <v>46</v>
      </c>
      <c r="D3403" s="7" t="str">
        <f>"李雪芳"</f>
        <v>李雪芳</v>
      </c>
      <c r="E3403" s="7" t="str">
        <f t="shared" si="173"/>
        <v>女</v>
      </c>
    </row>
    <row r="3404" spans="1:5" ht="30" customHeight="1">
      <c r="A3404" s="7">
        <v>3401</v>
      </c>
      <c r="B3404" s="7" t="str">
        <f>"38662022042422392037658"</f>
        <v>38662022042422392037658</v>
      </c>
      <c r="C3404" s="7" t="s">
        <v>46</v>
      </c>
      <c r="D3404" s="7" t="str">
        <f>"董英怀"</f>
        <v>董英怀</v>
      </c>
      <c r="E3404" s="7" t="str">
        <f t="shared" si="173"/>
        <v>女</v>
      </c>
    </row>
    <row r="3405" spans="1:5" ht="30" customHeight="1">
      <c r="A3405" s="7">
        <v>3402</v>
      </c>
      <c r="B3405" s="7" t="str">
        <f>"38662022042508144637809"</f>
        <v>38662022042508144637809</v>
      </c>
      <c r="C3405" s="7" t="s">
        <v>46</v>
      </c>
      <c r="D3405" s="7" t="str">
        <f>"何琼尾"</f>
        <v>何琼尾</v>
      </c>
      <c r="E3405" s="7" t="str">
        <f t="shared" si="173"/>
        <v>女</v>
      </c>
    </row>
    <row r="3406" spans="1:5" ht="30" customHeight="1">
      <c r="A3406" s="7">
        <v>3403</v>
      </c>
      <c r="B3406" s="7" t="str">
        <f>"38662022042509071037849"</f>
        <v>38662022042509071037849</v>
      </c>
      <c r="C3406" s="7" t="s">
        <v>46</v>
      </c>
      <c r="D3406" s="7" t="str">
        <f>"符佳"</f>
        <v>符佳</v>
      </c>
      <c r="E3406" s="7" t="str">
        <f t="shared" si="173"/>
        <v>女</v>
      </c>
    </row>
    <row r="3407" spans="1:5" ht="30" customHeight="1">
      <c r="A3407" s="7">
        <v>3404</v>
      </c>
      <c r="B3407" s="7" t="str">
        <f>"38662022042510383038019"</f>
        <v>38662022042510383038019</v>
      </c>
      <c r="C3407" s="7" t="s">
        <v>46</v>
      </c>
      <c r="D3407" s="7" t="str">
        <f>"黄小钊"</f>
        <v>黄小钊</v>
      </c>
      <c r="E3407" s="7" t="str">
        <f t="shared" si="173"/>
        <v>女</v>
      </c>
    </row>
    <row r="3408" spans="1:5" ht="30" customHeight="1">
      <c r="A3408" s="7">
        <v>3405</v>
      </c>
      <c r="B3408" s="7" t="str">
        <f>"38662022042511151738097"</f>
        <v>38662022042511151738097</v>
      </c>
      <c r="C3408" s="7" t="s">
        <v>46</v>
      </c>
      <c r="D3408" s="7" t="str">
        <f>"苏明明"</f>
        <v>苏明明</v>
      </c>
      <c r="E3408" s="7" t="str">
        <f>"男"</f>
        <v>男</v>
      </c>
    </row>
    <row r="3409" spans="1:5" ht="30" customHeight="1">
      <c r="A3409" s="7">
        <v>3406</v>
      </c>
      <c r="B3409" s="7" t="str">
        <f>"38662022042512124738156"</f>
        <v>38662022042512124738156</v>
      </c>
      <c r="C3409" s="7" t="s">
        <v>46</v>
      </c>
      <c r="D3409" s="7" t="str">
        <f>"陈心怡"</f>
        <v>陈心怡</v>
      </c>
      <c r="E3409" s="7" t="str">
        <f aca="true" t="shared" si="174" ref="E3409:E3411">"女"</f>
        <v>女</v>
      </c>
    </row>
    <row r="3410" spans="1:5" ht="30" customHeight="1">
      <c r="A3410" s="7">
        <v>3407</v>
      </c>
      <c r="B3410" s="7" t="str">
        <f>"38662022042516574438533"</f>
        <v>38662022042516574438533</v>
      </c>
      <c r="C3410" s="7" t="s">
        <v>46</v>
      </c>
      <c r="D3410" s="7" t="str">
        <f>"谭火芸"</f>
        <v>谭火芸</v>
      </c>
      <c r="E3410" s="7" t="str">
        <f t="shared" si="174"/>
        <v>女</v>
      </c>
    </row>
    <row r="3411" spans="1:5" ht="30" customHeight="1">
      <c r="A3411" s="7">
        <v>3408</v>
      </c>
      <c r="B3411" s="7" t="str">
        <f>"38662022042523242439018"</f>
        <v>38662022042523242439018</v>
      </c>
      <c r="C3411" s="7" t="s">
        <v>46</v>
      </c>
      <c r="D3411" s="7" t="str">
        <f>"高玉乾"</f>
        <v>高玉乾</v>
      </c>
      <c r="E3411" s="7" t="str">
        <f t="shared" si="174"/>
        <v>女</v>
      </c>
    </row>
    <row r="3412" spans="1:5" ht="30" customHeight="1">
      <c r="A3412" s="7">
        <v>3409</v>
      </c>
      <c r="B3412" s="7" t="str">
        <f>"38662022042601212139087"</f>
        <v>38662022042601212139087</v>
      </c>
      <c r="C3412" s="7" t="s">
        <v>46</v>
      </c>
      <c r="D3412" s="7" t="str">
        <f>"吉高斌"</f>
        <v>吉高斌</v>
      </c>
      <c r="E3412" s="7" t="str">
        <f>"男"</f>
        <v>男</v>
      </c>
    </row>
    <row r="3413" spans="1:5" ht="30" customHeight="1">
      <c r="A3413" s="7">
        <v>3410</v>
      </c>
      <c r="B3413" s="7" t="str">
        <f>"38662022042611492839422"</f>
        <v>38662022042611492839422</v>
      </c>
      <c r="C3413" s="7" t="s">
        <v>46</v>
      </c>
      <c r="D3413" s="7" t="str">
        <f>"任丽颖"</f>
        <v>任丽颖</v>
      </c>
      <c r="E3413" s="7" t="str">
        <f aca="true" t="shared" si="175" ref="E3413:E3415">"女"</f>
        <v>女</v>
      </c>
    </row>
    <row r="3414" spans="1:5" ht="30" customHeight="1">
      <c r="A3414" s="7">
        <v>3411</v>
      </c>
      <c r="B3414" s="7" t="str">
        <f>"38662022042611595139432"</f>
        <v>38662022042611595139432</v>
      </c>
      <c r="C3414" s="7" t="s">
        <v>46</v>
      </c>
      <c r="D3414" s="7" t="str">
        <f>"林飞转"</f>
        <v>林飞转</v>
      </c>
      <c r="E3414" s="7" t="str">
        <f t="shared" si="175"/>
        <v>女</v>
      </c>
    </row>
    <row r="3415" spans="1:5" ht="30" customHeight="1">
      <c r="A3415" s="7">
        <v>3412</v>
      </c>
      <c r="B3415" s="7" t="str">
        <f>"38662022042612300639474"</f>
        <v>38662022042612300639474</v>
      </c>
      <c r="C3415" s="7" t="s">
        <v>46</v>
      </c>
      <c r="D3415" s="7" t="str">
        <f>"王春香"</f>
        <v>王春香</v>
      </c>
      <c r="E3415" s="7" t="str">
        <f t="shared" si="175"/>
        <v>女</v>
      </c>
    </row>
    <row r="3416" spans="1:5" ht="30" customHeight="1">
      <c r="A3416" s="7">
        <v>3413</v>
      </c>
      <c r="B3416" s="7" t="str">
        <f>"38662022042613004639514"</f>
        <v>38662022042613004639514</v>
      </c>
      <c r="C3416" s="7" t="s">
        <v>46</v>
      </c>
      <c r="D3416" s="7" t="str">
        <f>"李智明"</f>
        <v>李智明</v>
      </c>
      <c r="E3416" s="7" t="str">
        <f>"男"</f>
        <v>男</v>
      </c>
    </row>
    <row r="3417" spans="1:5" ht="30" customHeight="1">
      <c r="A3417" s="7">
        <v>3414</v>
      </c>
      <c r="B3417" s="7" t="str">
        <f>"38662022042617221739911"</f>
        <v>38662022042617221739911</v>
      </c>
      <c r="C3417" s="7" t="s">
        <v>46</v>
      </c>
      <c r="D3417" s="7" t="str">
        <f>"曾曼群"</f>
        <v>曾曼群</v>
      </c>
      <c r="E3417" s="7" t="str">
        <f aca="true" t="shared" si="176" ref="E3417:E3421">"女"</f>
        <v>女</v>
      </c>
    </row>
    <row r="3418" spans="1:5" ht="30" customHeight="1">
      <c r="A3418" s="7">
        <v>3415</v>
      </c>
      <c r="B3418" s="7" t="str">
        <f>"38662022042617553239944"</f>
        <v>38662022042617553239944</v>
      </c>
      <c r="C3418" s="7" t="s">
        <v>46</v>
      </c>
      <c r="D3418" s="7" t="str">
        <f>"黄慧环"</f>
        <v>黄慧环</v>
      </c>
      <c r="E3418" s="7" t="str">
        <f t="shared" si="176"/>
        <v>女</v>
      </c>
    </row>
    <row r="3419" spans="1:5" ht="30" customHeight="1">
      <c r="A3419" s="7">
        <v>3416</v>
      </c>
      <c r="B3419" s="7" t="str">
        <f>"38662022042621322940254"</f>
        <v>38662022042621322940254</v>
      </c>
      <c r="C3419" s="7" t="s">
        <v>46</v>
      </c>
      <c r="D3419" s="7" t="str">
        <f>"杨夏蕊"</f>
        <v>杨夏蕊</v>
      </c>
      <c r="E3419" s="7" t="str">
        <f t="shared" si="176"/>
        <v>女</v>
      </c>
    </row>
    <row r="3420" spans="1:5" ht="30" customHeight="1">
      <c r="A3420" s="7">
        <v>3417</v>
      </c>
      <c r="B3420" s="7" t="str">
        <f>"38662022042622151740315"</f>
        <v>38662022042622151740315</v>
      </c>
      <c r="C3420" s="7" t="s">
        <v>46</v>
      </c>
      <c r="D3420" s="7" t="str">
        <f>"吴淑柳"</f>
        <v>吴淑柳</v>
      </c>
      <c r="E3420" s="7" t="str">
        <f t="shared" si="176"/>
        <v>女</v>
      </c>
    </row>
    <row r="3421" spans="1:5" ht="30" customHeight="1">
      <c r="A3421" s="7">
        <v>3418</v>
      </c>
      <c r="B3421" s="7" t="str">
        <f>"38662022042622555540386"</f>
        <v>38662022042622555540386</v>
      </c>
      <c r="C3421" s="7" t="s">
        <v>46</v>
      </c>
      <c r="D3421" s="7" t="str">
        <f>"周学逢"</f>
        <v>周学逢</v>
      </c>
      <c r="E3421" s="7" t="str">
        <f t="shared" si="176"/>
        <v>女</v>
      </c>
    </row>
    <row r="3422" spans="1:5" ht="30" customHeight="1">
      <c r="A3422" s="7">
        <v>3419</v>
      </c>
      <c r="B3422" s="7" t="str">
        <f>"38662022042709042540713"</f>
        <v>38662022042709042540713</v>
      </c>
      <c r="C3422" s="7" t="s">
        <v>46</v>
      </c>
      <c r="D3422" s="7" t="str">
        <f>"罗富强"</f>
        <v>罗富强</v>
      </c>
      <c r="E3422" s="7" t="str">
        <f>"男"</f>
        <v>男</v>
      </c>
    </row>
    <row r="3423" spans="1:5" ht="30" customHeight="1">
      <c r="A3423" s="7">
        <v>3420</v>
      </c>
      <c r="B3423" s="7" t="str">
        <f>"38662022042709363441160"</f>
        <v>38662022042709363441160</v>
      </c>
      <c r="C3423" s="7" t="s">
        <v>46</v>
      </c>
      <c r="D3423" s="7" t="str">
        <f>"林子皓"</f>
        <v>林子皓</v>
      </c>
      <c r="E3423" s="7" t="str">
        <f>"男"</f>
        <v>男</v>
      </c>
    </row>
    <row r="3424" spans="1:5" ht="30" customHeight="1">
      <c r="A3424" s="7">
        <v>3421</v>
      </c>
      <c r="B3424" s="7" t="str">
        <f>"38662022042710152841605"</f>
        <v>38662022042710152841605</v>
      </c>
      <c r="C3424" s="7" t="s">
        <v>46</v>
      </c>
      <c r="D3424" s="7" t="str">
        <f>"韩玉娟"</f>
        <v>韩玉娟</v>
      </c>
      <c r="E3424" s="7" t="str">
        <f>"女"</f>
        <v>女</v>
      </c>
    </row>
  </sheetData>
  <sheetProtection password="FB3A" sheet="1" object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秋粟香</cp:lastModifiedBy>
  <dcterms:created xsi:type="dcterms:W3CDTF">2022-04-29T08:32:06Z</dcterms:created>
  <dcterms:modified xsi:type="dcterms:W3CDTF">2022-05-05T10:01:54Z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CDC7C3BB4A314B438F76322F7B3B6DE2</vt:lpwstr>
  </property>
  <property fmtid="{D5CDD505-2E9C-101B-9397-08002B2CF9AE}" pid="4" name="KSOProductBuildV">
    <vt:lpwstr>2052-11.1.0.11636</vt:lpwstr>
  </property>
</Properties>
</file>