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通过报名资格审核考生名单" sheetId="1" r:id="rId1"/>
  </sheets>
  <definedNames/>
  <calcPr fullCalcOnLoad="1"/>
</workbook>
</file>

<file path=xl/sharedStrings.xml><?xml version="1.0" encoding="utf-8"?>
<sst xmlns="http://schemas.openxmlformats.org/spreadsheetml/2006/main" count="2974" uniqueCount="25">
  <si>
    <t>附件：</t>
  </si>
  <si>
    <t>白沙县2022年公开招聘事业单位工作人员通过报名
资格审查考生名单</t>
  </si>
  <si>
    <t>序号</t>
  </si>
  <si>
    <t>报考号</t>
  </si>
  <si>
    <t>报考岗位</t>
  </si>
  <si>
    <t>姓名</t>
  </si>
  <si>
    <t>性别</t>
  </si>
  <si>
    <t>0101_管理岗1</t>
  </si>
  <si>
    <t>0102_管理岗2</t>
  </si>
  <si>
    <t>0103_管理岗3</t>
  </si>
  <si>
    <t>0201_管理岗</t>
  </si>
  <si>
    <t>0301_管理岗1</t>
  </si>
  <si>
    <t>0302_管理岗2</t>
  </si>
  <si>
    <t>0401_管理岗1</t>
  </si>
  <si>
    <t>0402_管理岗2</t>
  </si>
  <si>
    <t>0403_管理岗3</t>
  </si>
  <si>
    <t>0404_管理岗4</t>
  </si>
  <si>
    <t>0405_管理岗5</t>
  </si>
  <si>
    <t>0501_专技岗1</t>
  </si>
  <si>
    <t>0502_专技岗2</t>
  </si>
  <si>
    <t>0601_管理岗</t>
  </si>
  <si>
    <t>0701_管理岗</t>
  </si>
  <si>
    <t>0702_专技岗1</t>
  </si>
  <si>
    <t>0703_专技岗2</t>
  </si>
  <si>
    <t>0704_专技岗3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</si>
</sst>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0" xfId="0" applyFont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70"/>
  <sheetViews>
    <sheetView tabSelected="1" view="pageBreakPreview" zoomScale="110" zoomScaleSheetLayoutView="110" workbookViewId="0" topLeftCell="A1">
      <selection activeCell="G5" sqref="G5"/>
    </sheetView>
  </sheetViews>
  <sheetFormatPr defaultColWidth="9.00390625" defaultRowHeight="15"/>
  <cols>
    <col min="1" max="1" width="9.00390625" style="2" customWidth="1"/>
    <col min="2" max="2" width="27.00390625" style="2" customWidth="1"/>
    <col min="3" max="3" width="15.28125" style="2" customWidth="1"/>
    <col min="4" max="16384" width="9.00390625" style="2" customWidth="1"/>
  </cols>
  <sheetData>
    <row r="1" spans="1:5" ht="19.5" customHeight="1">
      <c r="A1" s="3" t="s">
        <v>0</v>
      </c>
      <c r="B1" s="3"/>
      <c r="C1" s="3"/>
      <c r="D1" s="3"/>
      <c r="E1" s="3"/>
    </row>
    <row r="2" spans="1:5" ht="60.75" customHeight="1">
      <c r="A2" s="4" t="s">
        <v>1</v>
      </c>
      <c r="B2" s="5"/>
      <c r="C2" s="5"/>
      <c r="D2" s="5"/>
      <c r="E2" s="5"/>
    </row>
    <row r="3" spans="1:7" s="1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G3" s="7"/>
    </row>
    <row r="4" spans="1:5" ht="30" customHeight="1">
      <c r="A4" s="8">
        <v>1</v>
      </c>
      <c r="B4" s="8" t="str">
        <f>"38492022042109043724941"</f>
        <v>38492022042109043724941</v>
      </c>
      <c r="C4" s="8" t="s">
        <v>7</v>
      </c>
      <c r="D4" s="8" t="str">
        <f>"万琼"</f>
        <v>万琼</v>
      </c>
      <c r="E4" s="8" t="str">
        <f aca="true" t="shared" si="0" ref="E4:E10">"女"</f>
        <v>女</v>
      </c>
    </row>
    <row r="5" spans="1:5" ht="30" customHeight="1">
      <c r="A5" s="8">
        <v>2</v>
      </c>
      <c r="B5" s="8" t="str">
        <f>"38492022042109093024999"</f>
        <v>38492022042109093024999</v>
      </c>
      <c r="C5" s="8" t="s">
        <v>7</v>
      </c>
      <c r="D5" s="8" t="str">
        <f>"廖莲芬"</f>
        <v>廖莲芬</v>
      </c>
      <c r="E5" s="8" t="str">
        <f t="shared" si="0"/>
        <v>女</v>
      </c>
    </row>
    <row r="6" spans="1:5" ht="30" customHeight="1">
      <c r="A6" s="8">
        <v>3</v>
      </c>
      <c r="B6" s="8" t="str">
        <f>"38492022042109222125151"</f>
        <v>38492022042109222125151</v>
      </c>
      <c r="C6" s="8" t="s">
        <v>7</v>
      </c>
      <c r="D6" s="8" t="str">
        <f>"林正源"</f>
        <v>林正源</v>
      </c>
      <c r="E6" s="8" t="str">
        <f aca="true" t="shared" si="1" ref="E6:E8">"男"</f>
        <v>男</v>
      </c>
    </row>
    <row r="7" spans="1:5" ht="30" customHeight="1">
      <c r="A7" s="8">
        <v>4</v>
      </c>
      <c r="B7" s="8" t="str">
        <f>"38492022042109242525177"</f>
        <v>38492022042109242525177</v>
      </c>
      <c r="C7" s="8" t="s">
        <v>7</v>
      </c>
      <c r="D7" s="8" t="str">
        <f>"符丹青"</f>
        <v>符丹青</v>
      </c>
      <c r="E7" s="8" t="str">
        <f t="shared" si="1"/>
        <v>男</v>
      </c>
    </row>
    <row r="8" spans="1:5" ht="30" customHeight="1">
      <c r="A8" s="8">
        <v>5</v>
      </c>
      <c r="B8" s="8" t="str">
        <f>"38492022042109271725207"</f>
        <v>38492022042109271725207</v>
      </c>
      <c r="C8" s="8" t="s">
        <v>7</v>
      </c>
      <c r="D8" s="8" t="str">
        <f>"任国铭"</f>
        <v>任国铭</v>
      </c>
      <c r="E8" s="8" t="str">
        <f t="shared" si="1"/>
        <v>男</v>
      </c>
    </row>
    <row r="9" spans="1:5" ht="30" customHeight="1">
      <c r="A9" s="8">
        <v>6</v>
      </c>
      <c r="B9" s="8" t="str">
        <f>"38492022042109321725266"</f>
        <v>38492022042109321725266</v>
      </c>
      <c r="C9" s="8" t="s">
        <v>7</v>
      </c>
      <c r="D9" s="8" t="str">
        <f>"王宏妍"</f>
        <v>王宏妍</v>
      </c>
      <c r="E9" s="8" t="str">
        <f t="shared" si="0"/>
        <v>女</v>
      </c>
    </row>
    <row r="10" spans="1:5" ht="30" customHeight="1">
      <c r="A10" s="8">
        <v>7</v>
      </c>
      <c r="B10" s="8" t="str">
        <f>"38492022042109593325629"</f>
        <v>38492022042109593325629</v>
      </c>
      <c r="C10" s="8" t="s">
        <v>7</v>
      </c>
      <c r="D10" s="8" t="str">
        <f>"陈欢"</f>
        <v>陈欢</v>
      </c>
      <c r="E10" s="8" t="str">
        <f t="shared" si="0"/>
        <v>女</v>
      </c>
    </row>
    <row r="11" spans="1:5" ht="30" customHeight="1">
      <c r="A11" s="8">
        <v>8</v>
      </c>
      <c r="B11" s="8" t="str">
        <f>"38492022042110175925853"</f>
        <v>38492022042110175925853</v>
      </c>
      <c r="C11" s="8" t="s">
        <v>7</v>
      </c>
      <c r="D11" s="8" t="str">
        <f>"洪发"</f>
        <v>洪发</v>
      </c>
      <c r="E11" s="8" t="str">
        <f aca="true" t="shared" si="2" ref="E11:E14">"男"</f>
        <v>男</v>
      </c>
    </row>
    <row r="12" spans="1:5" ht="30" customHeight="1">
      <c r="A12" s="8">
        <v>9</v>
      </c>
      <c r="B12" s="8" t="str">
        <f>"38492022042110265425971"</f>
        <v>38492022042110265425971</v>
      </c>
      <c r="C12" s="8" t="s">
        <v>7</v>
      </c>
      <c r="D12" s="8" t="str">
        <f>"王和帅"</f>
        <v>王和帅</v>
      </c>
      <c r="E12" s="8" t="str">
        <f t="shared" si="2"/>
        <v>男</v>
      </c>
    </row>
    <row r="13" spans="1:5" ht="30" customHeight="1">
      <c r="A13" s="8">
        <v>10</v>
      </c>
      <c r="B13" s="8" t="str">
        <f>"38492022042110572126341"</f>
        <v>38492022042110572126341</v>
      </c>
      <c r="C13" s="8" t="s">
        <v>7</v>
      </c>
      <c r="D13" s="8" t="str">
        <f>"陆贵松"</f>
        <v>陆贵松</v>
      </c>
      <c r="E13" s="8" t="str">
        <f t="shared" si="2"/>
        <v>男</v>
      </c>
    </row>
    <row r="14" spans="1:5" ht="30" customHeight="1">
      <c r="A14" s="8">
        <v>11</v>
      </c>
      <c r="B14" s="8" t="str">
        <f>"38492022042111051826423"</f>
        <v>38492022042111051826423</v>
      </c>
      <c r="C14" s="8" t="s">
        <v>7</v>
      </c>
      <c r="D14" s="8" t="str">
        <f>"符铭航"</f>
        <v>符铭航</v>
      </c>
      <c r="E14" s="8" t="str">
        <f t="shared" si="2"/>
        <v>男</v>
      </c>
    </row>
    <row r="15" spans="1:5" ht="30" customHeight="1">
      <c r="A15" s="8">
        <v>12</v>
      </c>
      <c r="B15" s="8" t="str">
        <f>"38492022042112505427224"</f>
        <v>38492022042112505427224</v>
      </c>
      <c r="C15" s="8" t="s">
        <v>7</v>
      </c>
      <c r="D15" s="8" t="str">
        <f>"廖小燕"</f>
        <v>廖小燕</v>
      </c>
      <c r="E15" s="8" t="str">
        <f aca="true" t="shared" si="3" ref="E15:E20">"女"</f>
        <v>女</v>
      </c>
    </row>
    <row r="16" spans="1:5" ht="30" customHeight="1">
      <c r="A16" s="8">
        <v>13</v>
      </c>
      <c r="B16" s="8" t="str">
        <f>"38492022042114314427728"</f>
        <v>38492022042114314427728</v>
      </c>
      <c r="C16" s="8" t="s">
        <v>7</v>
      </c>
      <c r="D16" s="8" t="str">
        <f>"符晓桥"</f>
        <v>符晓桥</v>
      </c>
      <c r="E16" s="8" t="str">
        <f t="shared" si="3"/>
        <v>女</v>
      </c>
    </row>
    <row r="17" spans="1:5" ht="30" customHeight="1">
      <c r="A17" s="8">
        <v>14</v>
      </c>
      <c r="B17" s="8" t="str">
        <f>"38492022042115350328270"</f>
        <v>38492022042115350328270</v>
      </c>
      <c r="C17" s="8" t="s">
        <v>7</v>
      </c>
      <c r="D17" s="8" t="str">
        <f>"符成元"</f>
        <v>符成元</v>
      </c>
      <c r="E17" s="8" t="str">
        <f aca="true" t="shared" si="4" ref="E17:E25">"男"</f>
        <v>男</v>
      </c>
    </row>
    <row r="18" spans="1:5" ht="30" customHeight="1">
      <c r="A18" s="8">
        <v>15</v>
      </c>
      <c r="B18" s="8" t="str">
        <f>"38492022042116175228572"</f>
        <v>38492022042116175228572</v>
      </c>
      <c r="C18" s="8" t="s">
        <v>7</v>
      </c>
      <c r="D18" s="8" t="str">
        <f>"何镇杰"</f>
        <v>何镇杰</v>
      </c>
      <c r="E18" s="8" t="str">
        <f t="shared" si="4"/>
        <v>男</v>
      </c>
    </row>
    <row r="19" spans="1:5" ht="30" customHeight="1">
      <c r="A19" s="8">
        <v>16</v>
      </c>
      <c r="B19" s="8" t="str">
        <f>"38492022042116200728595"</f>
        <v>38492022042116200728595</v>
      </c>
      <c r="C19" s="8" t="s">
        <v>7</v>
      </c>
      <c r="D19" s="8" t="str">
        <f>"羊茵茵"</f>
        <v>羊茵茵</v>
      </c>
      <c r="E19" s="8" t="str">
        <f t="shared" si="3"/>
        <v>女</v>
      </c>
    </row>
    <row r="20" spans="1:5" ht="30" customHeight="1">
      <c r="A20" s="8">
        <v>17</v>
      </c>
      <c r="B20" s="8" t="str">
        <f>"38492022042116425228745"</f>
        <v>38492022042116425228745</v>
      </c>
      <c r="C20" s="8" t="s">
        <v>7</v>
      </c>
      <c r="D20" s="8" t="str">
        <f>"罗才婕"</f>
        <v>罗才婕</v>
      </c>
      <c r="E20" s="8" t="str">
        <f t="shared" si="3"/>
        <v>女</v>
      </c>
    </row>
    <row r="21" spans="1:5" ht="30" customHeight="1">
      <c r="A21" s="8">
        <v>18</v>
      </c>
      <c r="B21" s="8" t="str">
        <f>"38492022042117121628936"</f>
        <v>38492022042117121628936</v>
      </c>
      <c r="C21" s="8" t="s">
        <v>7</v>
      </c>
      <c r="D21" s="8" t="str">
        <f>"王远志"</f>
        <v>王远志</v>
      </c>
      <c r="E21" s="8" t="str">
        <f t="shared" si="4"/>
        <v>男</v>
      </c>
    </row>
    <row r="22" spans="1:5" ht="30" customHeight="1">
      <c r="A22" s="8">
        <v>19</v>
      </c>
      <c r="B22" s="8" t="str">
        <f>"38492022042117143628958"</f>
        <v>38492022042117143628958</v>
      </c>
      <c r="C22" s="8" t="s">
        <v>7</v>
      </c>
      <c r="D22" s="8" t="str">
        <f>"韦财"</f>
        <v>韦财</v>
      </c>
      <c r="E22" s="8" t="str">
        <f t="shared" si="4"/>
        <v>男</v>
      </c>
    </row>
    <row r="23" spans="1:5" ht="30" customHeight="1">
      <c r="A23" s="8">
        <v>20</v>
      </c>
      <c r="B23" s="8" t="str">
        <f>"38492022042117220329001"</f>
        <v>38492022042117220329001</v>
      </c>
      <c r="C23" s="8" t="s">
        <v>7</v>
      </c>
      <c r="D23" s="8" t="str">
        <f>"王干"</f>
        <v>王干</v>
      </c>
      <c r="E23" s="8" t="str">
        <f t="shared" si="4"/>
        <v>男</v>
      </c>
    </row>
    <row r="24" spans="1:5" ht="30" customHeight="1">
      <c r="A24" s="8">
        <v>21</v>
      </c>
      <c r="B24" s="8" t="str">
        <f>"38492022042118305929323"</f>
        <v>38492022042118305929323</v>
      </c>
      <c r="C24" s="8" t="s">
        <v>7</v>
      </c>
      <c r="D24" s="8" t="str">
        <f>"邓佳"</f>
        <v>邓佳</v>
      </c>
      <c r="E24" s="8" t="str">
        <f t="shared" si="4"/>
        <v>男</v>
      </c>
    </row>
    <row r="25" spans="1:5" ht="30" customHeight="1">
      <c r="A25" s="8">
        <v>22</v>
      </c>
      <c r="B25" s="8" t="str">
        <f>"38492022042118314529327"</f>
        <v>38492022042118314529327</v>
      </c>
      <c r="C25" s="8" t="s">
        <v>7</v>
      </c>
      <c r="D25" s="8" t="str">
        <f>"王君岁"</f>
        <v>王君岁</v>
      </c>
      <c r="E25" s="8" t="str">
        <f t="shared" si="4"/>
        <v>男</v>
      </c>
    </row>
    <row r="26" spans="1:5" ht="30" customHeight="1">
      <c r="A26" s="8">
        <v>23</v>
      </c>
      <c r="B26" s="8" t="str">
        <f>"38492022042118551729424"</f>
        <v>38492022042118551729424</v>
      </c>
      <c r="C26" s="8" t="s">
        <v>7</v>
      </c>
      <c r="D26" s="8" t="str">
        <f>"符江琦"</f>
        <v>符江琦</v>
      </c>
      <c r="E26" s="8" t="str">
        <f>"女"</f>
        <v>女</v>
      </c>
    </row>
    <row r="27" spans="1:5" ht="30" customHeight="1">
      <c r="A27" s="8">
        <v>24</v>
      </c>
      <c r="B27" s="8" t="str">
        <f>"38492022042118594529445"</f>
        <v>38492022042118594529445</v>
      </c>
      <c r="C27" s="8" t="s">
        <v>7</v>
      </c>
      <c r="D27" s="8" t="str">
        <f>"曾敏"</f>
        <v>曾敏</v>
      </c>
      <c r="E27" s="8" t="str">
        <f aca="true" t="shared" si="5" ref="E27:E35">"男"</f>
        <v>男</v>
      </c>
    </row>
    <row r="28" spans="1:5" ht="30" customHeight="1">
      <c r="A28" s="8">
        <v>25</v>
      </c>
      <c r="B28" s="8" t="str">
        <f>"38492022042119191129534"</f>
        <v>38492022042119191129534</v>
      </c>
      <c r="C28" s="8" t="s">
        <v>7</v>
      </c>
      <c r="D28" s="8" t="str">
        <f>"符欢"</f>
        <v>符欢</v>
      </c>
      <c r="E28" s="8" t="str">
        <f t="shared" si="5"/>
        <v>男</v>
      </c>
    </row>
    <row r="29" spans="1:5" ht="30" customHeight="1">
      <c r="A29" s="8">
        <v>26</v>
      </c>
      <c r="B29" s="8" t="str">
        <f>"38492022042120002829710"</f>
        <v>38492022042120002829710</v>
      </c>
      <c r="C29" s="8" t="s">
        <v>7</v>
      </c>
      <c r="D29" s="8" t="str">
        <f>"王园园"</f>
        <v>王园园</v>
      </c>
      <c r="E29" s="8" t="str">
        <f>"女"</f>
        <v>女</v>
      </c>
    </row>
    <row r="30" spans="1:5" ht="30" customHeight="1">
      <c r="A30" s="8">
        <v>27</v>
      </c>
      <c r="B30" s="8" t="str">
        <f>"38492022042120181129801"</f>
        <v>38492022042120181129801</v>
      </c>
      <c r="C30" s="8" t="s">
        <v>7</v>
      </c>
      <c r="D30" s="8" t="str">
        <f>"何家璐"</f>
        <v>何家璐</v>
      </c>
      <c r="E30" s="8" t="str">
        <f t="shared" si="5"/>
        <v>男</v>
      </c>
    </row>
    <row r="31" spans="1:5" ht="30" customHeight="1">
      <c r="A31" s="8">
        <v>28</v>
      </c>
      <c r="B31" s="8" t="str">
        <f>"38492022042120572830014"</f>
        <v>38492022042120572830014</v>
      </c>
      <c r="C31" s="8" t="s">
        <v>7</v>
      </c>
      <c r="D31" s="8" t="str">
        <f>"林师贤"</f>
        <v>林师贤</v>
      </c>
      <c r="E31" s="8" t="str">
        <f t="shared" si="5"/>
        <v>男</v>
      </c>
    </row>
    <row r="32" spans="1:5" ht="30" customHeight="1">
      <c r="A32" s="8">
        <v>29</v>
      </c>
      <c r="B32" s="8" t="str">
        <f>"38492022042121013730042"</f>
        <v>38492022042121013730042</v>
      </c>
      <c r="C32" s="8" t="s">
        <v>7</v>
      </c>
      <c r="D32" s="8" t="str">
        <f>"符永宇"</f>
        <v>符永宇</v>
      </c>
      <c r="E32" s="8" t="str">
        <f t="shared" si="5"/>
        <v>男</v>
      </c>
    </row>
    <row r="33" spans="1:5" ht="30" customHeight="1">
      <c r="A33" s="8">
        <v>30</v>
      </c>
      <c r="B33" s="8" t="str">
        <f>"38492022042121033430058"</f>
        <v>38492022042121033430058</v>
      </c>
      <c r="C33" s="8" t="s">
        <v>7</v>
      </c>
      <c r="D33" s="8" t="str">
        <f>"陈运将"</f>
        <v>陈运将</v>
      </c>
      <c r="E33" s="8" t="str">
        <f t="shared" si="5"/>
        <v>男</v>
      </c>
    </row>
    <row r="34" spans="1:5" ht="30" customHeight="1">
      <c r="A34" s="8">
        <v>31</v>
      </c>
      <c r="B34" s="8" t="str">
        <f>"38492022042121221730161"</f>
        <v>38492022042121221730161</v>
      </c>
      <c r="C34" s="8" t="s">
        <v>7</v>
      </c>
      <c r="D34" s="8" t="str">
        <f>"李明政"</f>
        <v>李明政</v>
      </c>
      <c r="E34" s="8" t="str">
        <f t="shared" si="5"/>
        <v>男</v>
      </c>
    </row>
    <row r="35" spans="1:5" ht="30" customHeight="1">
      <c r="A35" s="8">
        <v>32</v>
      </c>
      <c r="B35" s="8" t="str">
        <f>"38492022042121480830290"</f>
        <v>38492022042121480830290</v>
      </c>
      <c r="C35" s="8" t="s">
        <v>7</v>
      </c>
      <c r="D35" s="8" t="str">
        <f>"符惠权"</f>
        <v>符惠权</v>
      </c>
      <c r="E35" s="8" t="str">
        <f t="shared" si="5"/>
        <v>男</v>
      </c>
    </row>
    <row r="36" spans="1:5" ht="30" customHeight="1">
      <c r="A36" s="8">
        <v>33</v>
      </c>
      <c r="B36" s="8" t="str">
        <f>"38492022042122043930385"</f>
        <v>38492022042122043930385</v>
      </c>
      <c r="C36" s="8" t="s">
        <v>7</v>
      </c>
      <c r="D36" s="8" t="str">
        <f>"王琪"</f>
        <v>王琪</v>
      </c>
      <c r="E36" s="8" t="str">
        <f aca="true" t="shared" si="6" ref="E36:E41">"女"</f>
        <v>女</v>
      </c>
    </row>
    <row r="37" spans="1:5" ht="30" customHeight="1">
      <c r="A37" s="8">
        <v>34</v>
      </c>
      <c r="B37" s="8" t="str">
        <f>"38492022042200233730833"</f>
        <v>38492022042200233730833</v>
      </c>
      <c r="C37" s="8" t="s">
        <v>7</v>
      </c>
      <c r="D37" s="8" t="str">
        <f>"王岳崇"</f>
        <v>王岳崇</v>
      </c>
      <c r="E37" s="8" t="str">
        <f aca="true" t="shared" si="7" ref="E37:E39">"男"</f>
        <v>男</v>
      </c>
    </row>
    <row r="38" spans="1:5" ht="30" customHeight="1">
      <c r="A38" s="8">
        <v>35</v>
      </c>
      <c r="B38" s="8" t="str">
        <f>"38492022042208200130976"</f>
        <v>38492022042208200130976</v>
      </c>
      <c r="C38" s="8" t="s">
        <v>7</v>
      </c>
      <c r="D38" s="8" t="str">
        <f>"郑鹏"</f>
        <v>郑鹏</v>
      </c>
      <c r="E38" s="8" t="str">
        <f t="shared" si="7"/>
        <v>男</v>
      </c>
    </row>
    <row r="39" spans="1:5" ht="30" customHeight="1">
      <c r="A39" s="8">
        <v>36</v>
      </c>
      <c r="B39" s="8" t="str">
        <f>"38492022042208280930993"</f>
        <v>38492022042208280930993</v>
      </c>
      <c r="C39" s="8" t="s">
        <v>7</v>
      </c>
      <c r="D39" s="8" t="str">
        <f>"王秀云"</f>
        <v>王秀云</v>
      </c>
      <c r="E39" s="8" t="str">
        <f t="shared" si="7"/>
        <v>男</v>
      </c>
    </row>
    <row r="40" spans="1:5" ht="30" customHeight="1">
      <c r="A40" s="8">
        <v>37</v>
      </c>
      <c r="B40" s="8" t="str">
        <f>"38492022042209033531140"</f>
        <v>38492022042209033531140</v>
      </c>
      <c r="C40" s="8" t="s">
        <v>7</v>
      </c>
      <c r="D40" s="8" t="str">
        <f>"王育"</f>
        <v>王育</v>
      </c>
      <c r="E40" s="8" t="str">
        <f t="shared" si="6"/>
        <v>女</v>
      </c>
    </row>
    <row r="41" spans="1:5" ht="30" customHeight="1">
      <c r="A41" s="8">
        <v>38</v>
      </c>
      <c r="B41" s="8" t="str">
        <f>"38492022042209494531378"</f>
        <v>38492022042209494531378</v>
      </c>
      <c r="C41" s="8" t="s">
        <v>7</v>
      </c>
      <c r="D41" s="8" t="str">
        <f>"陆珊"</f>
        <v>陆珊</v>
      </c>
      <c r="E41" s="8" t="str">
        <f t="shared" si="6"/>
        <v>女</v>
      </c>
    </row>
    <row r="42" spans="1:5" ht="30" customHeight="1">
      <c r="A42" s="8">
        <v>39</v>
      </c>
      <c r="B42" s="8" t="str">
        <f>"38492022042209501831382"</f>
        <v>38492022042209501831382</v>
      </c>
      <c r="C42" s="8" t="s">
        <v>7</v>
      </c>
      <c r="D42" s="8" t="str">
        <f>"符宏达"</f>
        <v>符宏达</v>
      </c>
      <c r="E42" s="8" t="str">
        <f aca="true" t="shared" si="8" ref="E42:E47">"男"</f>
        <v>男</v>
      </c>
    </row>
    <row r="43" spans="1:5" ht="30" customHeight="1">
      <c r="A43" s="8">
        <v>40</v>
      </c>
      <c r="B43" s="8" t="str">
        <f>"38492022042210003631433"</f>
        <v>38492022042210003631433</v>
      </c>
      <c r="C43" s="8" t="s">
        <v>7</v>
      </c>
      <c r="D43" s="8" t="str">
        <f>"陆娟"</f>
        <v>陆娟</v>
      </c>
      <c r="E43" s="8" t="str">
        <f aca="true" t="shared" si="9" ref="E43:E46">"女"</f>
        <v>女</v>
      </c>
    </row>
    <row r="44" spans="1:5" ht="30" customHeight="1">
      <c r="A44" s="8">
        <v>41</v>
      </c>
      <c r="B44" s="8" t="str">
        <f>"38492022042212102232484"</f>
        <v>38492022042212102232484</v>
      </c>
      <c r="C44" s="8" t="s">
        <v>7</v>
      </c>
      <c r="D44" s="8" t="str">
        <f>"黄华鸣"</f>
        <v>黄华鸣</v>
      </c>
      <c r="E44" s="8" t="str">
        <f t="shared" si="8"/>
        <v>男</v>
      </c>
    </row>
    <row r="45" spans="1:5" ht="30" customHeight="1">
      <c r="A45" s="8">
        <v>42</v>
      </c>
      <c r="B45" s="8" t="str">
        <f>"38492022042214003632900"</f>
        <v>38492022042214003632900</v>
      </c>
      <c r="C45" s="8" t="s">
        <v>7</v>
      </c>
      <c r="D45" s="8" t="str">
        <f>"吴海英"</f>
        <v>吴海英</v>
      </c>
      <c r="E45" s="8" t="str">
        <f t="shared" si="9"/>
        <v>女</v>
      </c>
    </row>
    <row r="46" spans="1:5" ht="30" customHeight="1">
      <c r="A46" s="8">
        <v>43</v>
      </c>
      <c r="B46" s="8" t="str">
        <f>"38492022042215310133354"</f>
        <v>38492022042215310133354</v>
      </c>
      <c r="C46" s="8" t="s">
        <v>7</v>
      </c>
      <c r="D46" s="8" t="str">
        <f>"符秋烨"</f>
        <v>符秋烨</v>
      </c>
      <c r="E46" s="8" t="str">
        <f t="shared" si="9"/>
        <v>女</v>
      </c>
    </row>
    <row r="47" spans="1:5" ht="30" customHeight="1">
      <c r="A47" s="8">
        <v>44</v>
      </c>
      <c r="B47" s="8" t="str">
        <f>"38492022042217375134128"</f>
        <v>38492022042217375134128</v>
      </c>
      <c r="C47" s="8" t="s">
        <v>7</v>
      </c>
      <c r="D47" s="8" t="str">
        <f>"符晓达"</f>
        <v>符晓达</v>
      </c>
      <c r="E47" s="8" t="str">
        <f t="shared" si="8"/>
        <v>男</v>
      </c>
    </row>
    <row r="48" spans="1:5" ht="30" customHeight="1">
      <c r="A48" s="8">
        <v>45</v>
      </c>
      <c r="B48" s="8" t="str">
        <f>"38492022042218364634296"</f>
        <v>38492022042218364634296</v>
      </c>
      <c r="C48" s="8" t="s">
        <v>7</v>
      </c>
      <c r="D48" s="8" t="str">
        <f>"沈钰"</f>
        <v>沈钰</v>
      </c>
      <c r="E48" s="8" t="str">
        <f aca="true" t="shared" si="10" ref="E48:E54">"女"</f>
        <v>女</v>
      </c>
    </row>
    <row r="49" spans="1:5" ht="30" customHeight="1">
      <c r="A49" s="8">
        <v>46</v>
      </c>
      <c r="B49" s="8" t="str">
        <f>"38492022042218383234302"</f>
        <v>38492022042218383234302</v>
      </c>
      <c r="C49" s="8" t="s">
        <v>7</v>
      </c>
      <c r="D49" s="8" t="str">
        <f>"刘运斌"</f>
        <v>刘运斌</v>
      </c>
      <c r="E49" s="8" t="str">
        <f>"男"</f>
        <v>男</v>
      </c>
    </row>
    <row r="50" spans="1:5" ht="30" customHeight="1">
      <c r="A50" s="8">
        <v>47</v>
      </c>
      <c r="B50" s="8" t="str">
        <f>"38492022042219243734399"</f>
        <v>38492022042219243734399</v>
      </c>
      <c r="C50" s="8" t="s">
        <v>7</v>
      </c>
      <c r="D50" s="8" t="str">
        <f>"符小弟"</f>
        <v>符小弟</v>
      </c>
      <c r="E50" s="8" t="str">
        <f>"男"</f>
        <v>男</v>
      </c>
    </row>
    <row r="51" spans="1:5" ht="30" customHeight="1">
      <c r="A51" s="8">
        <v>48</v>
      </c>
      <c r="B51" s="8" t="str">
        <f>"38492022042223284034819"</f>
        <v>38492022042223284034819</v>
      </c>
      <c r="C51" s="8" t="s">
        <v>7</v>
      </c>
      <c r="D51" s="8" t="str">
        <f>"李玉岚"</f>
        <v>李玉岚</v>
      </c>
      <c r="E51" s="8" t="str">
        <f t="shared" si="10"/>
        <v>女</v>
      </c>
    </row>
    <row r="52" spans="1:5" ht="30" customHeight="1">
      <c r="A52" s="8">
        <v>49</v>
      </c>
      <c r="B52" s="8" t="str">
        <f>"38492022042312521035224"</f>
        <v>38492022042312521035224</v>
      </c>
      <c r="C52" s="8" t="s">
        <v>7</v>
      </c>
      <c r="D52" s="8" t="str">
        <f>"符丽莹"</f>
        <v>符丽莹</v>
      </c>
      <c r="E52" s="8" t="str">
        <f t="shared" si="10"/>
        <v>女</v>
      </c>
    </row>
    <row r="53" spans="1:5" ht="30" customHeight="1">
      <c r="A53" s="8">
        <v>50</v>
      </c>
      <c r="B53" s="8" t="str">
        <f>"38492022042314354335353"</f>
        <v>38492022042314354335353</v>
      </c>
      <c r="C53" s="8" t="s">
        <v>7</v>
      </c>
      <c r="D53" s="8" t="str">
        <f>"黄晓歆"</f>
        <v>黄晓歆</v>
      </c>
      <c r="E53" s="8" t="str">
        <f t="shared" si="10"/>
        <v>女</v>
      </c>
    </row>
    <row r="54" spans="1:5" ht="30" customHeight="1">
      <c r="A54" s="8">
        <v>51</v>
      </c>
      <c r="B54" s="8" t="str">
        <f>"38492022042315085335390"</f>
        <v>38492022042315085335390</v>
      </c>
      <c r="C54" s="8" t="s">
        <v>7</v>
      </c>
      <c r="D54" s="8" t="str">
        <f>"何凡"</f>
        <v>何凡</v>
      </c>
      <c r="E54" s="8" t="str">
        <f t="shared" si="10"/>
        <v>女</v>
      </c>
    </row>
    <row r="55" spans="1:5" ht="30" customHeight="1">
      <c r="A55" s="8">
        <v>52</v>
      </c>
      <c r="B55" s="8" t="str">
        <f>"38492022042316032235486"</f>
        <v>38492022042316032235486</v>
      </c>
      <c r="C55" s="8" t="s">
        <v>7</v>
      </c>
      <c r="D55" s="8" t="str">
        <f>"高瑞"</f>
        <v>高瑞</v>
      </c>
      <c r="E55" s="8" t="str">
        <f aca="true" t="shared" si="11" ref="E55:E58">"男"</f>
        <v>男</v>
      </c>
    </row>
    <row r="56" spans="1:5" ht="30" customHeight="1">
      <c r="A56" s="8">
        <v>53</v>
      </c>
      <c r="B56" s="8" t="str">
        <f>"38492022042317360835605"</f>
        <v>38492022042317360835605</v>
      </c>
      <c r="C56" s="8" t="s">
        <v>7</v>
      </c>
      <c r="D56" s="8" t="str">
        <f>"王康威"</f>
        <v>王康威</v>
      </c>
      <c r="E56" s="8" t="str">
        <f t="shared" si="11"/>
        <v>男</v>
      </c>
    </row>
    <row r="57" spans="1:5" ht="30" customHeight="1">
      <c r="A57" s="8">
        <v>54</v>
      </c>
      <c r="B57" s="8" t="str">
        <f>"38492022042322262035980"</f>
        <v>38492022042322262035980</v>
      </c>
      <c r="C57" s="8" t="s">
        <v>7</v>
      </c>
      <c r="D57" s="8" t="str">
        <f>"王梅"</f>
        <v>王梅</v>
      </c>
      <c r="E57" s="8" t="str">
        <f aca="true" t="shared" si="12" ref="E57:E60">"女"</f>
        <v>女</v>
      </c>
    </row>
    <row r="58" spans="1:5" ht="30" customHeight="1">
      <c r="A58" s="8">
        <v>55</v>
      </c>
      <c r="B58" s="8" t="str">
        <f>"38492022042323111236067"</f>
        <v>38492022042323111236067</v>
      </c>
      <c r="C58" s="8" t="s">
        <v>7</v>
      </c>
      <c r="D58" s="8" t="str">
        <f>"冯志鹏"</f>
        <v>冯志鹏</v>
      </c>
      <c r="E58" s="8" t="str">
        <f t="shared" si="11"/>
        <v>男</v>
      </c>
    </row>
    <row r="59" spans="1:5" ht="30" customHeight="1">
      <c r="A59" s="8">
        <v>56</v>
      </c>
      <c r="B59" s="8" t="str">
        <f>"38492022042412542836692"</f>
        <v>38492022042412542836692</v>
      </c>
      <c r="C59" s="8" t="s">
        <v>7</v>
      </c>
      <c r="D59" s="8" t="str">
        <f>"张慧清"</f>
        <v>张慧清</v>
      </c>
      <c r="E59" s="8" t="str">
        <f t="shared" si="12"/>
        <v>女</v>
      </c>
    </row>
    <row r="60" spans="1:5" ht="30" customHeight="1">
      <c r="A60" s="8">
        <v>57</v>
      </c>
      <c r="B60" s="8" t="str">
        <f>"38492022042414394936817"</f>
        <v>38492022042414394936817</v>
      </c>
      <c r="C60" s="8" t="s">
        <v>7</v>
      </c>
      <c r="D60" s="8" t="str">
        <f>"符珊"</f>
        <v>符珊</v>
      </c>
      <c r="E60" s="8" t="str">
        <f t="shared" si="12"/>
        <v>女</v>
      </c>
    </row>
    <row r="61" spans="1:5" ht="30" customHeight="1">
      <c r="A61" s="8">
        <v>58</v>
      </c>
      <c r="B61" s="8" t="str">
        <f>"38492022042414412636819"</f>
        <v>38492022042414412636819</v>
      </c>
      <c r="C61" s="8" t="s">
        <v>7</v>
      </c>
      <c r="D61" s="8" t="str">
        <f>"陈实"</f>
        <v>陈实</v>
      </c>
      <c r="E61" s="8" t="str">
        <f aca="true" t="shared" si="13" ref="E61:E65">"男"</f>
        <v>男</v>
      </c>
    </row>
    <row r="62" spans="1:5" ht="30" customHeight="1">
      <c r="A62" s="8">
        <v>59</v>
      </c>
      <c r="B62" s="8" t="str">
        <f>"38492022042415074236868"</f>
        <v>38492022042415074236868</v>
      </c>
      <c r="C62" s="8" t="s">
        <v>7</v>
      </c>
      <c r="D62" s="8" t="str">
        <f>"林师乐"</f>
        <v>林师乐</v>
      </c>
      <c r="E62" s="8" t="str">
        <f t="shared" si="13"/>
        <v>男</v>
      </c>
    </row>
    <row r="63" spans="1:5" ht="30" customHeight="1">
      <c r="A63" s="8">
        <v>60</v>
      </c>
      <c r="B63" s="8" t="str">
        <f>"38492022042417275837181"</f>
        <v>38492022042417275837181</v>
      </c>
      <c r="C63" s="8" t="s">
        <v>7</v>
      </c>
      <c r="D63" s="8" t="str">
        <f>"俞侹侹"</f>
        <v>俞侹侹</v>
      </c>
      <c r="E63" s="8" t="str">
        <f aca="true" t="shared" si="14" ref="E63:E68">"女"</f>
        <v>女</v>
      </c>
    </row>
    <row r="64" spans="1:5" ht="30" customHeight="1">
      <c r="A64" s="8">
        <v>61</v>
      </c>
      <c r="B64" s="8" t="str">
        <f>"38492022042506302537790"</f>
        <v>38492022042506302537790</v>
      </c>
      <c r="C64" s="8" t="s">
        <v>7</v>
      </c>
      <c r="D64" s="8" t="str">
        <f>"符宝艺"</f>
        <v>符宝艺</v>
      </c>
      <c r="E64" s="8" t="str">
        <f t="shared" si="13"/>
        <v>男</v>
      </c>
    </row>
    <row r="65" spans="1:5" ht="30" customHeight="1">
      <c r="A65" s="8">
        <v>62</v>
      </c>
      <c r="B65" s="8" t="str">
        <f>"38492022042512320738178"</f>
        <v>38492022042512320738178</v>
      </c>
      <c r="C65" s="8" t="s">
        <v>7</v>
      </c>
      <c r="D65" s="8" t="str">
        <f>"林荣海"</f>
        <v>林荣海</v>
      </c>
      <c r="E65" s="8" t="str">
        <f t="shared" si="13"/>
        <v>男</v>
      </c>
    </row>
    <row r="66" spans="1:5" ht="30" customHeight="1">
      <c r="A66" s="8">
        <v>63</v>
      </c>
      <c r="B66" s="8" t="str">
        <f>"38492022042514313338284"</f>
        <v>38492022042514313338284</v>
      </c>
      <c r="C66" s="8" t="s">
        <v>7</v>
      </c>
      <c r="D66" s="8" t="str">
        <f>"蔡欣彤"</f>
        <v>蔡欣彤</v>
      </c>
      <c r="E66" s="8" t="str">
        <f t="shared" si="14"/>
        <v>女</v>
      </c>
    </row>
    <row r="67" spans="1:5" ht="30" customHeight="1">
      <c r="A67" s="8">
        <v>64</v>
      </c>
      <c r="B67" s="8" t="str">
        <f>"38492022042517204738569"</f>
        <v>38492022042517204738569</v>
      </c>
      <c r="C67" s="8" t="s">
        <v>7</v>
      </c>
      <c r="D67" s="8" t="str">
        <f>"刘然"</f>
        <v>刘然</v>
      </c>
      <c r="E67" s="8" t="str">
        <f t="shared" si="14"/>
        <v>女</v>
      </c>
    </row>
    <row r="68" spans="1:5" ht="30" customHeight="1">
      <c r="A68" s="8">
        <v>65</v>
      </c>
      <c r="B68" s="8" t="str">
        <f>"38492022042517440138597"</f>
        <v>38492022042517440138597</v>
      </c>
      <c r="C68" s="8" t="s">
        <v>7</v>
      </c>
      <c r="D68" s="8" t="str">
        <f>"罗晶晶"</f>
        <v>罗晶晶</v>
      </c>
      <c r="E68" s="8" t="str">
        <f t="shared" si="14"/>
        <v>女</v>
      </c>
    </row>
    <row r="69" spans="1:5" ht="30" customHeight="1">
      <c r="A69" s="8">
        <v>66</v>
      </c>
      <c r="B69" s="8" t="str">
        <f>"38492022042518092938621"</f>
        <v>38492022042518092938621</v>
      </c>
      <c r="C69" s="8" t="s">
        <v>7</v>
      </c>
      <c r="D69" s="8" t="str">
        <f>"王贵威"</f>
        <v>王贵威</v>
      </c>
      <c r="E69" s="8" t="str">
        <f aca="true" t="shared" si="15" ref="E69:E74">"男"</f>
        <v>男</v>
      </c>
    </row>
    <row r="70" spans="1:5" ht="30" customHeight="1">
      <c r="A70" s="8">
        <v>67</v>
      </c>
      <c r="B70" s="8" t="str">
        <f>"38492022042520003938741"</f>
        <v>38492022042520003938741</v>
      </c>
      <c r="C70" s="8" t="s">
        <v>7</v>
      </c>
      <c r="D70" s="8" t="str">
        <f>"刘佩群"</f>
        <v>刘佩群</v>
      </c>
      <c r="E70" s="8" t="str">
        <f aca="true" t="shared" si="16" ref="E70:E77">"女"</f>
        <v>女</v>
      </c>
    </row>
    <row r="71" spans="1:5" ht="30" customHeight="1">
      <c r="A71" s="8">
        <v>68</v>
      </c>
      <c r="B71" s="8" t="str">
        <f>"38492022042520222438772"</f>
        <v>38492022042520222438772</v>
      </c>
      <c r="C71" s="8" t="s">
        <v>7</v>
      </c>
      <c r="D71" s="8" t="str">
        <f>"周川琦"</f>
        <v>周川琦</v>
      </c>
      <c r="E71" s="8" t="str">
        <f t="shared" si="16"/>
        <v>女</v>
      </c>
    </row>
    <row r="72" spans="1:5" ht="30" customHeight="1">
      <c r="A72" s="8">
        <v>69</v>
      </c>
      <c r="B72" s="8" t="str">
        <f>"38492022042520323938782"</f>
        <v>38492022042520323938782</v>
      </c>
      <c r="C72" s="8" t="s">
        <v>7</v>
      </c>
      <c r="D72" s="8" t="str">
        <f>"陈灼"</f>
        <v>陈灼</v>
      </c>
      <c r="E72" s="8" t="str">
        <f t="shared" si="15"/>
        <v>男</v>
      </c>
    </row>
    <row r="73" spans="1:5" ht="30" customHeight="1">
      <c r="A73" s="8">
        <v>70</v>
      </c>
      <c r="B73" s="8" t="str">
        <f>"38492022042523460039040"</f>
        <v>38492022042523460039040</v>
      </c>
      <c r="C73" s="8" t="s">
        <v>7</v>
      </c>
      <c r="D73" s="8" t="str">
        <f>"蓝云飞"</f>
        <v>蓝云飞</v>
      </c>
      <c r="E73" s="8" t="str">
        <f t="shared" si="15"/>
        <v>男</v>
      </c>
    </row>
    <row r="74" spans="1:5" ht="30" customHeight="1">
      <c r="A74" s="8">
        <v>71</v>
      </c>
      <c r="B74" s="8" t="str">
        <f>"38492022042609572639254"</f>
        <v>38492022042609572639254</v>
      </c>
      <c r="C74" s="8" t="s">
        <v>7</v>
      </c>
      <c r="D74" s="8" t="str">
        <f>"叶运飞"</f>
        <v>叶运飞</v>
      </c>
      <c r="E74" s="8" t="str">
        <f t="shared" si="15"/>
        <v>男</v>
      </c>
    </row>
    <row r="75" spans="1:5" ht="30" customHeight="1">
      <c r="A75" s="8">
        <v>72</v>
      </c>
      <c r="B75" s="8" t="str">
        <f>"38492022042615380039713"</f>
        <v>38492022042615380039713</v>
      </c>
      <c r="C75" s="8" t="s">
        <v>7</v>
      </c>
      <c r="D75" s="8" t="str">
        <f>"王惠琪"</f>
        <v>王惠琪</v>
      </c>
      <c r="E75" s="8" t="str">
        <f t="shared" si="16"/>
        <v>女</v>
      </c>
    </row>
    <row r="76" spans="1:5" ht="30" customHeight="1">
      <c r="A76" s="8">
        <v>73</v>
      </c>
      <c r="B76" s="8" t="str">
        <f>"38492022042615392439716"</f>
        <v>38492022042615392439716</v>
      </c>
      <c r="C76" s="8" t="s">
        <v>7</v>
      </c>
      <c r="D76" s="8" t="str">
        <f>"蓝秋媛"</f>
        <v>蓝秋媛</v>
      </c>
      <c r="E76" s="8" t="str">
        <f t="shared" si="16"/>
        <v>女</v>
      </c>
    </row>
    <row r="77" spans="1:5" ht="30" customHeight="1">
      <c r="A77" s="8">
        <v>74</v>
      </c>
      <c r="B77" s="8" t="str">
        <f>"38492022042622004340295"</f>
        <v>38492022042622004340295</v>
      </c>
      <c r="C77" s="8" t="s">
        <v>7</v>
      </c>
      <c r="D77" s="8" t="str">
        <f>"符君"</f>
        <v>符君</v>
      </c>
      <c r="E77" s="8" t="str">
        <f t="shared" si="16"/>
        <v>女</v>
      </c>
    </row>
    <row r="78" spans="1:5" ht="30" customHeight="1">
      <c r="A78" s="8">
        <v>75</v>
      </c>
      <c r="B78" s="8" t="str">
        <f>"38492022042710422741910"</f>
        <v>38492022042710422741910</v>
      </c>
      <c r="C78" s="8" t="s">
        <v>7</v>
      </c>
      <c r="D78" s="8" t="str">
        <f>"张辽源 "</f>
        <v>张辽源 </v>
      </c>
      <c r="E78" s="8" t="str">
        <f aca="true" t="shared" si="17" ref="E78:E80">"男"</f>
        <v>男</v>
      </c>
    </row>
    <row r="79" spans="1:5" ht="30" customHeight="1">
      <c r="A79" s="8">
        <v>76</v>
      </c>
      <c r="B79" s="8" t="str">
        <f>"38492022042711002042086"</f>
        <v>38492022042711002042086</v>
      </c>
      <c r="C79" s="8" t="s">
        <v>7</v>
      </c>
      <c r="D79" s="8" t="str">
        <f>"符家祥"</f>
        <v>符家祥</v>
      </c>
      <c r="E79" s="8" t="str">
        <f t="shared" si="17"/>
        <v>男</v>
      </c>
    </row>
    <row r="80" spans="1:5" ht="30" customHeight="1">
      <c r="A80" s="8">
        <v>77</v>
      </c>
      <c r="B80" s="8" t="str">
        <f>"38492022042712125542618"</f>
        <v>38492022042712125542618</v>
      </c>
      <c r="C80" s="8" t="s">
        <v>7</v>
      </c>
      <c r="D80" s="8" t="str">
        <f>"符靖"</f>
        <v>符靖</v>
      </c>
      <c r="E80" s="8" t="str">
        <f t="shared" si="17"/>
        <v>男</v>
      </c>
    </row>
    <row r="81" spans="1:5" ht="30" customHeight="1">
      <c r="A81" s="8">
        <v>78</v>
      </c>
      <c r="B81" s="8" t="str">
        <f>"38492022042715300543838"</f>
        <v>38492022042715300543838</v>
      </c>
      <c r="C81" s="8" t="s">
        <v>7</v>
      </c>
      <c r="D81" s="8" t="str">
        <f>"梁恩雪"</f>
        <v>梁恩雪</v>
      </c>
      <c r="E81" s="8" t="str">
        <f aca="true" t="shared" si="18" ref="E81:E85">"女"</f>
        <v>女</v>
      </c>
    </row>
    <row r="82" spans="1:5" ht="30" customHeight="1">
      <c r="A82" s="8">
        <v>79</v>
      </c>
      <c r="B82" s="8" t="str">
        <f>"38492022042109052224953"</f>
        <v>38492022042109052224953</v>
      </c>
      <c r="C82" s="8" t="s">
        <v>8</v>
      </c>
      <c r="D82" s="8" t="str">
        <f>"曾莹颖"</f>
        <v>曾莹颖</v>
      </c>
      <c r="E82" s="8" t="str">
        <f t="shared" si="18"/>
        <v>女</v>
      </c>
    </row>
    <row r="83" spans="1:5" ht="30" customHeight="1">
      <c r="A83" s="8">
        <v>80</v>
      </c>
      <c r="B83" s="8" t="str">
        <f>"38492022042109055924957"</f>
        <v>38492022042109055924957</v>
      </c>
      <c r="C83" s="8" t="s">
        <v>8</v>
      </c>
      <c r="D83" s="8" t="str">
        <f>"王海锋"</f>
        <v>王海锋</v>
      </c>
      <c r="E83" s="8" t="str">
        <f>"男"</f>
        <v>男</v>
      </c>
    </row>
    <row r="84" spans="1:5" ht="30" customHeight="1">
      <c r="A84" s="8">
        <v>81</v>
      </c>
      <c r="B84" s="8" t="str">
        <f>"38492022042109221125146"</f>
        <v>38492022042109221125146</v>
      </c>
      <c r="C84" s="8" t="s">
        <v>8</v>
      </c>
      <c r="D84" s="8" t="str">
        <f>"符雪柔"</f>
        <v>符雪柔</v>
      </c>
      <c r="E84" s="8" t="str">
        <f t="shared" si="18"/>
        <v>女</v>
      </c>
    </row>
    <row r="85" spans="1:5" ht="30" customHeight="1">
      <c r="A85" s="8">
        <v>82</v>
      </c>
      <c r="B85" s="8" t="str">
        <f>"38492022042109324525274"</f>
        <v>38492022042109324525274</v>
      </c>
      <c r="C85" s="8" t="s">
        <v>8</v>
      </c>
      <c r="D85" s="8" t="str">
        <f>"罗玉"</f>
        <v>罗玉</v>
      </c>
      <c r="E85" s="8" t="str">
        <f t="shared" si="18"/>
        <v>女</v>
      </c>
    </row>
    <row r="86" spans="1:5" ht="30" customHeight="1">
      <c r="A86" s="8">
        <v>83</v>
      </c>
      <c r="B86" s="8" t="str">
        <f>"38492022042109543925554"</f>
        <v>38492022042109543925554</v>
      </c>
      <c r="C86" s="8" t="s">
        <v>8</v>
      </c>
      <c r="D86" s="8" t="str">
        <f>"张汉丰"</f>
        <v>张汉丰</v>
      </c>
      <c r="E86" s="8" t="str">
        <f>"男"</f>
        <v>男</v>
      </c>
    </row>
    <row r="87" spans="1:5" ht="30" customHeight="1">
      <c r="A87" s="8">
        <v>84</v>
      </c>
      <c r="B87" s="8" t="str">
        <f>"38492022042110104625765"</f>
        <v>38492022042110104625765</v>
      </c>
      <c r="C87" s="8" t="s">
        <v>8</v>
      </c>
      <c r="D87" s="8" t="str">
        <f>"周诗琪"</f>
        <v>周诗琪</v>
      </c>
      <c r="E87" s="8" t="str">
        <f aca="true" t="shared" si="19" ref="E87:E93">"女"</f>
        <v>女</v>
      </c>
    </row>
    <row r="88" spans="1:5" ht="30" customHeight="1">
      <c r="A88" s="8">
        <v>85</v>
      </c>
      <c r="B88" s="8" t="str">
        <f>"38492022042112220427032"</f>
        <v>38492022042112220427032</v>
      </c>
      <c r="C88" s="8" t="s">
        <v>8</v>
      </c>
      <c r="D88" s="8" t="str">
        <f>"羊晓颖"</f>
        <v>羊晓颖</v>
      </c>
      <c r="E88" s="8" t="str">
        <f t="shared" si="19"/>
        <v>女</v>
      </c>
    </row>
    <row r="89" spans="1:5" ht="30" customHeight="1">
      <c r="A89" s="8">
        <v>86</v>
      </c>
      <c r="B89" s="8" t="str">
        <f>"38492022042114542827921"</f>
        <v>38492022042114542827921</v>
      </c>
      <c r="C89" s="8" t="s">
        <v>8</v>
      </c>
      <c r="D89" s="8" t="str">
        <f>"张勇"</f>
        <v>张勇</v>
      </c>
      <c r="E89" s="8" t="str">
        <f>"男"</f>
        <v>男</v>
      </c>
    </row>
    <row r="90" spans="1:5" ht="30" customHeight="1">
      <c r="A90" s="8">
        <v>87</v>
      </c>
      <c r="B90" s="8" t="str">
        <f>"38492022042115152028106"</f>
        <v>38492022042115152028106</v>
      </c>
      <c r="C90" s="8" t="s">
        <v>8</v>
      </c>
      <c r="D90" s="8" t="str">
        <f>"符美景"</f>
        <v>符美景</v>
      </c>
      <c r="E90" s="8" t="str">
        <f t="shared" si="19"/>
        <v>女</v>
      </c>
    </row>
    <row r="91" spans="1:5" ht="30" customHeight="1">
      <c r="A91" s="8">
        <v>88</v>
      </c>
      <c r="B91" s="8" t="str">
        <f>"38492022042117131628943"</f>
        <v>38492022042117131628943</v>
      </c>
      <c r="C91" s="8" t="s">
        <v>8</v>
      </c>
      <c r="D91" s="8" t="str">
        <f>"包秋艳"</f>
        <v>包秋艳</v>
      </c>
      <c r="E91" s="8" t="str">
        <f t="shared" si="19"/>
        <v>女</v>
      </c>
    </row>
    <row r="92" spans="1:5" ht="30" customHeight="1">
      <c r="A92" s="8">
        <v>89</v>
      </c>
      <c r="B92" s="8" t="str">
        <f>"38492022042119163129523"</f>
        <v>38492022042119163129523</v>
      </c>
      <c r="C92" s="8" t="s">
        <v>8</v>
      </c>
      <c r="D92" s="8" t="str">
        <f>"孙开英"</f>
        <v>孙开英</v>
      </c>
      <c r="E92" s="8" t="str">
        <f t="shared" si="19"/>
        <v>女</v>
      </c>
    </row>
    <row r="93" spans="1:5" ht="30" customHeight="1">
      <c r="A93" s="8">
        <v>90</v>
      </c>
      <c r="B93" s="8" t="str">
        <f>"38492022042119201529539"</f>
        <v>38492022042119201529539</v>
      </c>
      <c r="C93" s="8" t="s">
        <v>8</v>
      </c>
      <c r="D93" s="8" t="str">
        <f>"张青梅"</f>
        <v>张青梅</v>
      </c>
      <c r="E93" s="8" t="str">
        <f t="shared" si="19"/>
        <v>女</v>
      </c>
    </row>
    <row r="94" spans="1:5" ht="30" customHeight="1">
      <c r="A94" s="8">
        <v>91</v>
      </c>
      <c r="B94" s="8" t="str">
        <f>"38492022042119352829616"</f>
        <v>38492022042119352829616</v>
      </c>
      <c r="C94" s="8" t="s">
        <v>8</v>
      </c>
      <c r="D94" s="8" t="str">
        <f>"周恒"</f>
        <v>周恒</v>
      </c>
      <c r="E94" s="8" t="str">
        <f>"男"</f>
        <v>男</v>
      </c>
    </row>
    <row r="95" spans="1:5" ht="30" customHeight="1">
      <c r="A95" s="8">
        <v>92</v>
      </c>
      <c r="B95" s="8" t="str">
        <f>"38492022042121221930162"</f>
        <v>38492022042121221930162</v>
      </c>
      <c r="C95" s="8" t="s">
        <v>8</v>
      </c>
      <c r="D95" s="8" t="str">
        <f>"林冰花"</f>
        <v>林冰花</v>
      </c>
      <c r="E95" s="8" t="str">
        <f aca="true" t="shared" si="20" ref="E95:E102">"女"</f>
        <v>女</v>
      </c>
    </row>
    <row r="96" spans="1:5" ht="30" customHeight="1">
      <c r="A96" s="8">
        <v>93</v>
      </c>
      <c r="B96" s="8" t="str">
        <f>"38492022042209224131234"</f>
        <v>38492022042209224131234</v>
      </c>
      <c r="C96" s="8" t="s">
        <v>8</v>
      </c>
      <c r="D96" s="8" t="str">
        <f>"黎菊青"</f>
        <v>黎菊青</v>
      </c>
      <c r="E96" s="8" t="str">
        <f t="shared" si="20"/>
        <v>女</v>
      </c>
    </row>
    <row r="97" spans="1:5" ht="30" customHeight="1">
      <c r="A97" s="8">
        <v>94</v>
      </c>
      <c r="B97" s="8" t="str">
        <f>"38492022042210024931447"</f>
        <v>38492022042210024931447</v>
      </c>
      <c r="C97" s="8" t="s">
        <v>8</v>
      </c>
      <c r="D97" s="8" t="str">
        <f>"林硕"</f>
        <v>林硕</v>
      </c>
      <c r="E97" s="8" t="str">
        <f>"男"</f>
        <v>男</v>
      </c>
    </row>
    <row r="98" spans="1:5" ht="30" customHeight="1">
      <c r="A98" s="8">
        <v>95</v>
      </c>
      <c r="B98" s="8" t="str">
        <f>"38492022042211151831899"</f>
        <v>38492022042211151831899</v>
      </c>
      <c r="C98" s="8" t="s">
        <v>8</v>
      </c>
      <c r="D98" s="8" t="str">
        <f>"符曹婷"</f>
        <v>符曹婷</v>
      </c>
      <c r="E98" s="8" t="str">
        <f t="shared" si="20"/>
        <v>女</v>
      </c>
    </row>
    <row r="99" spans="1:5" ht="30" customHeight="1">
      <c r="A99" s="8">
        <v>96</v>
      </c>
      <c r="B99" s="8" t="str">
        <f>"38492022042212084532479"</f>
        <v>38492022042212084532479</v>
      </c>
      <c r="C99" s="8" t="s">
        <v>8</v>
      </c>
      <c r="D99" s="8" t="str">
        <f>"王静怡"</f>
        <v>王静怡</v>
      </c>
      <c r="E99" s="8" t="str">
        <f t="shared" si="20"/>
        <v>女</v>
      </c>
    </row>
    <row r="100" spans="1:5" ht="30" customHeight="1">
      <c r="A100" s="8">
        <v>97</v>
      </c>
      <c r="B100" s="8" t="str">
        <f>"38492022042212323132580"</f>
        <v>38492022042212323132580</v>
      </c>
      <c r="C100" s="8" t="s">
        <v>8</v>
      </c>
      <c r="D100" s="8" t="str">
        <f>"王学岚"</f>
        <v>王学岚</v>
      </c>
      <c r="E100" s="8" t="str">
        <f t="shared" si="20"/>
        <v>女</v>
      </c>
    </row>
    <row r="101" spans="1:5" ht="30" customHeight="1">
      <c r="A101" s="8">
        <v>98</v>
      </c>
      <c r="B101" s="8" t="str">
        <f>"38492022042217263234067"</f>
        <v>38492022042217263234067</v>
      </c>
      <c r="C101" s="8" t="s">
        <v>8</v>
      </c>
      <c r="D101" s="8" t="str">
        <f>"冯林"</f>
        <v>冯林</v>
      </c>
      <c r="E101" s="8" t="str">
        <f t="shared" si="20"/>
        <v>女</v>
      </c>
    </row>
    <row r="102" spans="1:5" ht="30" customHeight="1">
      <c r="A102" s="8">
        <v>99</v>
      </c>
      <c r="B102" s="8" t="str">
        <f>"38492022042218373334300"</f>
        <v>38492022042218373334300</v>
      </c>
      <c r="C102" s="8" t="s">
        <v>8</v>
      </c>
      <c r="D102" s="8" t="str">
        <f>"刘玉潇"</f>
        <v>刘玉潇</v>
      </c>
      <c r="E102" s="8" t="str">
        <f t="shared" si="20"/>
        <v>女</v>
      </c>
    </row>
    <row r="103" spans="1:5" ht="30" customHeight="1">
      <c r="A103" s="8">
        <v>100</v>
      </c>
      <c r="B103" s="8" t="str">
        <f>"38492022042221552134687"</f>
        <v>38492022042221552134687</v>
      </c>
      <c r="C103" s="8" t="s">
        <v>8</v>
      </c>
      <c r="D103" s="8" t="str">
        <f>"姚国伟"</f>
        <v>姚国伟</v>
      </c>
      <c r="E103" s="8" t="str">
        <f>"男"</f>
        <v>男</v>
      </c>
    </row>
    <row r="104" spans="1:5" ht="30" customHeight="1">
      <c r="A104" s="8">
        <v>101</v>
      </c>
      <c r="B104" s="8" t="str">
        <f>"38492022042409113936263"</f>
        <v>38492022042409113936263</v>
      </c>
      <c r="C104" s="8" t="s">
        <v>8</v>
      </c>
      <c r="D104" s="8" t="str">
        <f>"周玲"</f>
        <v>周玲</v>
      </c>
      <c r="E104" s="8" t="str">
        <f aca="true" t="shared" si="21" ref="E104:E111">"女"</f>
        <v>女</v>
      </c>
    </row>
    <row r="105" spans="1:5" ht="30" customHeight="1">
      <c r="A105" s="8">
        <v>102</v>
      </c>
      <c r="B105" s="8" t="str">
        <f>"38492022042415095636873"</f>
        <v>38492022042415095636873</v>
      </c>
      <c r="C105" s="8" t="s">
        <v>8</v>
      </c>
      <c r="D105" s="8" t="str">
        <f>"罗娟"</f>
        <v>罗娟</v>
      </c>
      <c r="E105" s="8" t="str">
        <f t="shared" si="21"/>
        <v>女</v>
      </c>
    </row>
    <row r="106" spans="1:5" ht="30" customHeight="1">
      <c r="A106" s="8">
        <v>103</v>
      </c>
      <c r="B106" s="8" t="str">
        <f>"38492022042415354736925"</f>
        <v>38492022042415354736925</v>
      </c>
      <c r="C106" s="8" t="s">
        <v>8</v>
      </c>
      <c r="D106" s="8" t="str">
        <f>"张雯雯"</f>
        <v>张雯雯</v>
      </c>
      <c r="E106" s="8" t="str">
        <f t="shared" si="21"/>
        <v>女</v>
      </c>
    </row>
    <row r="107" spans="1:5" ht="30" customHeight="1">
      <c r="A107" s="8">
        <v>104</v>
      </c>
      <c r="B107" s="8" t="str">
        <f>"38492022042415531636981"</f>
        <v>38492022042415531636981</v>
      </c>
      <c r="C107" s="8" t="s">
        <v>8</v>
      </c>
      <c r="D107" s="8" t="str">
        <f>"王珠"</f>
        <v>王珠</v>
      </c>
      <c r="E107" s="8" t="str">
        <f t="shared" si="21"/>
        <v>女</v>
      </c>
    </row>
    <row r="108" spans="1:5" ht="30" customHeight="1">
      <c r="A108" s="8">
        <v>105</v>
      </c>
      <c r="B108" s="8" t="str">
        <f>"38492022042510441238031"</f>
        <v>38492022042510441238031</v>
      </c>
      <c r="C108" s="8" t="s">
        <v>8</v>
      </c>
      <c r="D108" s="8" t="str">
        <f>"黄小槟"</f>
        <v>黄小槟</v>
      </c>
      <c r="E108" s="8" t="str">
        <f t="shared" si="21"/>
        <v>女</v>
      </c>
    </row>
    <row r="109" spans="1:5" ht="30" customHeight="1">
      <c r="A109" s="8">
        <v>106</v>
      </c>
      <c r="B109" s="8" t="str">
        <f>"38492022042511301738121"</f>
        <v>38492022042511301738121</v>
      </c>
      <c r="C109" s="8" t="s">
        <v>8</v>
      </c>
      <c r="D109" s="8" t="str">
        <f>"王丽"</f>
        <v>王丽</v>
      </c>
      <c r="E109" s="8" t="str">
        <f t="shared" si="21"/>
        <v>女</v>
      </c>
    </row>
    <row r="110" spans="1:5" ht="30" customHeight="1">
      <c r="A110" s="8">
        <v>107</v>
      </c>
      <c r="B110" s="8" t="str">
        <f>"38492022042512284938171"</f>
        <v>38492022042512284938171</v>
      </c>
      <c r="C110" s="8" t="s">
        <v>8</v>
      </c>
      <c r="D110" s="8" t="str">
        <f>"卢昭凤"</f>
        <v>卢昭凤</v>
      </c>
      <c r="E110" s="8" t="str">
        <f t="shared" si="21"/>
        <v>女</v>
      </c>
    </row>
    <row r="111" spans="1:5" ht="30" customHeight="1">
      <c r="A111" s="8">
        <v>108</v>
      </c>
      <c r="B111" s="8" t="str">
        <f>"38492022042517134738560"</f>
        <v>38492022042517134738560</v>
      </c>
      <c r="C111" s="8" t="s">
        <v>8</v>
      </c>
      <c r="D111" s="8" t="str">
        <f>"刘艳思"</f>
        <v>刘艳思</v>
      </c>
      <c r="E111" s="8" t="str">
        <f t="shared" si="21"/>
        <v>女</v>
      </c>
    </row>
    <row r="112" spans="1:5" ht="30" customHeight="1">
      <c r="A112" s="8">
        <v>109</v>
      </c>
      <c r="B112" s="8" t="str">
        <f>"38492022042605193539096"</f>
        <v>38492022042605193539096</v>
      </c>
      <c r="C112" s="8" t="s">
        <v>8</v>
      </c>
      <c r="D112" s="8" t="str">
        <f>"符世弘"</f>
        <v>符世弘</v>
      </c>
      <c r="E112" s="8" t="str">
        <f aca="true" t="shared" si="22" ref="E112:E115">"男"</f>
        <v>男</v>
      </c>
    </row>
    <row r="113" spans="1:5" ht="30" customHeight="1">
      <c r="A113" s="8">
        <v>110</v>
      </c>
      <c r="B113" s="8" t="str">
        <f>"38492022042612161239461"</f>
        <v>38492022042612161239461</v>
      </c>
      <c r="C113" s="8" t="s">
        <v>8</v>
      </c>
      <c r="D113" s="8" t="str">
        <f>"吴婧雅"</f>
        <v>吴婧雅</v>
      </c>
      <c r="E113" s="8" t="str">
        <f aca="true" t="shared" si="23" ref="E113:E117">"女"</f>
        <v>女</v>
      </c>
    </row>
    <row r="114" spans="1:5" ht="30" customHeight="1">
      <c r="A114" s="8">
        <v>111</v>
      </c>
      <c r="B114" s="8" t="str">
        <f>"38492022042618585940022"</f>
        <v>38492022042618585940022</v>
      </c>
      <c r="C114" s="8" t="s">
        <v>8</v>
      </c>
      <c r="D114" s="8" t="str">
        <f>"王涛"</f>
        <v>王涛</v>
      </c>
      <c r="E114" s="8" t="str">
        <f t="shared" si="22"/>
        <v>男</v>
      </c>
    </row>
    <row r="115" spans="1:5" ht="30" customHeight="1">
      <c r="A115" s="8">
        <v>112</v>
      </c>
      <c r="B115" s="8" t="str">
        <f>"38492022042619175440039"</f>
        <v>38492022042619175440039</v>
      </c>
      <c r="C115" s="8" t="s">
        <v>8</v>
      </c>
      <c r="D115" s="8" t="str">
        <f>"王和平"</f>
        <v>王和平</v>
      </c>
      <c r="E115" s="8" t="str">
        <f t="shared" si="22"/>
        <v>男</v>
      </c>
    </row>
    <row r="116" spans="1:5" ht="30" customHeight="1">
      <c r="A116" s="8">
        <v>113</v>
      </c>
      <c r="B116" s="8" t="str">
        <f>"38492022042710320841785"</f>
        <v>38492022042710320841785</v>
      </c>
      <c r="C116" s="8" t="s">
        <v>8</v>
      </c>
      <c r="D116" s="8" t="str">
        <f>"赖林欣"</f>
        <v>赖林欣</v>
      </c>
      <c r="E116" s="8" t="str">
        <f t="shared" si="23"/>
        <v>女</v>
      </c>
    </row>
    <row r="117" spans="1:5" ht="30" customHeight="1">
      <c r="A117" s="8">
        <v>114</v>
      </c>
      <c r="B117" s="8" t="str">
        <f>"38492022042711313142341"</f>
        <v>38492022042711313142341</v>
      </c>
      <c r="C117" s="8" t="s">
        <v>8</v>
      </c>
      <c r="D117" s="8" t="str">
        <f>"梁莉彩"</f>
        <v>梁莉彩</v>
      </c>
      <c r="E117" s="8" t="str">
        <f t="shared" si="23"/>
        <v>女</v>
      </c>
    </row>
    <row r="118" spans="1:5" ht="30" customHeight="1">
      <c r="A118" s="8">
        <v>115</v>
      </c>
      <c r="B118" s="8" t="str">
        <f>"38492022042714442243549"</f>
        <v>38492022042714442243549</v>
      </c>
      <c r="C118" s="8" t="s">
        <v>8</v>
      </c>
      <c r="D118" s="8" t="str">
        <f>"符传俊"</f>
        <v>符传俊</v>
      </c>
      <c r="E118" s="8" t="str">
        <f aca="true" t="shared" si="24" ref="E118:E123">"男"</f>
        <v>男</v>
      </c>
    </row>
    <row r="119" spans="1:5" ht="30" customHeight="1">
      <c r="A119" s="8">
        <v>116</v>
      </c>
      <c r="B119" s="8" t="str">
        <f>"38492022042109244125179"</f>
        <v>38492022042109244125179</v>
      </c>
      <c r="C119" s="8" t="s">
        <v>9</v>
      </c>
      <c r="D119" s="8" t="str">
        <f>"廖景华"</f>
        <v>廖景华</v>
      </c>
      <c r="E119" s="8" t="str">
        <f t="shared" si="24"/>
        <v>男</v>
      </c>
    </row>
    <row r="120" spans="1:5" ht="30" customHeight="1">
      <c r="A120" s="8">
        <v>117</v>
      </c>
      <c r="B120" s="8" t="str">
        <f>"38492022042109372925336"</f>
        <v>38492022042109372925336</v>
      </c>
      <c r="C120" s="8" t="s">
        <v>9</v>
      </c>
      <c r="D120" s="8" t="str">
        <f>"何才丁"</f>
        <v>何才丁</v>
      </c>
      <c r="E120" s="8" t="str">
        <f aca="true" t="shared" si="25" ref="E120:E122">"女"</f>
        <v>女</v>
      </c>
    </row>
    <row r="121" spans="1:5" ht="30" customHeight="1">
      <c r="A121" s="8">
        <v>118</v>
      </c>
      <c r="B121" s="8" t="str">
        <f>"38492022042110053025698"</f>
        <v>38492022042110053025698</v>
      </c>
      <c r="C121" s="8" t="s">
        <v>9</v>
      </c>
      <c r="D121" s="8" t="str">
        <f>"黎源秀"</f>
        <v>黎源秀</v>
      </c>
      <c r="E121" s="8" t="str">
        <f t="shared" si="25"/>
        <v>女</v>
      </c>
    </row>
    <row r="122" spans="1:5" ht="30" customHeight="1">
      <c r="A122" s="8">
        <v>119</v>
      </c>
      <c r="B122" s="8" t="str">
        <f>"38492022042110065025715"</f>
        <v>38492022042110065025715</v>
      </c>
      <c r="C122" s="8" t="s">
        <v>9</v>
      </c>
      <c r="D122" s="8" t="str">
        <f>"邱瑶"</f>
        <v>邱瑶</v>
      </c>
      <c r="E122" s="8" t="str">
        <f t="shared" si="25"/>
        <v>女</v>
      </c>
    </row>
    <row r="123" spans="1:5" ht="30" customHeight="1">
      <c r="A123" s="8">
        <v>120</v>
      </c>
      <c r="B123" s="8" t="str">
        <f>"38492022042110272725979"</f>
        <v>38492022042110272725979</v>
      </c>
      <c r="C123" s="8" t="s">
        <v>9</v>
      </c>
      <c r="D123" s="8" t="str">
        <f>"蔡小滨"</f>
        <v>蔡小滨</v>
      </c>
      <c r="E123" s="8" t="str">
        <f t="shared" si="24"/>
        <v>男</v>
      </c>
    </row>
    <row r="124" spans="1:5" ht="30" customHeight="1">
      <c r="A124" s="8">
        <v>121</v>
      </c>
      <c r="B124" s="8" t="str">
        <f>"38492022042110302926021"</f>
        <v>38492022042110302926021</v>
      </c>
      <c r="C124" s="8" t="s">
        <v>9</v>
      </c>
      <c r="D124" s="8" t="str">
        <f>"唐冬丽"</f>
        <v>唐冬丽</v>
      </c>
      <c r="E124" s="8" t="str">
        <f aca="true" t="shared" si="26" ref="E124:E126">"女"</f>
        <v>女</v>
      </c>
    </row>
    <row r="125" spans="1:5" ht="30" customHeight="1">
      <c r="A125" s="8">
        <v>122</v>
      </c>
      <c r="B125" s="8" t="str">
        <f>"38492022042110542226310"</f>
        <v>38492022042110542226310</v>
      </c>
      <c r="C125" s="8" t="s">
        <v>9</v>
      </c>
      <c r="D125" s="8" t="str">
        <f>"符月娇"</f>
        <v>符月娇</v>
      </c>
      <c r="E125" s="8" t="str">
        <f t="shared" si="26"/>
        <v>女</v>
      </c>
    </row>
    <row r="126" spans="1:5" ht="30" customHeight="1">
      <c r="A126" s="8">
        <v>123</v>
      </c>
      <c r="B126" s="8" t="str">
        <f>"38492022042111055626428"</f>
        <v>38492022042111055626428</v>
      </c>
      <c r="C126" s="8" t="s">
        <v>9</v>
      </c>
      <c r="D126" s="8" t="str">
        <f>"张智越"</f>
        <v>张智越</v>
      </c>
      <c r="E126" s="8" t="str">
        <f t="shared" si="26"/>
        <v>女</v>
      </c>
    </row>
    <row r="127" spans="1:5" ht="30" customHeight="1">
      <c r="A127" s="8">
        <v>124</v>
      </c>
      <c r="B127" s="8" t="str">
        <f>"38492022042111500026820"</f>
        <v>38492022042111500026820</v>
      </c>
      <c r="C127" s="8" t="s">
        <v>9</v>
      </c>
      <c r="D127" s="8" t="str">
        <f>"肖定优"</f>
        <v>肖定优</v>
      </c>
      <c r="E127" s="8" t="str">
        <f>"男"</f>
        <v>男</v>
      </c>
    </row>
    <row r="128" spans="1:5" ht="30" customHeight="1">
      <c r="A128" s="8">
        <v>125</v>
      </c>
      <c r="B128" s="8" t="str">
        <f>"38492022042111510626827"</f>
        <v>38492022042111510626827</v>
      </c>
      <c r="C128" s="8" t="s">
        <v>9</v>
      </c>
      <c r="D128" s="8" t="str">
        <f>"文昌婷"</f>
        <v>文昌婷</v>
      </c>
      <c r="E128" s="8" t="str">
        <f aca="true" t="shared" si="27" ref="E128:E139">"女"</f>
        <v>女</v>
      </c>
    </row>
    <row r="129" spans="1:5" ht="30" customHeight="1">
      <c r="A129" s="8">
        <v>126</v>
      </c>
      <c r="B129" s="8" t="str">
        <f>"38492022042112061526937"</f>
        <v>38492022042112061526937</v>
      </c>
      <c r="C129" s="8" t="s">
        <v>9</v>
      </c>
      <c r="D129" s="8" t="str">
        <f>"莫定望"</f>
        <v>莫定望</v>
      </c>
      <c r="E129" s="8" t="str">
        <f>"男"</f>
        <v>男</v>
      </c>
    </row>
    <row r="130" spans="1:5" ht="30" customHeight="1">
      <c r="A130" s="8">
        <v>127</v>
      </c>
      <c r="B130" s="8" t="str">
        <f>"38492022042112232927044"</f>
        <v>38492022042112232927044</v>
      </c>
      <c r="C130" s="8" t="s">
        <v>9</v>
      </c>
      <c r="D130" s="8" t="str">
        <f>"王春蕊"</f>
        <v>王春蕊</v>
      </c>
      <c r="E130" s="8" t="str">
        <f t="shared" si="27"/>
        <v>女</v>
      </c>
    </row>
    <row r="131" spans="1:5" ht="30" customHeight="1">
      <c r="A131" s="8">
        <v>128</v>
      </c>
      <c r="B131" s="8" t="str">
        <f>"38492022042114374927771"</f>
        <v>38492022042114374927771</v>
      </c>
      <c r="C131" s="8" t="s">
        <v>9</v>
      </c>
      <c r="D131" s="8" t="str">
        <f>"李尾莲"</f>
        <v>李尾莲</v>
      </c>
      <c r="E131" s="8" t="str">
        <f t="shared" si="27"/>
        <v>女</v>
      </c>
    </row>
    <row r="132" spans="1:5" ht="30" customHeight="1">
      <c r="A132" s="8">
        <v>129</v>
      </c>
      <c r="B132" s="8" t="str">
        <f>"38492022042114410927800"</f>
        <v>38492022042114410927800</v>
      </c>
      <c r="C132" s="8" t="s">
        <v>9</v>
      </c>
      <c r="D132" s="8" t="str">
        <f>"陈芳慧"</f>
        <v>陈芳慧</v>
      </c>
      <c r="E132" s="8" t="str">
        <f t="shared" si="27"/>
        <v>女</v>
      </c>
    </row>
    <row r="133" spans="1:5" ht="30" customHeight="1">
      <c r="A133" s="8">
        <v>130</v>
      </c>
      <c r="B133" s="8" t="str">
        <f>"38492022042115302528235"</f>
        <v>38492022042115302528235</v>
      </c>
      <c r="C133" s="8" t="s">
        <v>9</v>
      </c>
      <c r="D133" s="8" t="str">
        <f>"李海婷"</f>
        <v>李海婷</v>
      </c>
      <c r="E133" s="8" t="str">
        <f t="shared" si="27"/>
        <v>女</v>
      </c>
    </row>
    <row r="134" spans="1:5" ht="30" customHeight="1">
      <c r="A134" s="8">
        <v>131</v>
      </c>
      <c r="B134" s="8" t="str">
        <f>"38492022042115593528443"</f>
        <v>38492022042115593528443</v>
      </c>
      <c r="C134" s="8" t="s">
        <v>9</v>
      </c>
      <c r="D134" s="8" t="str">
        <f>"邓丽菊"</f>
        <v>邓丽菊</v>
      </c>
      <c r="E134" s="8" t="str">
        <f t="shared" si="27"/>
        <v>女</v>
      </c>
    </row>
    <row r="135" spans="1:5" ht="30" customHeight="1">
      <c r="A135" s="8">
        <v>132</v>
      </c>
      <c r="B135" s="8" t="str">
        <f>"38492022042116175528574"</f>
        <v>38492022042116175528574</v>
      </c>
      <c r="C135" s="8" t="s">
        <v>9</v>
      </c>
      <c r="D135" s="8" t="str">
        <f>"符琪"</f>
        <v>符琪</v>
      </c>
      <c r="E135" s="8" t="str">
        <f t="shared" si="27"/>
        <v>女</v>
      </c>
    </row>
    <row r="136" spans="1:5" ht="30" customHeight="1">
      <c r="A136" s="8">
        <v>133</v>
      </c>
      <c r="B136" s="8" t="str">
        <f>"38492022042116181328575"</f>
        <v>38492022042116181328575</v>
      </c>
      <c r="C136" s="8" t="s">
        <v>9</v>
      </c>
      <c r="D136" s="8" t="str">
        <f>"庄会娜"</f>
        <v>庄会娜</v>
      </c>
      <c r="E136" s="8" t="str">
        <f t="shared" si="27"/>
        <v>女</v>
      </c>
    </row>
    <row r="137" spans="1:5" ht="30" customHeight="1">
      <c r="A137" s="8">
        <v>134</v>
      </c>
      <c r="B137" s="8" t="str">
        <f>"38492022042116192728590"</f>
        <v>38492022042116192728590</v>
      </c>
      <c r="C137" s="8" t="s">
        <v>9</v>
      </c>
      <c r="D137" s="8" t="str">
        <f>"陈冬迪"</f>
        <v>陈冬迪</v>
      </c>
      <c r="E137" s="8" t="str">
        <f t="shared" si="27"/>
        <v>女</v>
      </c>
    </row>
    <row r="138" spans="1:5" ht="30" customHeight="1">
      <c r="A138" s="8">
        <v>135</v>
      </c>
      <c r="B138" s="8" t="str">
        <f>"38492022042116202328600"</f>
        <v>38492022042116202328600</v>
      </c>
      <c r="C138" s="8" t="s">
        <v>9</v>
      </c>
      <c r="D138" s="8" t="str">
        <f>"李乔"</f>
        <v>李乔</v>
      </c>
      <c r="E138" s="8" t="str">
        <f t="shared" si="27"/>
        <v>女</v>
      </c>
    </row>
    <row r="139" spans="1:5" ht="30" customHeight="1">
      <c r="A139" s="8">
        <v>136</v>
      </c>
      <c r="B139" s="8" t="str">
        <f>"38492022042117044128880"</f>
        <v>38492022042117044128880</v>
      </c>
      <c r="C139" s="8" t="s">
        <v>9</v>
      </c>
      <c r="D139" s="8" t="str">
        <f>"徐蓉"</f>
        <v>徐蓉</v>
      </c>
      <c r="E139" s="8" t="str">
        <f t="shared" si="27"/>
        <v>女</v>
      </c>
    </row>
    <row r="140" spans="1:5" ht="30" customHeight="1">
      <c r="A140" s="8">
        <v>137</v>
      </c>
      <c r="B140" s="8" t="str">
        <f>"38492022042117323929052"</f>
        <v>38492022042117323929052</v>
      </c>
      <c r="C140" s="8" t="s">
        <v>9</v>
      </c>
      <c r="D140" s="8" t="str">
        <f>"吴海军"</f>
        <v>吴海军</v>
      </c>
      <c r="E140" s="8" t="str">
        <f>"男"</f>
        <v>男</v>
      </c>
    </row>
    <row r="141" spans="1:5" ht="30" customHeight="1">
      <c r="A141" s="8">
        <v>138</v>
      </c>
      <c r="B141" s="8" t="str">
        <f>"38492022042117473229137"</f>
        <v>38492022042117473229137</v>
      </c>
      <c r="C141" s="8" t="s">
        <v>9</v>
      </c>
      <c r="D141" s="8" t="str">
        <f>"吴多馀"</f>
        <v>吴多馀</v>
      </c>
      <c r="E141" s="8" t="str">
        <f>"男"</f>
        <v>男</v>
      </c>
    </row>
    <row r="142" spans="1:5" ht="30" customHeight="1">
      <c r="A142" s="8">
        <v>139</v>
      </c>
      <c r="B142" s="8" t="str">
        <f>"38492022042119324729601"</f>
        <v>38492022042119324729601</v>
      </c>
      <c r="C142" s="8" t="s">
        <v>9</v>
      </c>
      <c r="D142" s="8" t="str">
        <f>"李梦涵"</f>
        <v>李梦涵</v>
      </c>
      <c r="E142" s="8" t="str">
        <f aca="true" t="shared" si="28" ref="E142:E147">"女"</f>
        <v>女</v>
      </c>
    </row>
    <row r="143" spans="1:5" ht="30" customHeight="1">
      <c r="A143" s="8">
        <v>140</v>
      </c>
      <c r="B143" s="8" t="str">
        <f>"38492022042120314029875"</f>
        <v>38492022042120314029875</v>
      </c>
      <c r="C143" s="8" t="s">
        <v>9</v>
      </c>
      <c r="D143" s="8" t="str">
        <f>"廖文华"</f>
        <v>廖文华</v>
      </c>
      <c r="E143" s="8" t="str">
        <f t="shared" si="28"/>
        <v>女</v>
      </c>
    </row>
    <row r="144" spans="1:5" ht="30" customHeight="1">
      <c r="A144" s="8">
        <v>141</v>
      </c>
      <c r="B144" s="8" t="str">
        <f>"38492022042121020330047"</f>
        <v>38492022042121020330047</v>
      </c>
      <c r="C144" s="8" t="s">
        <v>9</v>
      </c>
      <c r="D144" s="8" t="str">
        <f>"蔡海菊"</f>
        <v>蔡海菊</v>
      </c>
      <c r="E144" s="8" t="str">
        <f t="shared" si="28"/>
        <v>女</v>
      </c>
    </row>
    <row r="145" spans="1:5" ht="30" customHeight="1">
      <c r="A145" s="8">
        <v>142</v>
      </c>
      <c r="B145" s="8" t="str">
        <f>"38492022042121492130297"</f>
        <v>38492022042121492130297</v>
      </c>
      <c r="C145" s="8" t="s">
        <v>9</v>
      </c>
      <c r="D145" s="8" t="str">
        <f>"李桂兰"</f>
        <v>李桂兰</v>
      </c>
      <c r="E145" s="8" t="str">
        <f t="shared" si="28"/>
        <v>女</v>
      </c>
    </row>
    <row r="146" spans="1:5" ht="30" customHeight="1">
      <c r="A146" s="8">
        <v>143</v>
      </c>
      <c r="B146" s="8" t="str">
        <f>"38492022042122242030479"</f>
        <v>38492022042122242030479</v>
      </c>
      <c r="C146" s="8" t="s">
        <v>9</v>
      </c>
      <c r="D146" s="8" t="str">
        <f>"邢姗姗"</f>
        <v>邢姗姗</v>
      </c>
      <c r="E146" s="8" t="str">
        <f t="shared" si="28"/>
        <v>女</v>
      </c>
    </row>
    <row r="147" spans="1:5" ht="30" customHeight="1">
      <c r="A147" s="8">
        <v>144</v>
      </c>
      <c r="B147" s="8" t="str">
        <f>"38492022042123321130749"</f>
        <v>38492022042123321130749</v>
      </c>
      <c r="C147" s="8" t="s">
        <v>9</v>
      </c>
      <c r="D147" s="8" t="str">
        <f>"王文瑶"</f>
        <v>王文瑶</v>
      </c>
      <c r="E147" s="8" t="str">
        <f t="shared" si="28"/>
        <v>女</v>
      </c>
    </row>
    <row r="148" spans="1:5" ht="30" customHeight="1">
      <c r="A148" s="8">
        <v>145</v>
      </c>
      <c r="B148" s="8" t="str">
        <f>"38492022042123411030766"</f>
        <v>38492022042123411030766</v>
      </c>
      <c r="C148" s="8" t="s">
        <v>9</v>
      </c>
      <c r="D148" s="8" t="str">
        <f>"吉世果"</f>
        <v>吉世果</v>
      </c>
      <c r="E148" s="8" t="str">
        <f aca="true" t="shared" si="29" ref="E148:E152">"男"</f>
        <v>男</v>
      </c>
    </row>
    <row r="149" spans="1:5" ht="30" customHeight="1">
      <c r="A149" s="8">
        <v>146</v>
      </c>
      <c r="B149" s="8" t="str">
        <f>"38492022042208295431000"</f>
        <v>38492022042208295431000</v>
      </c>
      <c r="C149" s="8" t="s">
        <v>9</v>
      </c>
      <c r="D149" s="8" t="str">
        <f>"吴延娥"</f>
        <v>吴延娥</v>
      </c>
      <c r="E149" s="8" t="str">
        <f aca="true" t="shared" si="30" ref="E149:E160">"女"</f>
        <v>女</v>
      </c>
    </row>
    <row r="150" spans="1:5" ht="30" customHeight="1">
      <c r="A150" s="8">
        <v>147</v>
      </c>
      <c r="B150" s="8" t="str">
        <f>"38492022042209171031202"</f>
        <v>38492022042209171031202</v>
      </c>
      <c r="C150" s="8" t="s">
        <v>9</v>
      </c>
      <c r="D150" s="8" t="str">
        <f>"钟妮"</f>
        <v>钟妮</v>
      </c>
      <c r="E150" s="8" t="str">
        <f t="shared" si="30"/>
        <v>女</v>
      </c>
    </row>
    <row r="151" spans="1:5" ht="30" customHeight="1">
      <c r="A151" s="8">
        <v>148</v>
      </c>
      <c r="B151" s="8" t="str">
        <f>"38492022042209343931290"</f>
        <v>38492022042209343931290</v>
      </c>
      <c r="C151" s="8" t="s">
        <v>9</v>
      </c>
      <c r="D151" s="8" t="str">
        <f>"党翊翀"</f>
        <v>党翊翀</v>
      </c>
      <c r="E151" s="8" t="str">
        <f t="shared" si="29"/>
        <v>男</v>
      </c>
    </row>
    <row r="152" spans="1:5" ht="30" customHeight="1">
      <c r="A152" s="8">
        <v>149</v>
      </c>
      <c r="B152" s="8" t="str">
        <f>"38492022042209370431304"</f>
        <v>38492022042209370431304</v>
      </c>
      <c r="C152" s="8" t="s">
        <v>9</v>
      </c>
      <c r="D152" s="8" t="str">
        <f>"董群芳"</f>
        <v>董群芳</v>
      </c>
      <c r="E152" s="8" t="str">
        <f t="shared" si="29"/>
        <v>男</v>
      </c>
    </row>
    <row r="153" spans="1:5" ht="30" customHeight="1">
      <c r="A153" s="8">
        <v>150</v>
      </c>
      <c r="B153" s="8" t="str">
        <f>"38492022042210015331441"</f>
        <v>38492022042210015331441</v>
      </c>
      <c r="C153" s="8" t="s">
        <v>9</v>
      </c>
      <c r="D153" s="8" t="str">
        <f>"吴琼凤"</f>
        <v>吴琼凤</v>
      </c>
      <c r="E153" s="8" t="str">
        <f t="shared" si="30"/>
        <v>女</v>
      </c>
    </row>
    <row r="154" spans="1:5" ht="30" customHeight="1">
      <c r="A154" s="8">
        <v>151</v>
      </c>
      <c r="B154" s="8" t="str">
        <f>"38492022042210263831614"</f>
        <v>38492022042210263831614</v>
      </c>
      <c r="C154" s="8" t="s">
        <v>9</v>
      </c>
      <c r="D154" s="8" t="str">
        <f>"谢裕柳"</f>
        <v>谢裕柳</v>
      </c>
      <c r="E154" s="8" t="str">
        <f t="shared" si="30"/>
        <v>女</v>
      </c>
    </row>
    <row r="155" spans="1:5" ht="30" customHeight="1">
      <c r="A155" s="8">
        <v>152</v>
      </c>
      <c r="B155" s="8" t="str">
        <f>"38492022042211193832012"</f>
        <v>38492022042211193832012</v>
      </c>
      <c r="C155" s="8" t="s">
        <v>9</v>
      </c>
      <c r="D155" s="8" t="str">
        <f>"郭丽明"</f>
        <v>郭丽明</v>
      </c>
      <c r="E155" s="8" t="str">
        <f t="shared" si="30"/>
        <v>女</v>
      </c>
    </row>
    <row r="156" spans="1:5" ht="30" customHeight="1">
      <c r="A156" s="8">
        <v>153</v>
      </c>
      <c r="B156" s="8" t="str">
        <f>"38492022042213223332779"</f>
        <v>38492022042213223332779</v>
      </c>
      <c r="C156" s="8" t="s">
        <v>9</v>
      </c>
      <c r="D156" s="8" t="str">
        <f>"王内梅"</f>
        <v>王内梅</v>
      </c>
      <c r="E156" s="8" t="str">
        <f t="shared" si="30"/>
        <v>女</v>
      </c>
    </row>
    <row r="157" spans="1:5" ht="30" customHeight="1">
      <c r="A157" s="8">
        <v>154</v>
      </c>
      <c r="B157" s="8" t="str">
        <f>"38492022042214540833128"</f>
        <v>38492022042214540833128</v>
      </c>
      <c r="C157" s="8" t="s">
        <v>9</v>
      </c>
      <c r="D157" s="8" t="str">
        <f>"吉晓宇"</f>
        <v>吉晓宇</v>
      </c>
      <c r="E157" s="8" t="str">
        <f t="shared" si="30"/>
        <v>女</v>
      </c>
    </row>
    <row r="158" spans="1:5" ht="30" customHeight="1">
      <c r="A158" s="8">
        <v>155</v>
      </c>
      <c r="B158" s="8" t="str">
        <f>"38492022042215032933184"</f>
        <v>38492022042215032933184</v>
      </c>
      <c r="C158" s="8" t="s">
        <v>9</v>
      </c>
      <c r="D158" s="8" t="str">
        <f>"李妹"</f>
        <v>李妹</v>
      </c>
      <c r="E158" s="8" t="str">
        <f t="shared" si="30"/>
        <v>女</v>
      </c>
    </row>
    <row r="159" spans="1:5" ht="30" customHeight="1">
      <c r="A159" s="8">
        <v>156</v>
      </c>
      <c r="B159" s="8" t="str">
        <f>"38492022042215413833415"</f>
        <v>38492022042215413833415</v>
      </c>
      <c r="C159" s="8" t="s">
        <v>9</v>
      </c>
      <c r="D159" s="8" t="str">
        <f>"李雪颖"</f>
        <v>李雪颖</v>
      </c>
      <c r="E159" s="8" t="str">
        <f t="shared" si="30"/>
        <v>女</v>
      </c>
    </row>
    <row r="160" spans="1:5" ht="30" customHeight="1">
      <c r="A160" s="8">
        <v>157</v>
      </c>
      <c r="B160" s="8" t="str">
        <f>"38492022042215493633470"</f>
        <v>38492022042215493633470</v>
      </c>
      <c r="C160" s="8" t="s">
        <v>9</v>
      </c>
      <c r="D160" s="8" t="str">
        <f>"王太华"</f>
        <v>王太华</v>
      </c>
      <c r="E160" s="8" t="str">
        <f t="shared" si="30"/>
        <v>女</v>
      </c>
    </row>
    <row r="161" spans="1:5" ht="30" customHeight="1">
      <c r="A161" s="8">
        <v>158</v>
      </c>
      <c r="B161" s="8" t="str">
        <f>"38492022042215591233530"</f>
        <v>38492022042215591233530</v>
      </c>
      <c r="C161" s="8" t="s">
        <v>9</v>
      </c>
      <c r="D161" s="8" t="str">
        <f>"陈才多"</f>
        <v>陈才多</v>
      </c>
      <c r="E161" s="8" t="str">
        <f aca="true" t="shared" si="31" ref="E161:E164">"男"</f>
        <v>男</v>
      </c>
    </row>
    <row r="162" spans="1:5" ht="30" customHeight="1">
      <c r="A162" s="8">
        <v>159</v>
      </c>
      <c r="B162" s="8" t="str">
        <f>"38492022042216182733654"</f>
        <v>38492022042216182733654</v>
      </c>
      <c r="C162" s="8" t="s">
        <v>9</v>
      </c>
      <c r="D162" s="8" t="str">
        <f>"曾乙秦"</f>
        <v>曾乙秦</v>
      </c>
      <c r="E162" s="8" t="str">
        <f t="shared" si="31"/>
        <v>男</v>
      </c>
    </row>
    <row r="163" spans="1:5" ht="30" customHeight="1">
      <c r="A163" s="8">
        <v>160</v>
      </c>
      <c r="B163" s="8" t="str">
        <f>"38492022042218201834262"</f>
        <v>38492022042218201834262</v>
      </c>
      <c r="C163" s="8" t="s">
        <v>9</v>
      </c>
      <c r="D163" s="8" t="str">
        <f>"吴莲花"</f>
        <v>吴莲花</v>
      </c>
      <c r="E163" s="8" t="str">
        <f aca="true" t="shared" si="32" ref="E163:E166">"女"</f>
        <v>女</v>
      </c>
    </row>
    <row r="164" spans="1:5" ht="30" customHeight="1">
      <c r="A164" s="8">
        <v>161</v>
      </c>
      <c r="B164" s="8" t="str">
        <f>"38492022042218291834283"</f>
        <v>38492022042218291834283</v>
      </c>
      <c r="C164" s="8" t="s">
        <v>9</v>
      </c>
      <c r="D164" s="8" t="str">
        <f>"李壮夫"</f>
        <v>李壮夫</v>
      </c>
      <c r="E164" s="8" t="str">
        <f t="shared" si="31"/>
        <v>男</v>
      </c>
    </row>
    <row r="165" spans="1:5" ht="30" customHeight="1">
      <c r="A165" s="8">
        <v>162</v>
      </c>
      <c r="B165" s="8" t="str">
        <f>"38492022042219334934421"</f>
        <v>38492022042219334934421</v>
      </c>
      <c r="C165" s="8" t="s">
        <v>9</v>
      </c>
      <c r="D165" s="8" t="str">
        <f>"符鸾丽"</f>
        <v>符鸾丽</v>
      </c>
      <c r="E165" s="8" t="str">
        <f t="shared" si="32"/>
        <v>女</v>
      </c>
    </row>
    <row r="166" spans="1:5" ht="30" customHeight="1">
      <c r="A166" s="8">
        <v>163</v>
      </c>
      <c r="B166" s="8" t="str">
        <f>"38492022042219420234436"</f>
        <v>38492022042219420234436</v>
      </c>
      <c r="C166" s="8" t="s">
        <v>9</v>
      </c>
      <c r="D166" s="8" t="str">
        <f>"罗娟"</f>
        <v>罗娟</v>
      </c>
      <c r="E166" s="8" t="str">
        <f t="shared" si="32"/>
        <v>女</v>
      </c>
    </row>
    <row r="167" spans="1:5" ht="30" customHeight="1">
      <c r="A167" s="8">
        <v>164</v>
      </c>
      <c r="B167" s="8" t="str">
        <f>"38492022042220374034533"</f>
        <v>38492022042220374034533</v>
      </c>
      <c r="C167" s="8" t="s">
        <v>9</v>
      </c>
      <c r="D167" s="8" t="str">
        <f>"钟沛霖"</f>
        <v>钟沛霖</v>
      </c>
      <c r="E167" s="8" t="str">
        <f aca="true" t="shared" si="33" ref="E167:E172">"男"</f>
        <v>男</v>
      </c>
    </row>
    <row r="168" spans="1:5" ht="30" customHeight="1">
      <c r="A168" s="8">
        <v>165</v>
      </c>
      <c r="B168" s="8" t="str">
        <f>"38492022042221315934635"</f>
        <v>38492022042221315934635</v>
      </c>
      <c r="C168" s="8" t="s">
        <v>9</v>
      </c>
      <c r="D168" s="8" t="str">
        <f>"符广胜"</f>
        <v>符广胜</v>
      </c>
      <c r="E168" s="8" t="str">
        <f t="shared" si="33"/>
        <v>男</v>
      </c>
    </row>
    <row r="169" spans="1:5" ht="30" customHeight="1">
      <c r="A169" s="8">
        <v>166</v>
      </c>
      <c r="B169" s="8" t="str">
        <f>"38492022042222273934742"</f>
        <v>38492022042222273934742</v>
      </c>
      <c r="C169" s="8" t="s">
        <v>9</v>
      </c>
      <c r="D169" s="8" t="str">
        <f>"符媛媛"</f>
        <v>符媛媛</v>
      </c>
      <c r="E169" s="8" t="str">
        <f aca="true" t="shared" si="34" ref="E169:E173">"女"</f>
        <v>女</v>
      </c>
    </row>
    <row r="170" spans="1:5" ht="30" customHeight="1">
      <c r="A170" s="8">
        <v>167</v>
      </c>
      <c r="B170" s="8" t="str">
        <f>"38492022042223095634803"</f>
        <v>38492022042223095634803</v>
      </c>
      <c r="C170" s="8" t="s">
        <v>9</v>
      </c>
      <c r="D170" s="8" t="str">
        <f>"汪莹莹"</f>
        <v>汪莹莹</v>
      </c>
      <c r="E170" s="8" t="str">
        <f t="shared" si="34"/>
        <v>女</v>
      </c>
    </row>
    <row r="171" spans="1:5" ht="30" customHeight="1">
      <c r="A171" s="8">
        <v>168</v>
      </c>
      <c r="B171" s="8" t="str">
        <f>"38492022042310253235030"</f>
        <v>38492022042310253235030</v>
      </c>
      <c r="C171" s="8" t="s">
        <v>9</v>
      </c>
      <c r="D171" s="8" t="str">
        <f>"孔德强"</f>
        <v>孔德强</v>
      </c>
      <c r="E171" s="8" t="str">
        <f t="shared" si="33"/>
        <v>男</v>
      </c>
    </row>
    <row r="172" spans="1:5" ht="30" customHeight="1">
      <c r="A172" s="8">
        <v>169</v>
      </c>
      <c r="B172" s="8" t="str">
        <f>"38492022042312052435177"</f>
        <v>38492022042312052435177</v>
      </c>
      <c r="C172" s="8" t="s">
        <v>9</v>
      </c>
      <c r="D172" s="8" t="str">
        <f>"潘名书"</f>
        <v>潘名书</v>
      </c>
      <c r="E172" s="8" t="str">
        <f t="shared" si="33"/>
        <v>男</v>
      </c>
    </row>
    <row r="173" spans="1:5" ht="30" customHeight="1">
      <c r="A173" s="8">
        <v>170</v>
      </c>
      <c r="B173" s="8" t="str">
        <f>"38492022042313194335257"</f>
        <v>38492022042313194335257</v>
      </c>
      <c r="C173" s="8" t="s">
        <v>9</v>
      </c>
      <c r="D173" s="8" t="str">
        <f>"黄娜"</f>
        <v>黄娜</v>
      </c>
      <c r="E173" s="8" t="str">
        <f t="shared" si="34"/>
        <v>女</v>
      </c>
    </row>
    <row r="174" spans="1:5" ht="30" customHeight="1">
      <c r="A174" s="8">
        <v>171</v>
      </c>
      <c r="B174" s="8" t="str">
        <f>"38492022042314423135359"</f>
        <v>38492022042314423135359</v>
      </c>
      <c r="C174" s="8" t="s">
        <v>9</v>
      </c>
      <c r="D174" s="8" t="str">
        <f>"刘帆"</f>
        <v>刘帆</v>
      </c>
      <c r="E174" s="8" t="str">
        <f aca="true" t="shared" si="35" ref="E174:E178">"男"</f>
        <v>男</v>
      </c>
    </row>
    <row r="175" spans="1:5" ht="30" customHeight="1">
      <c r="A175" s="8">
        <v>172</v>
      </c>
      <c r="B175" s="8" t="str">
        <f>"38492022042314532235368"</f>
        <v>38492022042314532235368</v>
      </c>
      <c r="C175" s="8" t="s">
        <v>9</v>
      </c>
      <c r="D175" s="8" t="str">
        <f>"廖广婷"</f>
        <v>廖广婷</v>
      </c>
      <c r="E175" s="8" t="str">
        <f aca="true" t="shared" si="36" ref="E175:E179">"女"</f>
        <v>女</v>
      </c>
    </row>
    <row r="176" spans="1:5" ht="30" customHeight="1">
      <c r="A176" s="8">
        <v>173</v>
      </c>
      <c r="B176" s="8" t="str">
        <f>"38492022042315310535418"</f>
        <v>38492022042315310535418</v>
      </c>
      <c r="C176" s="8" t="s">
        <v>9</v>
      </c>
      <c r="D176" s="8" t="str">
        <f>"李有娅"</f>
        <v>李有娅</v>
      </c>
      <c r="E176" s="8" t="str">
        <f t="shared" si="36"/>
        <v>女</v>
      </c>
    </row>
    <row r="177" spans="1:5" ht="30" customHeight="1">
      <c r="A177" s="8">
        <v>174</v>
      </c>
      <c r="B177" s="8" t="str">
        <f>"38492022042316453235536"</f>
        <v>38492022042316453235536</v>
      </c>
      <c r="C177" s="8" t="s">
        <v>9</v>
      </c>
      <c r="D177" s="8" t="str">
        <f>"苏珍宏"</f>
        <v>苏珍宏</v>
      </c>
      <c r="E177" s="8" t="str">
        <f t="shared" si="35"/>
        <v>男</v>
      </c>
    </row>
    <row r="178" spans="1:5" ht="30" customHeight="1">
      <c r="A178" s="8">
        <v>175</v>
      </c>
      <c r="B178" s="8" t="str">
        <f>"38492022042319205135692"</f>
        <v>38492022042319205135692</v>
      </c>
      <c r="C178" s="8" t="s">
        <v>9</v>
      </c>
      <c r="D178" s="8" t="str">
        <f>"唐浩之"</f>
        <v>唐浩之</v>
      </c>
      <c r="E178" s="8" t="str">
        <f t="shared" si="35"/>
        <v>男</v>
      </c>
    </row>
    <row r="179" spans="1:5" ht="30" customHeight="1">
      <c r="A179" s="8">
        <v>176</v>
      </c>
      <c r="B179" s="8" t="str">
        <f>"38492022042321185935866"</f>
        <v>38492022042321185935866</v>
      </c>
      <c r="C179" s="8" t="s">
        <v>9</v>
      </c>
      <c r="D179" s="8" t="str">
        <f>"李冬艳"</f>
        <v>李冬艳</v>
      </c>
      <c r="E179" s="8" t="str">
        <f t="shared" si="36"/>
        <v>女</v>
      </c>
    </row>
    <row r="180" spans="1:5" ht="30" customHeight="1">
      <c r="A180" s="8">
        <v>177</v>
      </c>
      <c r="B180" s="8" t="str">
        <f>"38492022042322232635973"</f>
        <v>38492022042322232635973</v>
      </c>
      <c r="C180" s="8" t="s">
        <v>9</v>
      </c>
      <c r="D180" s="8" t="str">
        <f>"刘爱建"</f>
        <v>刘爱建</v>
      </c>
      <c r="E180" s="8" t="str">
        <f aca="true" t="shared" si="37" ref="E180:E182">"男"</f>
        <v>男</v>
      </c>
    </row>
    <row r="181" spans="1:5" ht="30" customHeight="1">
      <c r="A181" s="8">
        <v>178</v>
      </c>
      <c r="B181" s="8" t="str">
        <f>"38492022042323012236047"</f>
        <v>38492022042323012236047</v>
      </c>
      <c r="C181" s="8" t="s">
        <v>9</v>
      </c>
      <c r="D181" s="8" t="str">
        <f>"罗裕淇"</f>
        <v>罗裕淇</v>
      </c>
      <c r="E181" s="8" t="str">
        <f t="shared" si="37"/>
        <v>男</v>
      </c>
    </row>
    <row r="182" spans="1:5" ht="30" customHeight="1">
      <c r="A182" s="8">
        <v>179</v>
      </c>
      <c r="B182" s="8" t="str">
        <f>"38492022042401445336132"</f>
        <v>38492022042401445336132</v>
      </c>
      <c r="C182" s="8" t="s">
        <v>9</v>
      </c>
      <c r="D182" s="8" t="str">
        <f>"王和群"</f>
        <v>王和群</v>
      </c>
      <c r="E182" s="8" t="str">
        <f t="shared" si="37"/>
        <v>男</v>
      </c>
    </row>
    <row r="183" spans="1:5" ht="30" customHeight="1">
      <c r="A183" s="8">
        <v>180</v>
      </c>
      <c r="B183" s="8" t="str">
        <f>"38492022042408170336167"</f>
        <v>38492022042408170336167</v>
      </c>
      <c r="C183" s="8" t="s">
        <v>9</v>
      </c>
      <c r="D183" s="8" t="str">
        <f>"蒲海英"</f>
        <v>蒲海英</v>
      </c>
      <c r="E183" s="8" t="str">
        <f aca="true" t="shared" si="38" ref="E183:E192">"女"</f>
        <v>女</v>
      </c>
    </row>
    <row r="184" spans="1:5" ht="30" customHeight="1">
      <c r="A184" s="8">
        <v>181</v>
      </c>
      <c r="B184" s="8" t="str">
        <f>"38492022042409503536345"</f>
        <v>38492022042409503536345</v>
      </c>
      <c r="C184" s="8" t="s">
        <v>9</v>
      </c>
      <c r="D184" s="8" t="str">
        <f>"符红茹"</f>
        <v>符红茹</v>
      </c>
      <c r="E184" s="8" t="str">
        <f t="shared" si="38"/>
        <v>女</v>
      </c>
    </row>
    <row r="185" spans="1:5" ht="30" customHeight="1">
      <c r="A185" s="8">
        <v>182</v>
      </c>
      <c r="B185" s="8" t="str">
        <f>"38492022042410533336473"</f>
        <v>38492022042410533336473</v>
      </c>
      <c r="C185" s="8" t="s">
        <v>9</v>
      </c>
      <c r="D185" s="8" t="str">
        <f>"何江娴"</f>
        <v>何江娴</v>
      </c>
      <c r="E185" s="8" t="str">
        <f t="shared" si="38"/>
        <v>女</v>
      </c>
    </row>
    <row r="186" spans="1:5" ht="30" customHeight="1">
      <c r="A186" s="8">
        <v>183</v>
      </c>
      <c r="B186" s="8" t="str">
        <f>"38492022042411100236506"</f>
        <v>38492022042411100236506</v>
      </c>
      <c r="C186" s="8" t="s">
        <v>9</v>
      </c>
      <c r="D186" s="8" t="str">
        <f>"曾文园"</f>
        <v>曾文园</v>
      </c>
      <c r="E186" s="8" t="str">
        <f t="shared" si="38"/>
        <v>女</v>
      </c>
    </row>
    <row r="187" spans="1:5" ht="30" customHeight="1">
      <c r="A187" s="8">
        <v>184</v>
      </c>
      <c r="B187" s="8" t="str">
        <f>"38492022042411495536582"</f>
        <v>38492022042411495536582</v>
      </c>
      <c r="C187" s="8" t="s">
        <v>9</v>
      </c>
      <c r="D187" s="8" t="str">
        <f>"甘林蕾"</f>
        <v>甘林蕾</v>
      </c>
      <c r="E187" s="8" t="str">
        <f t="shared" si="38"/>
        <v>女</v>
      </c>
    </row>
    <row r="188" spans="1:5" ht="30" customHeight="1">
      <c r="A188" s="8">
        <v>185</v>
      </c>
      <c r="B188" s="8" t="str">
        <f>"38492022042415451536955"</f>
        <v>38492022042415451536955</v>
      </c>
      <c r="C188" s="8" t="s">
        <v>9</v>
      </c>
      <c r="D188" s="8" t="str">
        <f>"周文靖"</f>
        <v>周文靖</v>
      </c>
      <c r="E188" s="8" t="str">
        <f t="shared" si="38"/>
        <v>女</v>
      </c>
    </row>
    <row r="189" spans="1:5" ht="30" customHeight="1">
      <c r="A189" s="8">
        <v>186</v>
      </c>
      <c r="B189" s="8" t="str">
        <f>"38492022042420330537452"</f>
        <v>38492022042420330537452</v>
      </c>
      <c r="C189" s="8" t="s">
        <v>9</v>
      </c>
      <c r="D189" s="8" t="str">
        <f>"符慧燕"</f>
        <v>符慧燕</v>
      </c>
      <c r="E189" s="8" t="str">
        <f t="shared" si="38"/>
        <v>女</v>
      </c>
    </row>
    <row r="190" spans="1:5" ht="30" customHeight="1">
      <c r="A190" s="8">
        <v>187</v>
      </c>
      <c r="B190" s="8" t="str">
        <f>"38492022042509395637906"</f>
        <v>38492022042509395637906</v>
      </c>
      <c r="C190" s="8" t="s">
        <v>9</v>
      </c>
      <c r="D190" s="8" t="str">
        <f>"林鸿娟"</f>
        <v>林鸿娟</v>
      </c>
      <c r="E190" s="8" t="str">
        <f t="shared" si="38"/>
        <v>女</v>
      </c>
    </row>
    <row r="191" spans="1:5" ht="30" customHeight="1">
      <c r="A191" s="8">
        <v>188</v>
      </c>
      <c r="B191" s="8" t="str">
        <f>"38492022042509430037914"</f>
        <v>38492022042509430037914</v>
      </c>
      <c r="C191" s="8" t="s">
        <v>9</v>
      </c>
      <c r="D191" s="8" t="str">
        <f>"黎慧岭"</f>
        <v>黎慧岭</v>
      </c>
      <c r="E191" s="8" t="str">
        <f t="shared" si="38"/>
        <v>女</v>
      </c>
    </row>
    <row r="192" spans="1:5" ht="30" customHeight="1">
      <c r="A192" s="8">
        <v>189</v>
      </c>
      <c r="B192" s="8" t="str">
        <f>"38492022042511103838087"</f>
        <v>38492022042511103838087</v>
      </c>
      <c r="C192" s="8" t="s">
        <v>9</v>
      </c>
      <c r="D192" s="8" t="str">
        <f>"高靖嘉"</f>
        <v>高靖嘉</v>
      </c>
      <c r="E192" s="8" t="str">
        <f t="shared" si="38"/>
        <v>女</v>
      </c>
    </row>
    <row r="193" spans="1:5" ht="30" customHeight="1">
      <c r="A193" s="8">
        <v>190</v>
      </c>
      <c r="B193" s="8" t="str">
        <f>"38492022042515112538345"</f>
        <v>38492022042515112538345</v>
      </c>
      <c r="C193" s="8" t="s">
        <v>9</v>
      </c>
      <c r="D193" s="8" t="str">
        <f>"吉少稀"</f>
        <v>吉少稀</v>
      </c>
      <c r="E193" s="8" t="str">
        <f aca="true" t="shared" si="39" ref="E193:E195">"男"</f>
        <v>男</v>
      </c>
    </row>
    <row r="194" spans="1:5" ht="30" customHeight="1">
      <c r="A194" s="8">
        <v>191</v>
      </c>
      <c r="B194" s="8" t="str">
        <f>"38492022042516161938468"</f>
        <v>38492022042516161938468</v>
      </c>
      <c r="C194" s="8" t="s">
        <v>9</v>
      </c>
      <c r="D194" s="8" t="str">
        <f>"陈重宜"</f>
        <v>陈重宜</v>
      </c>
      <c r="E194" s="8" t="str">
        <f t="shared" si="39"/>
        <v>男</v>
      </c>
    </row>
    <row r="195" spans="1:5" ht="30" customHeight="1">
      <c r="A195" s="8">
        <v>192</v>
      </c>
      <c r="B195" s="8" t="str">
        <f>"38492022042516441838503"</f>
        <v>38492022042516441838503</v>
      </c>
      <c r="C195" s="8" t="s">
        <v>9</v>
      </c>
      <c r="D195" s="8" t="str">
        <f>"李冠"</f>
        <v>李冠</v>
      </c>
      <c r="E195" s="8" t="str">
        <f t="shared" si="39"/>
        <v>男</v>
      </c>
    </row>
    <row r="196" spans="1:5" ht="30" customHeight="1">
      <c r="A196" s="8">
        <v>193</v>
      </c>
      <c r="B196" s="8" t="str">
        <f>"38492022042519201238706"</f>
        <v>38492022042519201238706</v>
      </c>
      <c r="C196" s="8" t="s">
        <v>9</v>
      </c>
      <c r="D196" s="8" t="str">
        <f>"陈代炼"</f>
        <v>陈代炼</v>
      </c>
      <c r="E196" s="8" t="str">
        <f aca="true" t="shared" si="40" ref="E196:E201">"女"</f>
        <v>女</v>
      </c>
    </row>
    <row r="197" spans="1:5" ht="30" customHeight="1">
      <c r="A197" s="8">
        <v>194</v>
      </c>
      <c r="B197" s="8" t="str">
        <f>"38492022042519564738734"</f>
        <v>38492022042519564738734</v>
      </c>
      <c r="C197" s="8" t="s">
        <v>9</v>
      </c>
      <c r="D197" s="8" t="str">
        <f>"文继饶"</f>
        <v>文继饶</v>
      </c>
      <c r="E197" s="8" t="str">
        <f>"男"</f>
        <v>男</v>
      </c>
    </row>
    <row r="198" spans="1:5" ht="30" customHeight="1">
      <c r="A198" s="8">
        <v>195</v>
      </c>
      <c r="B198" s="8" t="str">
        <f>"38492022042520080338751"</f>
        <v>38492022042520080338751</v>
      </c>
      <c r="C198" s="8" t="s">
        <v>9</v>
      </c>
      <c r="D198" s="8" t="str">
        <f>"李娇"</f>
        <v>李娇</v>
      </c>
      <c r="E198" s="8" t="str">
        <f t="shared" si="40"/>
        <v>女</v>
      </c>
    </row>
    <row r="199" spans="1:5" ht="30" customHeight="1">
      <c r="A199" s="8">
        <v>196</v>
      </c>
      <c r="B199" s="8" t="str">
        <f>"38492022042520375938791"</f>
        <v>38492022042520375938791</v>
      </c>
      <c r="C199" s="8" t="s">
        <v>9</v>
      </c>
      <c r="D199" s="8" t="str">
        <f>"方忠鑫"</f>
        <v>方忠鑫</v>
      </c>
      <c r="E199" s="8" t="str">
        <f t="shared" si="40"/>
        <v>女</v>
      </c>
    </row>
    <row r="200" spans="1:5" ht="30" customHeight="1">
      <c r="A200" s="8">
        <v>197</v>
      </c>
      <c r="B200" s="8" t="str">
        <f>"38492022042609041539173"</f>
        <v>38492022042609041539173</v>
      </c>
      <c r="C200" s="8" t="s">
        <v>9</v>
      </c>
      <c r="D200" s="8" t="str">
        <f>"殷月娟"</f>
        <v>殷月娟</v>
      </c>
      <c r="E200" s="8" t="str">
        <f t="shared" si="40"/>
        <v>女</v>
      </c>
    </row>
    <row r="201" spans="1:5" ht="30" customHeight="1">
      <c r="A201" s="8">
        <v>198</v>
      </c>
      <c r="B201" s="8" t="str">
        <f>"38492022042610372439316"</f>
        <v>38492022042610372439316</v>
      </c>
      <c r="C201" s="8" t="s">
        <v>9</v>
      </c>
      <c r="D201" s="8" t="str">
        <f>"冯恬奕"</f>
        <v>冯恬奕</v>
      </c>
      <c r="E201" s="8" t="str">
        <f t="shared" si="40"/>
        <v>女</v>
      </c>
    </row>
    <row r="202" spans="1:5" ht="30" customHeight="1">
      <c r="A202" s="8">
        <v>199</v>
      </c>
      <c r="B202" s="8" t="str">
        <f>"38492022042615052339639"</f>
        <v>38492022042615052339639</v>
      </c>
      <c r="C202" s="8" t="s">
        <v>9</v>
      </c>
      <c r="D202" s="8" t="str">
        <f>"李祖宇"</f>
        <v>李祖宇</v>
      </c>
      <c r="E202" s="8" t="str">
        <f aca="true" t="shared" si="41" ref="E202:E206">"男"</f>
        <v>男</v>
      </c>
    </row>
    <row r="203" spans="1:5" ht="30" customHeight="1">
      <c r="A203" s="8">
        <v>200</v>
      </c>
      <c r="B203" s="8" t="str">
        <f>"38492022042615311339697"</f>
        <v>38492022042615311339697</v>
      </c>
      <c r="C203" s="8" t="s">
        <v>9</v>
      </c>
      <c r="D203" s="8" t="str">
        <f>"梁亚敏"</f>
        <v>梁亚敏</v>
      </c>
      <c r="E203" s="8" t="str">
        <f>"女"</f>
        <v>女</v>
      </c>
    </row>
    <row r="204" spans="1:5" ht="30" customHeight="1">
      <c r="A204" s="8">
        <v>201</v>
      </c>
      <c r="B204" s="8" t="str">
        <f>"38492022042615595139753"</f>
        <v>38492022042615595139753</v>
      </c>
      <c r="C204" s="8" t="s">
        <v>9</v>
      </c>
      <c r="D204" s="8" t="str">
        <f>"朱有明"</f>
        <v>朱有明</v>
      </c>
      <c r="E204" s="8" t="str">
        <f t="shared" si="41"/>
        <v>男</v>
      </c>
    </row>
    <row r="205" spans="1:5" ht="30" customHeight="1">
      <c r="A205" s="8">
        <v>202</v>
      </c>
      <c r="B205" s="8" t="str">
        <f>"38492022042621082740208"</f>
        <v>38492022042621082740208</v>
      </c>
      <c r="C205" s="8" t="s">
        <v>9</v>
      </c>
      <c r="D205" s="8" t="str">
        <f>"王明宝"</f>
        <v>王明宝</v>
      </c>
      <c r="E205" s="8" t="str">
        <f t="shared" si="41"/>
        <v>男</v>
      </c>
    </row>
    <row r="206" spans="1:5" ht="30" customHeight="1">
      <c r="A206" s="8">
        <v>203</v>
      </c>
      <c r="B206" s="8" t="str">
        <f>"38492022042622030140298"</f>
        <v>38492022042622030140298</v>
      </c>
      <c r="C206" s="8" t="s">
        <v>9</v>
      </c>
      <c r="D206" s="8" t="str">
        <f>"符福宇"</f>
        <v>符福宇</v>
      </c>
      <c r="E206" s="8" t="str">
        <f t="shared" si="41"/>
        <v>男</v>
      </c>
    </row>
    <row r="207" spans="1:5" ht="30" customHeight="1">
      <c r="A207" s="8">
        <v>204</v>
      </c>
      <c r="B207" s="8" t="str">
        <f>"38492022042708112140585"</f>
        <v>38492022042708112140585</v>
      </c>
      <c r="C207" s="8" t="s">
        <v>9</v>
      </c>
      <c r="D207" s="8" t="str">
        <f>"王月明"</f>
        <v>王月明</v>
      </c>
      <c r="E207" s="8" t="str">
        <f aca="true" t="shared" si="42" ref="E207:E217">"女"</f>
        <v>女</v>
      </c>
    </row>
    <row r="208" spans="1:5" ht="30" customHeight="1">
      <c r="A208" s="8">
        <v>205</v>
      </c>
      <c r="B208" s="8" t="str">
        <f>"38492022042708434540619"</f>
        <v>38492022042708434540619</v>
      </c>
      <c r="C208" s="8" t="s">
        <v>9</v>
      </c>
      <c r="D208" s="8" t="str">
        <f>"黄侨鉴"</f>
        <v>黄侨鉴</v>
      </c>
      <c r="E208" s="8" t="str">
        <f>"男"</f>
        <v>男</v>
      </c>
    </row>
    <row r="209" spans="1:5" ht="30" customHeight="1">
      <c r="A209" s="8">
        <v>206</v>
      </c>
      <c r="B209" s="8" t="str">
        <f>"38492022042708594840632"</f>
        <v>38492022042708594840632</v>
      </c>
      <c r="C209" s="8" t="s">
        <v>9</v>
      </c>
      <c r="D209" s="8" t="str">
        <f>"柏伟情"</f>
        <v>柏伟情</v>
      </c>
      <c r="E209" s="8" t="str">
        <f t="shared" si="42"/>
        <v>女</v>
      </c>
    </row>
    <row r="210" spans="1:5" ht="30" customHeight="1">
      <c r="A210" s="8">
        <v>207</v>
      </c>
      <c r="B210" s="8" t="str">
        <f>"38492022042711300742330"</f>
        <v>38492022042711300742330</v>
      </c>
      <c r="C210" s="8" t="s">
        <v>9</v>
      </c>
      <c r="D210" s="8" t="str">
        <f>"王晓航"</f>
        <v>王晓航</v>
      </c>
      <c r="E210" s="8" t="str">
        <f t="shared" si="42"/>
        <v>女</v>
      </c>
    </row>
    <row r="211" spans="1:5" ht="30" customHeight="1">
      <c r="A211" s="8">
        <v>208</v>
      </c>
      <c r="B211" s="8" t="str">
        <f>"38492022042711552642511"</f>
        <v>38492022042711552642511</v>
      </c>
      <c r="C211" s="8" t="s">
        <v>9</v>
      </c>
      <c r="D211" s="8" t="str">
        <f>"符家慧"</f>
        <v>符家慧</v>
      </c>
      <c r="E211" s="8" t="str">
        <f t="shared" si="42"/>
        <v>女</v>
      </c>
    </row>
    <row r="212" spans="1:5" ht="30" customHeight="1">
      <c r="A212" s="8">
        <v>209</v>
      </c>
      <c r="B212" s="8" t="str">
        <f>"38492022042712042742565"</f>
        <v>38492022042712042742565</v>
      </c>
      <c r="C212" s="8" t="s">
        <v>9</v>
      </c>
      <c r="D212" s="8" t="str">
        <f>"郭金花"</f>
        <v>郭金花</v>
      </c>
      <c r="E212" s="8" t="str">
        <f t="shared" si="42"/>
        <v>女</v>
      </c>
    </row>
    <row r="213" spans="1:5" ht="30" customHeight="1">
      <c r="A213" s="8">
        <v>210</v>
      </c>
      <c r="B213" s="8" t="str">
        <f>"38492022042712071042580"</f>
        <v>38492022042712071042580</v>
      </c>
      <c r="C213" s="8" t="s">
        <v>9</v>
      </c>
      <c r="D213" s="8" t="str">
        <f>"尹桂真"</f>
        <v>尹桂真</v>
      </c>
      <c r="E213" s="8" t="str">
        <f t="shared" si="42"/>
        <v>女</v>
      </c>
    </row>
    <row r="214" spans="1:5" ht="30" customHeight="1">
      <c r="A214" s="8">
        <v>211</v>
      </c>
      <c r="B214" s="8" t="str">
        <f>"38492022042714190943376"</f>
        <v>38492022042714190943376</v>
      </c>
      <c r="C214" s="8" t="s">
        <v>9</v>
      </c>
      <c r="D214" s="8" t="str">
        <f>"靳媛"</f>
        <v>靳媛</v>
      </c>
      <c r="E214" s="8" t="str">
        <f t="shared" si="42"/>
        <v>女</v>
      </c>
    </row>
    <row r="215" spans="1:5" ht="30" customHeight="1">
      <c r="A215" s="8">
        <v>212</v>
      </c>
      <c r="B215" s="8" t="str">
        <f>"38492022042715272143825"</f>
        <v>38492022042715272143825</v>
      </c>
      <c r="C215" s="8" t="s">
        <v>9</v>
      </c>
      <c r="D215" s="8" t="str">
        <f>"赵晓菲"</f>
        <v>赵晓菲</v>
      </c>
      <c r="E215" s="8" t="str">
        <f t="shared" si="42"/>
        <v>女</v>
      </c>
    </row>
    <row r="216" spans="1:5" ht="30" customHeight="1">
      <c r="A216" s="8">
        <v>213</v>
      </c>
      <c r="B216" s="8" t="str">
        <f>"38492022042715533243986"</f>
        <v>38492022042715533243986</v>
      </c>
      <c r="C216" s="8" t="s">
        <v>9</v>
      </c>
      <c r="D216" s="8" t="str">
        <f>"林琼娜"</f>
        <v>林琼娜</v>
      </c>
      <c r="E216" s="8" t="str">
        <f t="shared" si="42"/>
        <v>女</v>
      </c>
    </row>
    <row r="217" spans="1:5" ht="30" customHeight="1">
      <c r="A217" s="8">
        <v>214</v>
      </c>
      <c r="B217" s="8" t="str">
        <f>"38492022042110324926052"</f>
        <v>38492022042110324926052</v>
      </c>
      <c r="C217" s="8" t="s">
        <v>10</v>
      </c>
      <c r="D217" s="8" t="str">
        <f>"王洁琪"</f>
        <v>王洁琪</v>
      </c>
      <c r="E217" s="8" t="str">
        <f t="shared" si="42"/>
        <v>女</v>
      </c>
    </row>
    <row r="218" spans="1:5" ht="30" customHeight="1">
      <c r="A218" s="8">
        <v>215</v>
      </c>
      <c r="B218" s="8" t="str">
        <f>"38492022042111385126736"</f>
        <v>38492022042111385126736</v>
      </c>
      <c r="C218" s="8" t="s">
        <v>10</v>
      </c>
      <c r="D218" s="8" t="str">
        <f>"符杰贤"</f>
        <v>符杰贤</v>
      </c>
      <c r="E218" s="8" t="str">
        <f>"男"</f>
        <v>男</v>
      </c>
    </row>
    <row r="219" spans="1:5" ht="30" customHeight="1">
      <c r="A219" s="8">
        <v>216</v>
      </c>
      <c r="B219" s="8" t="str">
        <f>"38492022042112124426982"</f>
        <v>38492022042112124426982</v>
      </c>
      <c r="C219" s="8" t="s">
        <v>10</v>
      </c>
      <c r="D219" s="8" t="str">
        <f>"符娟"</f>
        <v>符娟</v>
      </c>
      <c r="E219" s="8" t="str">
        <f aca="true" t="shared" si="43" ref="E219:E226">"女"</f>
        <v>女</v>
      </c>
    </row>
    <row r="220" spans="1:5" ht="30" customHeight="1">
      <c r="A220" s="8">
        <v>217</v>
      </c>
      <c r="B220" s="8" t="str">
        <f>"38492022042117073428902"</f>
        <v>38492022042117073428902</v>
      </c>
      <c r="C220" s="8" t="s">
        <v>10</v>
      </c>
      <c r="D220" s="8" t="str">
        <f>"符雪贝"</f>
        <v>符雪贝</v>
      </c>
      <c r="E220" s="8" t="str">
        <f t="shared" si="43"/>
        <v>女</v>
      </c>
    </row>
    <row r="221" spans="1:5" ht="30" customHeight="1">
      <c r="A221" s="8">
        <v>218</v>
      </c>
      <c r="B221" s="8" t="str">
        <f>"38492022042117465629132"</f>
        <v>38492022042117465629132</v>
      </c>
      <c r="C221" s="8" t="s">
        <v>10</v>
      </c>
      <c r="D221" s="8" t="str">
        <f>"符智超"</f>
        <v>符智超</v>
      </c>
      <c r="E221" s="8" t="str">
        <f>"男"</f>
        <v>男</v>
      </c>
    </row>
    <row r="222" spans="1:5" ht="30" customHeight="1">
      <c r="A222" s="8">
        <v>219</v>
      </c>
      <c r="B222" s="8" t="str">
        <f>"38492022042121014130045"</f>
        <v>38492022042121014130045</v>
      </c>
      <c r="C222" s="8" t="s">
        <v>10</v>
      </c>
      <c r="D222" s="8" t="str">
        <f>"符晓晶"</f>
        <v>符晓晶</v>
      </c>
      <c r="E222" s="8" t="str">
        <f t="shared" si="43"/>
        <v>女</v>
      </c>
    </row>
    <row r="223" spans="1:5" ht="30" customHeight="1">
      <c r="A223" s="8">
        <v>220</v>
      </c>
      <c r="B223" s="8" t="str">
        <f>"38492022042122052430390"</f>
        <v>38492022042122052430390</v>
      </c>
      <c r="C223" s="8" t="s">
        <v>10</v>
      </c>
      <c r="D223" s="8" t="str">
        <f>"王慧莹"</f>
        <v>王慧莹</v>
      </c>
      <c r="E223" s="8" t="str">
        <f t="shared" si="43"/>
        <v>女</v>
      </c>
    </row>
    <row r="224" spans="1:5" ht="30" customHeight="1">
      <c r="A224" s="8">
        <v>221</v>
      </c>
      <c r="B224" s="8" t="str">
        <f>"38492022042208415631042"</f>
        <v>38492022042208415631042</v>
      </c>
      <c r="C224" s="8" t="s">
        <v>10</v>
      </c>
      <c r="D224" s="8" t="str">
        <f>"周巧"</f>
        <v>周巧</v>
      </c>
      <c r="E224" s="8" t="str">
        <f t="shared" si="43"/>
        <v>女</v>
      </c>
    </row>
    <row r="225" spans="1:5" ht="30" customHeight="1">
      <c r="A225" s="8">
        <v>222</v>
      </c>
      <c r="B225" s="8" t="str">
        <f>"38492022042209391631320"</f>
        <v>38492022042209391631320</v>
      </c>
      <c r="C225" s="8" t="s">
        <v>10</v>
      </c>
      <c r="D225" s="8" t="str">
        <f>"洪豆"</f>
        <v>洪豆</v>
      </c>
      <c r="E225" s="8" t="str">
        <f t="shared" si="43"/>
        <v>女</v>
      </c>
    </row>
    <row r="226" spans="1:5" ht="30" customHeight="1">
      <c r="A226" s="8">
        <v>223</v>
      </c>
      <c r="B226" s="8" t="str">
        <f>"38492022042211002231816"</f>
        <v>38492022042211002231816</v>
      </c>
      <c r="C226" s="8" t="s">
        <v>10</v>
      </c>
      <c r="D226" s="8" t="str">
        <f>"卓文贞"</f>
        <v>卓文贞</v>
      </c>
      <c r="E226" s="8" t="str">
        <f t="shared" si="43"/>
        <v>女</v>
      </c>
    </row>
    <row r="227" spans="1:5" ht="30" customHeight="1">
      <c r="A227" s="8">
        <v>224</v>
      </c>
      <c r="B227" s="8" t="str">
        <f>"38492022042215081233211"</f>
        <v>38492022042215081233211</v>
      </c>
      <c r="C227" s="8" t="s">
        <v>10</v>
      </c>
      <c r="D227" s="8" t="str">
        <f>"王升龙"</f>
        <v>王升龙</v>
      </c>
      <c r="E227" s="8" t="str">
        <f aca="true" t="shared" si="44" ref="E227:E229">"男"</f>
        <v>男</v>
      </c>
    </row>
    <row r="228" spans="1:5" ht="30" customHeight="1">
      <c r="A228" s="8">
        <v>225</v>
      </c>
      <c r="B228" s="8" t="str">
        <f>"38492022042308271034907"</f>
        <v>38492022042308271034907</v>
      </c>
      <c r="C228" s="8" t="s">
        <v>10</v>
      </c>
      <c r="D228" s="8" t="str">
        <f>"符成巍"</f>
        <v>符成巍</v>
      </c>
      <c r="E228" s="8" t="str">
        <f t="shared" si="44"/>
        <v>男</v>
      </c>
    </row>
    <row r="229" spans="1:5" ht="30" customHeight="1">
      <c r="A229" s="8">
        <v>226</v>
      </c>
      <c r="B229" s="8" t="str">
        <f>"38492022042310265535034"</f>
        <v>38492022042310265535034</v>
      </c>
      <c r="C229" s="8" t="s">
        <v>10</v>
      </c>
      <c r="D229" s="8" t="str">
        <f>"刘家伟"</f>
        <v>刘家伟</v>
      </c>
      <c r="E229" s="8" t="str">
        <f t="shared" si="44"/>
        <v>男</v>
      </c>
    </row>
    <row r="230" spans="1:5" ht="30" customHeight="1">
      <c r="A230" s="8">
        <v>227</v>
      </c>
      <c r="B230" s="8" t="str">
        <f>"38492022042312410835214"</f>
        <v>38492022042312410835214</v>
      </c>
      <c r="C230" s="8" t="s">
        <v>10</v>
      </c>
      <c r="D230" s="8" t="str">
        <f>"符淑莹"</f>
        <v>符淑莹</v>
      </c>
      <c r="E230" s="8" t="str">
        <f aca="true" t="shared" si="45" ref="E230:E235">"女"</f>
        <v>女</v>
      </c>
    </row>
    <row r="231" spans="1:5" ht="30" customHeight="1">
      <c r="A231" s="8">
        <v>228</v>
      </c>
      <c r="B231" s="8" t="str">
        <f>"38492022042412355236650"</f>
        <v>38492022042412355236650</v>
      </c>
      <c r="C231" s="8" t="s">
        <v>10</v>
      </c>
      <c r="D231" s="8" t="str">
        <f>"林思豪"</f>
        <v>林思豪</v>
      </c>
      <c r="E231" s="8" t="str">
        <f>"男"</f>
        <v>男</v>
      </c>
    </row>
    <row r="232" spans="1:5" ht="30" customHeight="1">
      <c r="A232" s="8">
        <v>229</v>
      </c>
      <c r="B232" s="8" t="str">
        <f>"38492022042417234537177"</f>
        <v>38492022042417234537177</v>
      </c>
      <c r="C232" s="8" t="s">
        <v>10</v>
      </c>
      <c r="D232" s="8" t="str">
        <f>"甘晓静"</f>
        <v>甘晓静</v>
      </c>
      <c r="E232" s="8" t="str">
        <f t="shared" si="45"/>
        <v>女</v>
      </c>
    </row>
    <row r="233" spans="1:5" ht="30" customHeight="1">
      <c r="A233" s="8">
        <v>230</v>
      </c>
      <c r="B233" s="8" t="str">
        <f>"38492022042514541638310"</f>
        <v>38492022042514541638310</v>
      </c>
      <c r="C233" s="8" t="s">
        <v>10</v>
      </c>
      <c r="D233" s="8" t="str">
        <f>"符碧珈"</f>
        <v>符碧珈</v>
      </c>
      <c r="E233" s="8" t="str">
        <f t="shared" si="45"/>
        <v>女</v>
      </c>
    </row>
    <row r="234" spans="1:5" ht="30" customHeight="1">
      <c r="A234" s="8">
        <v>231</v>
      </c>
      <c r="B234" s="8" t="str">
        <f>"38492022042520541638819"</f>
        <v>38492022042520541638819</v>
      </c>
      <c r="C234" s="8" t="s">
        <v>10</v>
      </c>
      <c r="D234" s="8" t="str">
        <f>"王丽茹"</f>
        <v>王丽茹</v>
      </c>
      <c r="E234" s="8" t="str">
        <f t="shared" si="45"/>
        <v>女</v>
      </c>
    </row>
    <row r="235" spans="1:5" ht="30" customHeight="1">
      <c r="A235" s="8">
        <v>232</v>
      </c>
      <c r="B235" s="8" t="str">
        <f>"38492022042523551839057"</f>
        <v>38492022042523551839057</v>
      </c>
      <c r="C235" s="8" t="s">
        <v>10</v>
      </c>
      <c r="D235" s="8" t="str">
        <f>"符水祥"</f>
        <v>符水祥</v>
      </c>
      <c r="E235" s="8" t="str">
        <f t="shared" si="45"/>
        <v>女</v>
      </c>
    </row>
    <row r="236" spans="1:5" ht="30" customHeight="1">
      <c r="A236" s="8">
        <v>233</v>
      </c>
      <c r="B236" s="8" t="str">
        <f>"38492022042622301340343"</f>
        <v>38492022042622301340343</v>
      </c>
      <c r="C236" s="8" t="s">
        <v>10</v>
      </c>
      <c r="D236" s="8" t="str">
        <f>"符明熠"</f>
        <v>符明熠</v>
      </c>
      <c r="E236" s="8" t="str">
        <f>"男"</f>
        <v>男</v>
      </c>
    </row>
    <row r="237" spans="1:5" ht="30" customHeight="1">
      <c r="A237" s="8">
        <v>234</v>
      </c>
      <c r="B237" s="8" t="str">
        <f>"38492022042713021642940"</f>
        <v>38492022042713021642940</v>
      </c>
      <c r="C237" s="8" t="s">
        <v>10</v>
      </c>
      <c r="D237" s="8" t="str">
        <f>"符秋霞"</f>
        <v>符秋霞</v>
      </c>
      <c r="E237" s="8" t="str">
        <f>"女"</f>
        <v>女</v>
      </c>
    </row>
    <row r="238" spans="1:5" ht="30" customHeight="1">
      <c r="A238" s="8">
        <v>235</v>
      </c>
      <c r="B238" s="8" t="str">
        <f>"38492022042109012024892"</f>
        <v>38492022042109012024892</v>
      </c>
      <c r="C238" s="8" t="s">
        <v>11</v>
      </c>
      <c r="D238" s="8" t="str">
        <f>"曾岳莲"</f>
        <v>曾岳莲</v>
      </c>
      <c r="E238" s="8" t="str">
        <f>"女"</f>
        <v>女</v>
      </c>
    </row>
    <row r="239" spans="1:5" ht="30" customHeight="1">
      <c r="A239" s="8">
        <v>236</v>
      </c>
      <c r="B239" s="8" t="str">
        <f>"38492022042111081426445"</f>
        <v>38492022042111081426445</v>
      </c>
      <c r="C239" s="8" t="s">
        <v>11</v>
      </c>
      <c r="D239" s="8" t="str">
        <f>"林名海"</f>
        <v>林名海</v>
      </c>
      <c r="E239" s="8" t="str">
        <f>"男"</f>
        <v>男</v>
      </c>
    </row>
    <row r="240" spans="1:5" ht="30" customHeight="1">
      <c r="A240" s="8">
        <v>237</v>
      </c>
      <c r="B240" s="8" t="str">
        <f>"38492022042118390329360"</f>
        <v>38492022042118390329360</v>
      </c>
      <c r="C240" s="8" t="s">
        <v>11</v>
      </c>
      <c r="D240" s="8" t="str">
        <f>"符帝宝"</f>
        <v>符帝宝</v>
      </c>
      <c r="E240" s="8" t="str">
        <f>"男"</f>
        <v>男</v>
      </c>
    </row>
    <row r="241" spans="1:5" ht="30" customHeight="1">
      <c r="A241" s="8">
        <v>238</v>
      </c>
      <c r="B241" s="8" t="str">
        <f>"38492022042208455331054"</f>
        <v>38492022042208455331054</v>
      </c>
      <c r="C241" s="8" t="s">
        <v>11</v>
      </c>
      <c r="D241" s="8" t="str">
        <f>"范妙莉"</f>
        <v>范妙莉</v>
      </c>
      <c r="E241" s="8" t="str">
        <f>"女"</f>
        <v>女</v>
      </c>
    </row>
    <row r="242" spans="1:5" ht="30" customHeight="1">
      <c r="A242" s="8">
        <v>239</v>
      </c>
      <c r="B242" s="8" t="str">
        <f>"38492022042208534731093"</f>
        <v>38492022042208534731093</v>
      </c>
      <c r="C242" s="8" t="s">
        <v>11</v>
      </c>
      <c r="D242" s="8" t="str">
        <f>"王懋丰"</f>
        <v>王懋丰</v>
      </c>
      <c r="E242" s="8" t="str">
        <f>"男"</f>
        <v>男</v>
      </c>
    </row>
    <row r="243" spans="1:5" ht="30" customHeight="1">
      <c r="A243" s="8">
        <v>240</v>
      </c>
      <c r="B243" s="8" t="str">
        <f>"38492022042409112636262"</f>
        <v>38492022042409112636262</v>
      </c>
      <c r="C243" s="8" t="s">
        <v>11</v>
      </c>
      <c r="D243" s="8" t="str">
        <f>"吴惠妃"</f>
        <v>吴惠妃</v>
      </c>
      <c r="E243" s="8" t="str">
        <f aca="true" t="shared" si="46" ref="E243:E248">"女"</f>
        <v>女</v>
      </c>
    </row>
    <row r="244" spans="1:5" ht="30" customHeight="1">
      <c r="A244" s="8">
        <v>241</v>
      </c>
      <c r="B244" s="8" t="str">
        <f>"38492022042412080736609"</f>
        <v>38492022042412080736609</v>
      </c>
      <c r="C244" s="8" t="s">
        <v>11</v>
      </c>
      <c r="D244" s="8" t="str">
        <f>"田虹瑰"</f>
        <v>田虹瑰</v>
      </c>
      <c r="E244" s="8" t="str">
        <f t="shared" si="46"/>
        <v>女</v>
      </c>
    </row>
    <row r="245" spans="1:5" ht="30" customHeight="1">
      <c r="A245" s="8">
        <v>242</v>
      </c>
      <c r="B245" s="8" t="str">
        <f>"38492022042415165436891"</f>
        <v>38492022042415165436891</v>
      </c>
      <c r="C245" s="8" t="s">
        <v>11</v>
      </c>
      <c r="D245" s="8" t="str">
        <f>"覃秋琳"</f>
        <v>覃秋琳</v>
      </c>
      <c r="E245" s="8" t="str">
        <f t="shared" si="46"/>
        <v>女</v>
      </c>
    </row>
    <row r="246" spans="1:5" ht="30" customHeight="1">
      <c r="A246" s="8">
        <v>243</v>
      </c>
      <c r="B246" s="8" t="str">
        <f>"38492022042416295537057"</f>
        <v>38492022042416295537057</v>
      </c>
      <c r="C246" s="8" t="s">
        <v>11</v>
      </c>
      <c r="D246" s="8" t="str">
        <f>"卓雯欣"</f>
        <v>卓雯欣</v>
      </c>
      <c r="E246" s="8" t="str">
        <f t="shared" si="46"/>
        <v>女</v>
      </c>
    </row>
    <row r="247" spans="1:5" ht="30" customHeight="1">
      <c r="A247" s="8">
        <v>244</v>
      </c>
      <c r="B247" s="8" t="str">
        <f>"38492022042418281437272"</f>
        <v>38492022042418281437272</v>
      </c>
      <c r="C247" s="8" t="s">
        <v>11</v>
      </c>
      <c r="D247" s="8" t="str">
        <f>"周莹"</f>
        <v>周莹</v>
      </c>
      <c r="E247" s="8" t="str">
        <f t="shared" si="46"/>
        <v>女</v>
      </c>
    </row>
    <row r="248" spans="1:5" ht="30" customHeight="1">
      <c r="A248" s="8">
        <v>245</v>
      </c>
      <c r="B248" s="8" t="str">
        <f>"38492022042608250939132"</f>
        <v>38492022042608250939132</v>
      </c>
      <c r="C248" s="8" t="s">
        <v>11</v>
      </c>
      <c r="D248" s="8" t="str">
        <f>"黎学贤"</f>
        <v>黎学贤</v>
      </c>
      <c r="E248" s="8" t="str">
        <f t="shared" si="46"/>
        <v>女</v>
      </c>
    </row>
    <row r="249" spans="1:5" ht="30" customHeight="1">
      <c r="A249" s="8">
        <v>246</v>
      </c>
      <c r="B249" s="8" t="str">
        <f>"38492022042608390139142"</f>
        <v>38492022042608390139142</v>
      </c>
      <c r="C249" s="8" t="s">
        <v>11</v>
      </c>
      <c r="D249" s="8" t="str">
        <f>"王宏宇"</f>
        <v>王宏宇</v>
      </c>
      <c r="E249" s="8" t="str">
        <f>"男"</f>
        <v>男</v>
      </c>
    </row>
    <row r="250" spans="1:5" ht="30" customHeight="1">
      <c r="A250" s="8">
        <v>247</v>
      </c>
      <c r="B250" s="8" t="str">
        <f>"38492022042608453739152"</f>
        <v>38492022042608453739152</v>
      </c>
      <c r="C250" s="8" t="s">
        <v>11</v>
      </c>
      <c r="D250" s="8" t="str">
        <f>"周文君"</f>
        <v>周文君</v>
      </c>
      <c r="E250" s="8" t="str">
        <f>"女"</f>
        <v>女</v>
      </c>
    </row>
    <row r="251" spans="1:5" ht="30" customHeight="1">
      <c r="A251" s="8">
        <v>248</v>
      </c>
      <c r="B251" s="8" t="str">
        <f>"38492022042109015424903"</f>
        <v>38492022042109015424903</v>
      </c>
      <c r="C251" s="8" t="s">
        <v>12</v>
      </c>
      <c r="D251" s="8" t="str">
        <f>"丁子芹"</f>
        <v>丁子芹</v>
      </c>
      <c r="E251" s="8" t="str">
        <f>"女"</f>
        <v>女</v>
      </c>
    </row>
    <row r="252" spans="1:5" ht="30" customHeight="1">
      <c r="A252" s="8">
        <v>249</v>
      </c>
      <c r="B252" s="8" t="str">
        <f>"38492022042109035424926"</f>
        <v>38492022042109035424926</v>
      </c>
      <c r="C252" s="8" t="s">
        <v>12</v>
      </c>
      <c r="D252" s="8" t="str">
        <f>"王德新"</f>
        <v>王德新</v>
      </c>
      <c r="E252" s="8" t="str">
        <f>"男"</f>
        <v>男</v>
      </c>
    </row>
    <row r="253" spans="1:5" ht="30" customHeight="1">
      <c r="A253" s="8">
        <v>250</v>
      </c>
      <c r="B253" s="8" t="str">
        <f>"38492022042109040524931"</f>
        <v>38492022042109040524931</v>
      </c>
      <c r="C253" s="8" t="s">
        <v>12</v>
      </c>
      <c r="D253" s="8" t="str">
        <f>"陈正翠"</f>
        <v>陈正翠</v>
      </c>
      <c r="E253" s="8" t="str">
        <f>"女"</f>
        <v>女</v>
      </c>
    </row>
    <row r="254" spans="1:5" ht="30" customHeight="1">
      <c r="A254" s="8">
        <v>251</v>
      </c>
      <c r="B254" s="8" t="str">
        <f>"38492022042109251025182"</f>
        <v>38492022042109251025182</v>
      </c>
      <c r="C254" s="8" t="s">
        <v>12</v>
      </c>
      <c r="D254" s="8" t="str">
        <f>"高者苗"</f>
        <v>高者苗</v>
      </c>
      <c r="E254" s="8" t="str">
        <f>"女"</f>
        <v>女</v>
      </c>
    </row>
    <row r="255" spans="1:5" ht="30" customHeight="1">
      <c r="A255" s="8">
        <v>252</v>
      </c>
      <c r="B255" s="8" t="str">
        <f>"38492022042109294225238"</f>
        <v>38492022042109294225238</v>
      </c>
      <c r="C255" s="8" t="s">
        <v>12</v>
      </c>
      <c r="D255" s="8" t="str">
        <f>"符冬"</f>
        <v>符冬</v>
      </c>
      <c r="E255" s="8" t="str">
        <f>"女"</f>
        <v>女</v>
      </c>
    </row>
    <row r="256" spans="1:5" ht="30" customHeight="1">
      <c r="A256" s="8">
        <v>253</v>
      </c>
      <c r="B256" s="8" t="str">
        <f>"38492022042109414925385"</f>
        <v>38492022042109414925385</v>
      </c>
      <c r="C256" s="8" t="s">
        <v>12</v>
      </c>
      <c r="D256" s="8" t="str">
        <f>"王娟"</f>
        <v>王娟</v>
      </c>
      <c r="E256" s="8" t="str">
        <f>"女"</f>
        <v>女</v>
      </c>
    </row>
    <row r="257" spans="1:5" ht="30" customHeight="1">
      <c r="A257" s="8">
        <v>254</v>
      </c>
      <c r="B257" s="8" t="str">
        <f>"38492022042110153725824"</f>
        <v>38492022042110153725824</v>
      </c>
      <c r="C257" s="8" t="s">
        <v>12</v>
      </c>
      <c r="D257" s="8" t="str">
        <f>"郑杰友"</f>
        <v>郑杰友</v>
      </c>
      <c r="E257" s="8" t="str">
        <f>"男"</f>
        <v>男</v>
      </c>
    </row>
    <row r="258" spans="1:5" ht="30" customHeight="1">
      <c r="A258" s="8">
        <v>255</v>
      </c>
      <c r="B258" s="8" t="str">
        <f>"38492022042110553826320"</f>
        <v>38492022042110553826320</v>
      </c>
      <c r="C258" s="8" t="s">
        <v>12</v>
      </c>
      <c r="D258" s="8" t="str">
        <f>"金兆芹"</f>
        <v>金兆芹</v>
      </c>
      <c r="E258" s="8" t="str">
        <f>"女"</f>
        <v>女</v>
      </c>
    </row>
    <row r="259" spans="1:5" ht="30" customHeight="1">
      <c r="A259" s="8">
        <v>256</v>
      </c>
      <c r="B259" s="8" t="str">
        <f>"38492022042112563927256"</f>
        <v>38492022042112563927256</v>
      </c>
      <c r="C259" s="8" t="s">
        <v>12</v>
      </c>
      <c r="D259" s="8" t="str">
        <f>"苏思思"</f>
        <v>苏思思</v>
      </c>
      <c r="E259" s="8" t="str">
        <f>"女"</f>
        <v>女</v>
      </c>
    </row>
    <row r="260" spans="1:5" ht="30" customHeight="1">
      <c r="A260" s="8">
        <v>257</v>
      </c>
      <c r="B260" s="8" t="str">
        <f>"38492022042114514927897"</f>
        <v>38492022042114514927897</v>
      </c>
      <c r="C260" s="8" t="s">
        <v>12</v>
      </c>
      <c r="D260" s="8" t="str">
        <f>"李梦君"</f>
        <v>李梦君</v>
      </c>
      <c r="E260" s="8" t="str">
        <f>"女"</f>
        <v>女</v>
      </c>
    </row>
    <row r="261" spans="1:5" ht="30" customHeight="1">
      <c r="A261" s="8">
        <v>258</v>
      </c>
      <c r="B261" s="8" t="str">
        <f>"38492022042116341828683"</f>
        <v>38492022042116341828683</v>
      </c>
      <c r="C261" s="8" t="s">
        <v>12</v>
      </c>
      <c r="D261" s="8" t="str">
        <f>"李汶瑾"</f>
        <v>李汶瑾</v>
      </c>
      <c r="E261" s="8" t="str">
        <f>"男"</f>
        <v>男</v>
      </c>
    </row>
    <row r="262" spans="1:5" ht="30" customHeight="1">
      <c r="A262" s="8">
        <v>259</v>
      </c>
      <c r="B262" s="8" t="str">
        <f>"38492022042117504429152"</f>
        <v>38492022042117504429152</v>
      </c>
      <c r="C262" s="8" t="s">
        <v>12</v>
      </c>
      <c r="D262" s="8" t="str">
        <f>"陈彩丽"</f>
        <v>陈彩丽</v>
      </c>
      <c r="E262" s="8" t="str">
        <f>"女"</f>
        <v>女</v>
      </c>
    </row>
    <row r="263" spans="1:5" ht="30" customHeight="1">
      <c r="A263" s="8">
        <v>260</v>
      </c>
      <c r="B263" s="8" t="str">
        <f>"38492022042118515129407"</f>
        <v>38492022042118515129407</v>
      </c>
      <c r="C263" s="8" t="s">
        <v>12</v>
      </c>
      <c r="D263" s="8" t="str">
        <f>"单婉茹"</f>
        <v>单婉茹</v>
      </c>
      <c r="E263" s="8" t="str">
        <f>"女"</f>
        <v>女</v>
      </c>
    </row>
    <row r="264" spans="1:5" ht="30" customHeight="1">
      <c r="A264" s="8">
        <v>261</v>
      </c>
      <c r="B264" s="8" t="str">
        <f>"38492022042119151429514"</f>
        <v>38492022042119151429514</v>
      </c>
      <c r="C264" s="8" t="s">
        <v>12</v>
      </c>
      <c r="D264" s="8" t="str">
        <f>"黎焕堂"</f>
        <v>黎焕堂</v>
      </c>
      <c r="E264" s="8" t="str">
        <f>"男"</f>
        <v>男</v>
      </c>
    </row>
    <row r="265" spans="1:5" ht="30" customHeight="1">
      <c r="A265" s="8">
        <v>262</v>
      </c>
      <c r="B265" s="8" t="str">
        <f>"38492022042119155929518"</f>
        <v>38492022042119155929518</v>
      </c>
      <c r="C265" s="8" t="s">
        <v>12</v>
      </c>
      <c r="D265" s="8" t="str">
        <f>"董慧娟"</f>
        <v>董慧娟</v>
      </c>
      <c r="E265" s="8" t="str">
        <f>"女"</f>
        <v>女</v>
      </c>
    </row>
    <row r="266" spans="1:5" ht="30" customHeight="1">
      <c r="A266" s="8">
        <v>263</v>
      </c>
      <c r="B266" s="8" t="str">
        <f>"38492022042120254329834"</f>
        <v>38492022042120254329834</v>
      </c>
      <c r="C266" s="8" t="s">
        <v>12</v>
      </c>
      <c r="D266" s="8" t="str">
        <f>"潘玉蝶"</f>
        <v>潘玉蝶</v>
      </c>
      <c r="E266" s="8" t="str">
        <f>"女"</f>
        <v>女</v>
      </c>
    </row>
    <row r="267" spans="1:5" ht="30" customHeight="1">
      <c r="A267" s="8">
        <v>264</v>
      </c>
      <c r="B267" s="8" t="str">
        <f>"38492022042123281730738"</f>
        <v>38492022042123281730738</v>
      </c>
      <c r="C267" s="8" t="s">
        <v>12</v>
      </c>
      <c r="D267" s="8" t="str">
        <f>"陈惠"</f>
        <v>陈惠</v>
      </c>
      <c r="E267" s="8" t="str">
        <f>"女"</f>
        <v>女</v>
      </c>
    </row>
    <row r="268" spans="1:5" ht="30" customHeight="1">
      <c r="A268" s="8">
        <v>265</v>
      </c>
      <c r="B268" s="8" t="str">
        <f>"38492022042200332730839"</f>
        <v>38492022042200332730839</v>
      </c>
      <c r="C268" s="8" t="s">
        <v>12</v>
      </c>
      <c r="D268" s="8" t="str">
        <f>"苏丽丽"</f>
        <v>苏丽丽</v>
      </c>
      <c r="E268" s="8" t="str">
        <f>"女"</f>
        <v>女</v>
      </c>
    </row>
    <row r="269" spans="1:5" ht="30" customHeight="1">
      <c r="A269" s="8">
        <v>266</v>
      </c>
      <c r="B269" s="8" t="str">
        <f>"38492022042200393930841"</f>
        <v>38492022042200393930841</v>
      </c>
      <c r="C269" s="8" t="s">
        <v>12</v>
      </c>
      <c r="D269" s="8" t="str">
        <f>"杜兰菲"</f>
        <v>杜兰菲</v>
      </c>
      <c r="E269" s="8" t="str">
        <f>"女"</f>
        <v>女</v>
      </c>
    </row>
    <row r="270" spans="1:5" ht="30" customHeight="1">
      <c r="A270" s="8">
        <v>267</v>
      </c>
      <c r="B270" s="8" t="str">
        <f>"38492022042209402431327"</f>
        <v>38492022042209402431327</v>
      </c>
      <c r="C270" s="8" t="s">
        <v>12</v>
      </c>
      <c r="D270" s="8" t="str">
        <f>"兰王"</f>
        <v>兰王</v>
      </c>
      <c r="E270" s="8" t="str">
        <f>"男"</f>
        <v>男</v>
      </c>
    </row>
    <row r="271" spans="1:5" ht="30" customHeight="1">
      <c r="A271" s="8">
        <v>268</v>
      </c>
      <c r="B271" s="8" t="str">
        <f>"38492022042209551931403"</f>
        <v>38492022042209551931403</v>
      </c>
      <c r="C271" s="8" t="s">
        <v>12</v>
      </c>
      <c r="D271" s="8" t="str">
        <f>"符博霞"</f>
        <v>符博霞</v>
      </c>
      <c r="E271" s="8" t="str">
        <f>"女"</f>
        <v>女</v>
      </c>
    </row>
    <row r="272" spans="1:5" ht="30" customHeight="1">
      <c r="A272" s="8">
        <v>269</v>
      </c>
      <c r="B272" s="8" t="str">
        <f>"38492022042213364632827"</f>
        <v>38492022042213364632827</v>
      </c>
      <c r="C272" s="8" t="s">
        <v>12</v>
      </c>
      <c r="D272" s="8" t="str">
        <f>"陆玲"</f>
        <v>陆玲</v>
      </c>
      <c r="E272" s="8" t="str">
        <f>"女"</f>
        <v>女</v>
      </c>
    </row>
    <row r="273" spans="1:5" ht="30" customHeight="1">
      <c r="A273" s="8">
        <v>270</v>
      </c>
      <c r="B273" s="8" t="str">
        <f>"38492022042213463732846"</f>
        <v>38492022042213463732846</v>
      </c>
      <c r="C273" s="8" t="s">
        <v>12</v>
      </c>
      <c r="D273" s="8" t="str">
        <f>"林传琨"</f>
        <v>林传琨</v>
      </c>
      <c r="E273" s="8" t="str">
        <f>"男"</f>
        <v>男</v>
      </c>
    </row>
    <row r="274" spans="1:5" ht="30" customHeight="1">
      <c r="A274" s="8">
        <v>271</v>
      </c>
      <c r="B274" s="8" t="str">
        <f>"38492022042215370933384"</f>
        <v>38492022042215370933384</v>
      </c>
      <c r="C274" s="8" t="s">
        <v>12</v>
      </c>
      <c r="D274" s="8" t="str">
        <f>"黄志鸿"</f>
        <v>黄志鸿</v>
      </c>
      <c r="E274" s="8" t="str">
        <f>"男"</f>
        <v>男</v>
      </c>
    </row>
    <row r="275" spans="1:5" ht="30" customHeight="1">
      <c r="A275" s="8">
        <v>272</v>
      </c>
      <c r="B275" s="8" t="str">
        <f>"38492022042215541233500"</f>
        <v>38492022042215541233500</v>
      </c>
      <c r="C275" s="8" t="s">
        <v>12</v>
      </c>
      <c r="D275" s="8" t="str">
        <f>"苏惠"</f>
        <v>苏惠</v>
      </c>
      <c r="E275" s="8" t="str">
        <f>"女"</f>
        <v>女</v>
      </c>
    </row>
    <row r="276" spans="1:5" ht="30" customHeight="1">
      <c r="A276" s="8">
        <v>273</v>
      </c>
      <c r="B276" s="8" t="str">
        <f>"38492022042216405733802"</f>
        <v>38492022042216405733802</v>
      </c>
      <c r="C276" s="8" t="s">
        <v>12</v>
      </c>
      <c r="D276" s="8" t="str">
        <f>"孙学新"</f>
        <v>孙学新</v>
      </c>
      <c r="E276" s="8" t="str">
        <f>"男"</f>
        <v>男</v>
      </c>
    </row>
    <row r="277" spans="1:5" ht="30" customHeight="1">
      <c r="A277" s="8">
        <v>274</v>
      </c>
      <c r="B277" s="8" t="str">
        <f>"38492022042217013533944"</f>
        <v>38492022042217013533944</v>
      </c>
      <c r="C277" s="8" t="s">
        <v>12</v>
      </c>
      <c r="D277" s="8" t="str">
        <f>"陈世倩"</f>
        <v>陈世倩</v>
      </c>
      <c r="E277" s="8" t="str">
        <f>"女"</f>
        <v>女</v>
      </c>
    </row>
    <row r="278" spans="1:5" ht="30" customHeight="1">
      <c r="A278" s="8">
        <v>275</v>
      </c>
      <c r="B278" s="8" t="str">
        <f>"38492022042222180734726"</f>
        <v>38492022042222180734726</v>
      </c>
      <c r="C278" s="8" t="s">
        <v>12</v>
      </c>
      <c r="D278" s="8" t="str">
        <f>"陈小精"</f>
        <v>陈小精</v>
      </c>
      <c r="E278" s="8" t="str">
        <f>"男"</f>
        <v>男</v>
      </c>
    </row>
    <row r="279" spans="1:5" ht="30" customHeight="1">
      <c r="A279" s="8">
        <v>276</v>
      </c>
      <c r="B279" s="8" t="str">
        <f>"38492022042315015235378"</f>
        <v>38492022042315015235378</v>
      </c>
      <c r="C279" s="8" t="s">
        <v>12</v>
      </c>
      <c r="D279" s="8" t="str">
        <f>"许彬彬"</f>
        <v>许彬彬</v>
      </c>
      <c r="E279" s="8" t="str">
        <f>"女"</f>
        <v>女</v>
      </c>
    </row>
    <row r="280" spans="1:5" ht="30" customHeight="1">
      <c r="A280" s="8">
        <v>277</v>
      </c>
      <c r="B280" s="8" t="str">
        <f>"38492022042321042135841"</f>
        <v>38492022042321042135841</v>
      </c>
      <c r="C280" s="8" t="s">
        <v>12</v>
      </c>
      <c r="D280" s="8" t="str">
        <f>"林珍"</f>
        <v>林珍</v>
      </c>
      <c r="E280" s="8" t="str">
        <f>"女"</f>
        <v>女</v>
      </c>
    </row>
    <row r="281" spans="1:5" ht="30" customHeight="1">
      <c r="A281" s="8">
        <v>278</v>
      </c>
      <c r="B281" s="8" t="str">
        <f>"38492022042321105135850"</f>
        <v>38492022042321105135850</v>
      </c>
      <c r="C281" s="8" t="s">
        <v>12</v>
      </c>
      <c r="D281" s="8" t="str">
        <f>"程渝斯"</f>
        <v>程渝斯</v>
      </c>
      <c r="E281" s="8" t="str">
        <f>"男"</f>
        <v>男</v>
      </c>
    </row>
    <row r="282" spans="1:5" ht="30" customHeight="1">
      <c r="A282" s="8">
        <v>279</v>
      </c>
      <c r="B282" s="8" t="str">
        <f>"38492022042323050236054"</f>
        <v>38492022042323050236054</v>
      </c>
      <c r="C282" s="8" t="s">
        <v>12</v>
      </c>
      <c r="D282" s="8" t="str">
        <f>"彭芳梅"</f>
        <v>彭芳梅</v>
      </c>
      <c r="E282" s="8" t="str">
        <f aca="true" t="shared" si="47" ref="E282:E289">"女"</f>
        <v>女</v>
      </c>
    </row>
    <row r="283" spans="1:5" ht="30" customHeight="1">
      <c r="A283" s="8">
        <v>280</v>
      </c>
      <c r="B283" s="8" t="str">
        <f>"38492022042323083436061"</f>
        <v>38492022042323083436061</v>
      </c>
      <c r="C283" s="8" t="s">
        <v>12</v>
      </c>
      <c r="D283" s="8" t="str">
        <f>"彭开滢"</f>
        <v>彭开滢</v>
      </c>
      <c r="E283" s="8" t="str">
        <f t="shared" si="47"/>
        <v>女</v>
      </c>
    </row>
    <row r="284" spans="1:5" ht="30" customHeight="1">
      <c r="A284" s="8">
        <v>281</v>
      </c>
      <c r="B284" s="8" t="str">
        <f>"38492022042323500336098"</f>
        <v>38492022042323500336098</v>
      </c>
      <c r="C284" s="8" t="s">
        <v>12</v>
      </c>
      <c r="D284" s="8" t="str">
        <f>"蔡雪薇"</f>
        <v>蔡雪薇</v>
      </c>
      <c r="E284" s="8" t="str">
        <f t="shared" si="47"/>
        <v>女</v>
      </c>
    </row>
    <row r="285" spans="1:5" ht="30" customHeight="1">
      <c r="A285" s="8">
        <v>282</v>
      </c>
      <c r="B285" s="8" t="str">
        <f>"38492022042411071136500"</f>
        <v>38492022042411071136500</v>
      </c>
      <c r="C285" s="8" t="s">
        <v>12</v>
      </c>
      <c r="D285" s="8" t="str">
        <f>"符蓉"</f>
        <v>符蓉</v>
      </c>
      <c r="E285" s="8" t="str">
        <f t="shared" si="47"/>
        <v>女</v>
      </c>
    </row>
    <row r="286" spans="1:5" ht="30" customHeight="1">
      <c r="A286" s="8">
        <v>283</v>
      </c>
      <c r="B286" s="8" t="str">
        <f>"38492022042415252236907"</f>
        <v>38492022042415252236907</v>
      </c>
      <c r="C286" s="8" t="s">
        <v>12</v>
      </c>
      <c r="D286" s="8" t="str">
        <f>"王苑苑"</f>
        <v>王苑苑</v>
      </c>
      <c r="E286" s="8" t="str">
        <f t="shared" si="47"/>
        <v>女</v>
      </c>
    </row>
    <row r="287" spans="1:5" ht="30" customHeight="1">
      <c r="A287" s="8">
        <v>284</v>
      </c>
      <c r="B287" s="8" t="str">
        <f>"38492022042416083737011"</f>
        <v>38492022042416083737011</v>
      </c>
      <c r="C287" s="8" t="s">
        <v>12</v>
      </c>
      <c r="D287" s="8" t="str">
        <f>"黎吉妹"</f>
        <v>黎吉妹</v>
      </c>
      <c r="E287" s="8" t="str">
        <f t="shared" si="47"/>
        <v>女</v>
      </c>
    </row>
    <row r="288" spans="1:5" ht="30" customHeight="1">
      <c r="A288" s="8">
        <v>285</v>
      </c>
      <c r="B288" s="8" t="str">
        <f>"38492022042416272437051"</f>
        <v>38492022042416272437051</v>
      </c>
      <c r="C288" s="8" t="s">
        <v>12</v>
      </c>
      <c r="D288" s="8" t="str">
        <f>"符虹"</f>
        <v>符虹</v>
      </c>
      <c r="E288" s="8" t="str">
        <f t="shared" si="47"/>
        <v>女</v>
      </c>
    </row>
    <row r="289" spans="1:5" ht="30" customHeight="1">
      <c r="A289" s="8">
        <v>286</v>
      </c>
      <c r="B289" s="8" t="str">
        <f>"38492022042416302237059"</f>
        <v>38492022042416302237059</v>
      </c>
      <c r="C289" s="8" t="s">
        <v>12</v>
      </c>
      <c r="D289" s="8" t="str">
        <f>"刘健姝"</f>
        <v>刘健姝</v>
      </c>
      <c r="E289" s="8" t="str">
        <f t="shared" si="47"/>
        <v>女</v>
      </c>
    </row>
    <row r="290" spans="1:5" ht="30" customHeight="1">
      <c r="A290" s="8">
        <v>287</v>
      </c>
      <c r="B290" s="8" t="str">
        <f>"38492022042416453237101"</f>
        <v>38492022042416453237101</v>
      </c>
      <c r="C290" s="8" t="s">
        <v>12</v>
      </c>
      <c r="D290" s="8" t="str">
        <f>"吴燕锋"</f>
        <v>吴燕锋</v>
      </c>
      <c r="E290" s="8" t="str">
        <f>"男"</f>
        <v>男</v>
      </c>
    </row>
    <row r="291" spans="1:5" ht="30" customHeight="1">
      <c r="A291" s="8">
        <v>288</v>
      </c>
      <c r="B291" s="8" t="str">
        <f>"38492022042418422737296"</f>
        <v>38492022042418422737296</v>
      </c>
      <c r="C291" s="8" t="s">
        <v>12</v>
      </c>
      <c r="D291" s="8" t="str">
        <f>"王丽娟"</f>
        <v>王丽娟</v>
      </c>
      <c r="E291" s="8" t="str">
        <f>"女"</f>
        <v>女</v>
      </c>
    </row>
    <row r="292" spans="1:5" ht="30" customHeight="1">
      <c r="A292" s="8">
        <v>289</v>
      </c>
      <c r="B292" s="8" t="str">
        <f>"38492022042419001437320"</f>
        <v>38492022042419001437320</v>
      </c>
      <c r="C292" s="8" t="s">
        <v>12</v>
      </c>
      <c r="D292" s="8" t="str">
        <f>"丁紫欣"</f>
        <v>丁紫欣</v>
      </c>
      <c r="E292" s="8" t="str">
        <f>"女"</f>
        <v>女</v>
      </c>
    </row>
    <row r="293" spans="1:5" ht="30" customHeight="1">
      <c r="A293" s="8">
        <v>290</v>
      </c>
      <c r="B293" s="8" t="str">
        <f>"38492022042421130837529"</f>
        <v>38492022042421130837529</v>
      </c>
      <c r="C293" s="8" t="s">
        <v>12</v>
      </c>
      <c r="D293" s="8" t="str">
        <f>"司徒慧敏"</f>
        <v>司徒慧敏</v>
      </c>
      <c r="E293" s="8" t="str">
        <f>"女"</f>
        <v>女</v>
      </c>
    </row>
    <row r="294" spans="1:5" ht="30" customHeight="1">
      <c r="A294" s="8">
        <v>291</v>
      </c>
      <c r="B294" s="8" t="str">
        <f>"38492022042422021537599"</f>
        <v>38492022042422021537599</v>
      </c>
      <c r="C294" s="8" t="s">
        <v>12</v>
      </c>
      <c r="D294" s="8" t="str">
        <f>"吴宗旺"</f>
        <v>吴宗旺</v>
      </c>
      <c r="E294" s="8" t="str">
        <f>"男"</f>
        <v>男</v>
      </c>
    </row>
    <row r="295" spans="1:5" ht="30" customHeight="1">
      <c r="A295" s="8">
        <v>292</v>
      </c>
      <c r="B295" s="8" t="str">
        <f>"38492022042422410637659"</f>
        <v>38492022042422410637659</v>
      </c>
      <c r="C295" s="8" t="s">
        <v>12</v>
      </c>
      <c r="D295" s="8" t="str">
        <f>"李梦怡"</f>
        <v>李梦怡</v>
      </c>
      <c r="E295" s="8" t="str">
        <f>"女"</f>
        <v>女</v>
      </c>
    </row>
    <row r="296" spans="1:5" ht="30" customHeight="1">
      <c r="A296" s="8">
        <v>293</v>
      </c>
      <c r="B296" s="8" t="str">
        <f>"38492022042422425637665"</f>
        <v>38492022042422425637665</v>
      </c>
      <c r="C296" s="8" t="s">
        <v>12</v>
      </c>
      <c r="D296" s="8" t="str">
        <f>"李雪芳"</f>
        <v>李雪芳</v>
      </c>
      <c r="E296" s="8" t="str">
        <f>"女"</f>
        <v>女</v>
      </c>
    </row>
    <row r="297" spans="1:5" ht="30" customHeight="1">
      <c r="A297" s="8">
        <v>294</v>
      </c>
      <c r="B297" s="8" t="str">
        <f>"38492022042509124037855"</f>
        <v>38492022042509124037855</v>
      </c>
      <c r="C297" s="8" t="s">
        <v>12</v>
      </c>
      <c r="D297" s="8" t="str">
        <f>"王植奕"</f>
        <v>王植奕</v>
      </c>
      <c r="E297" s="8" t="str">
        <f>"男"</f>
        <v>男</v>
      </c>
    </row>
    <row r="298" spans="1:5" ht="30" customHeight="1">
      <c r="A298" s="8">
        <v>295</v>
      </c>
      <c r="B298" s="8" t="str">
        <f>"38492022042512253738167"</f>
        <v>38492022042512253738167</v>
      </c>
      <c r="C298" s="8" t="s">
        <v>12</v>
      </c>
      <c r="D298" s="8" t="str">
        <f>"王亚蕊"</f>
        <v>王亚蕊</v>
      </c>
      <c r="E298" s="8" t="str">
        <f>"女"</f>
        <v>女</v>
      </c>
    </row>
    <row r="299" spans="1:5" ht="30" customHeight="1">
      <c r="A299" s="8">
        <v>296</v>
      </c>
      <c r="B299" s="8" t="str">
        <f>"38492022042519180638705"</f>
        <v>38492022042519180638705</v>
      </c>
      <c r="C299" s="8" t="s">
        <v>12</v>
      </c>
      <c r="D299" s="8" t="str">
        <f>"洪杰英"</f>
        <v>洪杰英</v>
      </c>
      <c r="E299" s="8" t="str">
        <f>"男"</f>
        <v>男</v>
      </c>
    </row>
    <row r="300" spans="1:5" ht="30" customHeight="1">
      <c r="A300" s="8">
        <v>297</v>
      </c>
      <c r="B300" s="8" t="str">
        <f>"38492022042520532238814"</f>
        <v>38492022042520532238814</v>
      </c>
      <c r="C300" s="8" t="s">
        <v>12</v>
      </c>
      <c r="D300" s="8" t="str">
        <f>"谢杏楼"</f>
        <v>谢杏楼</v>
      </c>
      <c r="E300" s="8" t="str">
        <f aca="true" t="shared" si="48" ref="E300:E305">"女"</f>
        <v>女</v>
      </c>
    </row>
    <row r="301" spans="1:5" ht="30" customHeight="1">
      <c r="A301" s="8">
        <v>298</v>
      </c>
      <c r="B301" s="8" t="str">
        <f>"38492022042521445238888"</f>
        <v>38492022042521445238888</v>
      </c>
      <c r="C301" s="8" t="s">
        <v>12</v>
      </c>
      <c r="D301" s="8" t="str">
        <f>"郭冰霞"</f>
        <v>郭冰霞</v>
      </c>
      <c r="E301" s="8" t="str">
        <f t="shared" si="48"/>
        <v>女</v>
      </c>
    </row>
    <row r="302" spans="1:5" ht="30" customHeight="1">
      <c r="A302" s="8">
        <v>299</v>
      </c>
      <c r="B302" s="8" t="str">
        <f>"38492022042521555638904"</f>
        <v>38492022042521555638904</v>
      </c>
      <c r="C302" s="8" t="s">
        <v>12</v>
      </c>
      <c r="D302" s="8" t="str">
        <f>"侯春婷"</f>
        <v>侯春婷</v>
      </c>
      <c r="E302" s="8" t="str">
        <f t="shared" si="48"/>
        <v>女</v>
      </c>
    </row>
    <row r="303" spans="1:5" ht="30" customHeight="1">
      <c r="A303" s="8">
        <v>300</v>
      </c>
      <c r="B303" s="8" t="str">
        <f>"38492022042522425238970"</f>
        <v>38492022042522425238970</v>
      </c>
      <c r="C303" s="8" t="s">
        <v>12</v>
      </c>
      <c r="D303" s="8" t="str">
        <f>"邱丽"</f>
        <v>邱丽</v>
      </c>
      <c r="E303" s="8" t="str">
        <f t="shared" si="48"/>
        <v>女</v>
      </c>
    </row>
    <row r="304" spans="1:5" ht="30" customHeight="1">
      <c r="A304" s="8">
        <v>301</v>
      </c>
      <c r="B304" s="8" t="str">
        <f>"38492022042600502239081"</f>
        <v>38492022042600502239081</v>
      </c>
      <c r="C304" s="8" t="s">
        <v>12</v>
      </c>
      <c r="D304" s="8" t="str">
        <f>"叶金秋"</f>
        <v>叶金秋</v>
      </c>
      <c r="E304" s="8" t="str">
        <f t="shared" si="48"/>
        <v>女</v>
      </c>
    </row>
    <row r="305" spans="1:5" ht="30" customHeight="1">
      <c r="A305" s="8">
        <v>302</v>
      </c>
      <c r="B305" s="8" t="str">
        <f>"38492022042611025339352"</f>
        <v>38492022042611025339352</v>
      </c>
      <c r="C305" s="8" t="s">
        <v>12</v>
      </c>
      <c r="D305" s="8" t="str">
        <f>"王垂丽"</f>
        <v>王垂丽</v>
      </c>
      <c r="E305" s="8" t="str">
        <f t="shared" si="48"/>
        <v>女</v>
      </c>
    </row>
    <row r="306" spans="1:5" ht="30" customHeight="1">
      <c r="A306" s="8">
        <v>303</v>
      </c>
      <c r="B306" s="8" t="str">
        <f>"38492022042611560539426"</f>
        <v>38492022042611560539426</v>
      </c>
      <c r="C306" s="8" t="s">
        <v>12</v>
      </c>
      <c r="D306" s="8" t="str">
        <f>"徐日祺"</f>
        <v>徐日祺</v>
      </c>
      <c r="E306" s="8" t="str">
        <f>"男"</f>
        <v>男</v>
      </c>
    </row>
    <row r="307" spans="1:5" ht="30" customHeight="1">
      <c r="A307" s="8">
        <v>304</v>
      </c>
      <c r="B307" s="8" t="str">
        <f>"38492022042612370239485"</f>
        <v>38492022042612370239485</v>
      </c>
      <c r="C307" s="8" t="s">
        <v>12</v>
      </c>
      <c r="D307" s="8" t="str">
        <f>"羊淑香"</f>
        <v>羊淑香</v>
      </c>
      <c r="E307" s="8" t="str">
        <f>"女"</f>
        <v>女</v>
      </c>
    </row>
    <row r="308" spans="1:5" ht="30" customHeight="1">
      <c r="A308" s="8">
        <v>305</v>
      </c>
      <c r="B308" s="8" t="str">
        <f>"38492022042613044539520"</f>
        <v>38492022042613044539520</v>
      </c>
      <c r="C308" s="8" t="s">
        <v>12</v>
      </c>
      <c r="D308" s="8" t="str">
        <f>"张杏"</f>
        <v>张杏</v>
      </c>
      <c r="E308" s="8" t="str">
        <f>"女"</f>
        <v>女</v>
      </c>
    </row>
    <row r="309" spans="1:5" ht="30" customHeight="1">
      <c r="A309" s="8">
        <v>306</v>
      </c>
      <c r="B309" s="8" t="str">
        <f>"38492022042616192139786"</f>
        <v>38492022042616192139786</v>
      </c>
      <c r="C309" s="8" t="s">
        <v>12</v>
      </c>
      <c r="D309" s="8" t="str">
        <f>"陈尔殷"</f>
        <v>陈尔殷</v>
      </c>
      <c r="E309" s="8" t="str">
        <f>"男"</f>
        <v>男</v>
      </c>
    </row>
    <row r="310" spans="1:5" ht="30" customHeight="1">
      <c r="A310" s="8">
        <v>307</v>
      </c>
      <c r="B310" s="8" t="str">
        <f>"38492022042616260639801"</f>
        <v>38492022042616260639801</v>
      </c>
      <c r="C310" s="8" t="s">
        <v>12</v>
      </c>
      <c r="D310" s="8" t="str">
        <f>"黄娇"</f>
        <v>黄娇</v>
      </c>
      <c r="E310" s="8" t="str">
        <f>"女"</f>
        <v>女</v>
      </c>
    </row>
    <row r="311" spans="1:5" ht="30" customHeight="1">
      <c r="A311" s="8">
        <v>308</v>
      </c>
      <c r="B311" s="8" t="str">
        <f>"38492022042616360639828"</f>
        <v>38492022042616360639828</v>
      </c>
      <c r="C311" s="8" t="s">
        <v>12</v>
      </c>
      <c r="D311" s="8" t="str">
        <f>"余冰月"</f>
        <v>余冰月</v>
      </c>
      <c r="E311" s="8" t="str">
        <f>"女"</f>
        <v>女</v>
      </c>
    </row>
    <row r="312" spans="1:5" ht="30" customHeight="1">
      <c r="A312" s="8">
        <v>309</v>
      </c>
      <c r="B312" s="8" t="str">
        <f>"38492022042616550739868"</f>
        <v>38492022042616550739868</v>
      </c>
      <c r="C312" s="8" t="s">
        <v>12</v>
      </c>
      <c r="D312" s="8" t="str">
        <f>"吴兴美"</f>
        <v>吴兴美</v>
      </c>
      <c r="E312" s="8" t="str">
        <f>"女"</f>
        <v>女</v>
      </c>
    </row>
    <row r="313" spans="1:5" ht="30" customHeight="1">
      <c r="A313" s="8">
        <v>310</v>
      </c>
      <c r="B313" s="8" t="str">
        <f>"38492022042618065739958"</f>
        <v>38492022042618065739958</v>
      </c>
      <c r="C313" s="8" t="s">
        <v>12</v>
      </c>
      <c r="D313" s="8" t="str">
        <f>"陈秀妃"</f>
        <v>陈秀妃</v>
      </c>
      <c r="E313" s="8" t="str">
        <f>"女"</f>
        <v>女</v>
      </c>
    </row>
    <row r="314" spans="1:5" ht="30" customHeight="1">
      <c r="A314" s="8">
        <v>311</v>
      </c>
      <c r="B314" s="8" t="str">
        <f>"38492022042620340940149"</f>
        <v>38492022042620340940149</v>
      </c>
      <c r="C314" s="8" t="s">
        <v>12</v>
      </c>
      <c r="D314" s="8" t="str">
        <f>"黎春花"</f>
        <v>黎春花</v>
      </c>
      <c r="E314" s="8" t="str">
        <f>"女"</f>
        <v>女</v>
      </c>
    </row>
    <row r="315" spans="1:5" ht="30" customHeight="1">
      <c r="A315" s="8">
        <v>312</v>
      </c>
      <c r="B315" s="8" t="str">
        <f>"38492022042623060040411"</f>
        <v>38492022042623060040411</v>
      </c>
      <c r="C315" s="8" t="s">
        <v>12</v>
      </c>
      <c r="D315" s="8" t="str">
        <f>"吴启荣"</f>
        <v>吴启荣</v>
      </c>
      <c r="E315" s="8" t="str">
        <f>"男"</f>
        <v>男</v>
      </c>
    </row>
    <row r="316" spans="1:5" ht="30" customHeight="1">
      <c r="A316" s="8">
        <v>313</v>
      </c>
      <c r="B316" s="8" t="str">
        <f>"38492022042708002640575"</f>
        <v>38492022042708002640575</v>
      </c>
      <c r="C316" s="8" t="s">
        <v>12</v>
      </c>
      <c r="D316" s="8" t="str">
        <f>"李芳湟"</f>
        <v>李芳湟</v>
      </c>
      <c r="E316" s="8" t="str">
        <f>"男"</f>
        <v>男</v>
      </c>
    </row>
    <row r="317" spans="1:5" ht="30" customHeight="1">
      <c r="A317" s="8">
        <v>314</v>
      </c>
      <c r="B317" s="8" t="str">
        <f>"38492022042708432140617"</f>
        <v>38492022042708432140617</v>
      </c>
      <c r="C317" s="8" t="s">
        <v>12</v>
      </c>
      <c r="D317" s="8" t="str">
        <f>"蒲洁霞"</f>
        <v>蒲洁霞</v>
      </c>
      <c r="E317" s="8" t="str">
        <f>"女"</f>
        <v>女</v>
      </c>
    </row>
    <row r="318" spans="1:5" ht="30" customHeight="1">
      <c r="A318" s="8">
        <v>315</v>
      </c>
      <c r="B318" s="8" t="str">
        <f>"38492022042710370241836"</f>
        <v>38492022042710370241836</v>
      </c>
      <c r="C318" s="8" t="s">
        <v>12</v>
      </c>
      <c r="D318" s="8" t="str">
        <f>"蒋严"</f>
        <v>蒋严</v>
      </c>
      <c r="E318" s="8" t="str">
        <f>"女"</f>
        <v>女</v>
      </c>
    </row>
    <row r="319" spans="1:5" ht="30" customHeight="1">
      <c r="A319" s="8">
        <v>316</v>
      </c>
      <c r="B319" s="8" t="str">
        <f>"38492022042712493242852"</f>
        <v>38492022042712493242852</v>
      </c>
      <c r="C319" s="8" t="s">
        <v>12</v>
      </c>
      <c r="D319" s="8" t="str">
        <f>"杨惠"</f>
        <v>杨惠</v>
      </c>
      <c r="E319" s="8" t="str">
        <f>"女"</f>
        <v>女</v>
      </c>
    </row>
    <row r="320" spans="1:5" ht="30" customHeight="1">
      <c r="A320" s="8">
        <v>317</v>
      </c>
      <c r="B320" s="8" t="str">
        <f>"38492022042713004542926"</f>
        <v>38492022042713004542926</v>
      </c>
      <c r="C320" s="8" t="s">
        <v>12</v>
      </c>
      <c r="D320" s="8" t="str">
        <f>"周丽婷"</f>
        <v>周丽婷</v>
      </c>
      <c r="E320" s="8" t="str">
        <f>"女"</f>
        <v>女</v>
      </c>
    </row>
    <row r="321" spans="1:5" ht="30" customHeight="1">
      <c r="A321" s="8">
        <v>318</v>
      </c>
      <c r="B321" s="8" t="str">
        <f>"38492022042109003724884"</f>
        <v>38492022042109003724884</v>
      </c>
      <c r="C321" s="8" t="s">
        <v>13</v>
      </c>
      <c r="D321" s="8" t="str">
        <f>"王升杰"</f>
        <v>王升杰</v>
      </c>
      <c r="E321" s="8" t="str">
        <f>"男"</f>
        <v>男</v>
      </c>
    </row>
    <row r="322" spans="1:5" ht="30" customHeight="1">
      <c r="A322" s="8">
        <v>319</v>
      </c>
      <c r="B322" s="8" t="str">
        <f>"38492022042109035924929"</f>
        <v>38492022042109035924929</v>
      </c>
      <c r="C322" s="8" t="s">
        <v>13</v>
      </c>
      <c r="D322" s="8" t="str">
        <f>"何婧"</f>
        <v>何婧</v>
      </c>
      <c r="E322" s="8" t="str">
        <f>"女"</f>
        <v>女</v>
      </c>
    </row>
    <row r="323" spans="1:5" ht="30" customHeight="1">
      <c r="A323" s="8">
        <v>320</v>
      </c>
      <c r="B323" s="8" t="str">
        <f>"38492022042109041524935"</f>
        <v>38492022042109041524935</v>
      </c>
      <c r="C323" s="8" t="s">
        <v>13</v>
      </c>
      <c r="D323" s="8" t="str">
        <f>"符永佳"</f>
        <v>符永佳</v>
      </c>
      <c r="E323" s="8" t="str">
        <f>"女"</f>
        <v>女</v>
      </c>
    </row>
    <row r="324" spans="1:5" ht="30" customHeight="1">
      <c r="A324" s="8">
        <v>321</v>
      </c>
      <c r="B324" s="8" t="str">
        <f>"38492022042109072824977"</f>
        <v>38492022042109072824977</v>
      </c>
      <c r="C324" s="8" t="s">
        <v>13</v>
      </c>
      <c r="D324" s="8" t="str">
        <f>"林丽珍"</f>
        <v>林丽珍</v>
      </c>
      <c r="E324" s="8" t="str">
        <f>"女"</f>
        <v>女</v>
      </c>
    </row>
    <row r="325" spans="1:5" ht="30" customHeight="1">
      <c r="A325" s="8">
        <v>322</v>
      </c>
      <c r="B325" s="8" t="str">
        <f>"38492022042109074824981"</f>
        <v>38492022042109074824981</v>
      </c>
      <c r="C325" s="8" t="s">
        <v>13</v>
      </c>
      <c r="D325" s="8" t="str">
        <f>"徐雄姣"</f>
        <v>徐雄姣</v>
      </c>
      <c r="E325" s="8" t="str">
        <f>"女"</f>
        <v>女</v>
      </c>
    </row>
    <row r="326" spans="1:5" ht="30" customHeight="1">
      <c r="A326" s="8">
        <v>323</v>
      </c>
      <c r="B326" s="8" t="str">
        <f>"38492022042109291125228"</f>
        <v>38492022042109291125228</v>
      </c>
      <c r="C326" s="8" t="s">
        <v>13</v>
      </c>
      <c r="D326" s="8" t="str">
        <f>"文跃"</f>
        <v>文跃</v>
      </c>
      <c r="E326" s="8" t="str">
        <f>"男"</f>
        <v>男</v>
      </c>
    </row>
    <row r="327" spans="1:5" ht="30" customHeight="1">
      <c r="A327" s="8">
        <v>324</v>
      </c>
      <c r="B327" s="8" t="str">
        <f>"38492022042109390525354"</f>
        <v>38492022042109390525354</v>
      </c>
      <c r="C327" s="8" t="s">
        <v>13</v>
      </c>
      <c r="D327" s="8" t="str">
        <f>"翁琼霞"</f>
        <v>翁琼霞</v>
      </c>
      <c r="E327" s="8" t="str">
        <f>"女"</f>
        <v>女</v>
      </c>
    </row>
    <row r="328" spans="1:5" ht="30" customHeight="1">
      <c r="A328" s="8">
        <v>325</v>
      </c>
      <c r="B328" s="8" t="str">
        <f>"38492022042109484525474"</f>
        <v>38492022042109484525474</v>
      </c>
      <c r="C328" s="8" t="s">
        <v>13</v>
      </c>
      <c r="D328" s="8" t="str">
        <f>"李秀弦"</f>
        <v>李秀弦</v>
      </c>
      <c r="E328" s="8" t="str">
        <f>"女"</f>
        <v>女</v>
      </c>
    </row>
    <row r="329" spans="1:5" ht="30" customHeight="1">
      <c r="A329" s="8">
        <v>326</v>
      </c>
      <c r="B329" s="8" t="str">
        <f>"38492022042109492025480"</f>
        <v>38492022042109492025480</v>
      </c>
      <c r="C329" s="8" t="s">
        <v>13</v>
      </c>
      <c r="D329" s="8" t="str">
        <f>"王晓菊"</f>
        <v>王晓菊</v>
      </c>
      <c r="E329" s="8" t="str">
        <f>"女"</f>
        <v>女</v>
      </c>
    </row>
    <row r="330" spans="1:5" ht="30" customHeight="1">
      <c r="A330" s="8">
        <v>327</v>
      </c>
      <c r="B330" s="8" t="str">
        <f>"38492022042109531125529"</f>
        <v>38492022042109531125529</v>
      </c>
      <c r="C330" s="8" t="s">
        <v>13</v>
      </c>
      <c r="D330" s="8" t="str">
        <f>"符玫"</f>
        <v>符玫</v>
      </c>
      <c r="E330" s="8" t="str">
        <f>"女"</f>
        <v>女</v>
      </c>
    </row>
    <row r="331" spans="1:5" ht="30" customHeight="1">
      <c r="A331" s="8">
        <v>328</v>
      </c>
      <c r="B331" s="8" t="str">
        <f>"38492022042110062325709"</f>
        <v>38492022042110062325709</v>
      </c>
      <c r="C331" s="8" t="s">
        <v>13</v>
      </c>
      <c r="D331" s="8" t="str">
        <f>"陈世珲"</f>
        <v>陈世珲</v>
      </c>
      <c r="E331" s="8" t="str">
        <f>"男"</f>
        <v>男</v>
      </c>
    </row>
    <row r="332" spans="1:5" ht="30" customHeight="1">
      <c r="A332" s="8">
        <v>329</v>
      </c>
      <c r="B332" s="8" t="str">
        <f>"38492022042110174025850"</f>
        <v>38492022042110174025850</v>
      </c>
      <c r="C332" s="8" t="s">
        <v>13</v>
      </c>
      <c r="D332" s="8" t="str">
        <f>"符克播"</f>
        <v>符克播</v>
      </c>
      <c r="E332" s="8" t="str">
        <f>"男"</f>
        <v>男</v>
      </c>
    </row>
    <row r="333" spans="1:5" ht="30" customHeight="1">
      <c r="A333" s="8">
        <v>330</v>
      </c>
      <c r="B333" s="8" t="str">
        <f>"38492022042110222025904"</f>
        <v>38492022042110222025904</v>
      </c>
      <c r="C333" s="8" t="s">
        <v>13</v>
      </c>
      <c r="D333" s="8" t="str">
        <f>"李颖"</f>
        <v>李颖</v>
      </c>
      <c r="E333" s="8" t="str">
        <f>"女"</f>
        <v>女</v>
      </c>
    </row>
    <row r="334" spans="1:5" ht="30" customHeight="1">
      <c r="A334" s="8">
        <v>331</v>
      </c>
      <c r="B334" s="8" t="str">
        <f>"38492022042110282625995"</f>
        <v>38492022042110282625995</v>
      </c>
      <c r="C334" s="8" t="s">
        <v>13</v>
      </c>
      <c r="D334" s="8" t="str">
        <f>"李厚泽"</f>
        <v>李厚泽</v>
      </c>
      <c r="E334" s="8" t="str">
        <f>"男"</f>
        <v>男</v>
      </c>
    </row>
    <row r="335" spans="1:5" ht="30" customHeight="1">
      <c r="A335" s="8">
        <v>332</v>
      </c>
      <c r="B335" s="8" t="str">
        <f>"38492022042110403426137"</f>
        <v>38492022042110403426137</v>
      </c>
      <c r="C335" s="8" t="s">
        <v>13</v>
      </c>
      <c r="D335" s="8" t="str">
        <f>"黎颖聪"</f>
        <v>黎颖聪</v>
      </c>
      <c r="E335" s="8" t="str">
        <f>"男"</f>
        <v>男</v>
      </c>
    </row>
    <row r="336" spans="1:5" ht="30" customHeight="1">
      <c r="A336" s="8">
        <v>333</v>
      </c>
      <c r="B336" s="8" t="str">
        <f>"38492022042110452726200"</f>
        <v>38492022042110452726200</v>
      </c>
      <c r="C336" s="8" t="s">
        <v>13</v>
      </c>
      <c r="D336" s="8" t="str">
        <f>"黄蕾"</f>
        <v>黄蕾</v>
      </c>
      <c r="E336" s="8" t="str">
        <f>"女"</f>
        <v>女</v>
      </c>
    </row>
    <row r="337" spans="1:5" ht="30" customHeight="1">
      <c r="A337" s="8">
        <v>334</v>
      </c>
      <c r="B337" s="8" t="str">
        <f>"38492022042110495126258"</f>
        <v>38492022042110495126258</v>
      </c>
      <c r="C337" s="8" t="s">
        <v>13</v>
      </c>
      <c r="D337" s="8" t="str">
        <f>"吴桂玲"</f>
        <v>吴桂玲</v>
      </c>
      <c r="E337" s="8" t="str">
        <f>"女"</f>
        <v>女</v>
      </c>
    </row>
    <row r="338" spans="1:5" ht="30" customHeight="1">
      <c r="A338" s="8">
        <v>335</v>
      </c>
      <c r="B338" s="8" t="str">
        <f>"38492022042110511026278"</f>
        <v>38492022042110511026278</v>
      </c>
      <c r="C338" s="8" t="s">
        <v>13</v>
      </c>
      <c r="D338" s="8" t="str">
        <f>"卢桐"</f>
        <v>卢桐</v>
      </c>
      <c r="E338" s="8" t="str">
        <f>"女"</f>
        <v>女</v>
      </c>
    </row>
    <row r="339" spans="1:5" ht="30" customHeight="1">
      <c r="A339" s="8">
        <v>336</v>
      </c>
      <c r="B339" s="8" t="str">
        <f>"38492022042110522526289"</f>
        <v>38492022042110522526289</v>
      </c>
      <c r="C339" s="8" t="s">
        <v>13</v>
      </c>
      <c r="D339" s="8" t="str">
        <f>"黎晓妹"</f>
        <v>黎晓妹</v>
      </c>
      <c r="E339" s="8" t="str">
        <f>"女"</f>
        <v>女</v>
      </c>
    </row>
    <row r="340" spans="1:5" ht="30" customHeight="1">
      <c r="A340" s="8">
        <v>337</v>
      </c>
      <c r="B340" s="8" t="str">
        <f>"38492022042110595326371"</f>
        <v>38492022042110595326371</v>
      </c>
      <c r="C340" s="8" t="s">
        <v>13</v>
      </c>
      <c r="D340" s="8" t="str">
        <f>"练霞"</f>
        <v>练霞</v>
      </c>
      <c r="E340" s="8" t="str">
        <f>"女"</f>
        <v>女</v>
      </c>
    </row>
    <row r="341" spans="1:5" ht="30" customHeight="1">
      <c r="A341" s="8">
        <v>338</v>
      </c>
      <c r="B341" s="8" t="str">
        <f>"38492022042111083226446"</f>
        <v>38492022042111083226446</v>
      </c>
      <c r="C341" s="8" t="s">
        <v>13</v>
      </c>
      <c r="D341" s="8" t="str">
        <f>"吴清剑"</f>
        <v>吴清剑</v>
      </c>
      <c r="E341" s="8" t="str">
        <f>"男"</f>
        <v>男</v>
      </c>
    </row>
    <row r="342" spans="1:5" ht="30" customHeight="1">
      <c r="A342" s="8">
        <v>339</v>
      </c>
      <c r="B342" s="8" t="str">
        <f>"38492022042111290126626"</f>
        <v>38492022042111290126626</v>
      </c>
      <c r="C342" s="8" t="s">
        <v>13</v>
      </c>
      <c r="D342" s="8" t="str">
        <f>"蔡亚瑞"</f>
        <v>蔡亚瑞</v>
      </c>
      <c r="E342" s="8" t="str">
        <f>"男"</f>
        <v>男</v>
      </c>
    </row>
    <row r="343" spans="1:5" ht="30" customHeight="1">
      <c r="A343" s="8">
        <v>340</v>
      </c>
      <c r="B343" s="8" t="str">
        <f>"38492022042111381526725"</f>
        <v>38492022042111381526725</v>
      </c>
      <c r="C343" s="8" t="s">
        <v>13</v>
      </c>
      <c r="D343" s="8" t="str">
        <f>"郭芳菊"</f>
        <v>郭芳菊</v>
      </c>
      <c r="E343" s="8" t="str">
        <f>"女"</f>
        <v>女</v>
      </c>
    </row>
    <row r="344" spans="1:5" ht="30" customHeight="1">
      <c r="A344" s="8">
        <v>341</v>
      </c>
      <c r="B344" s="8" t="str">
        <f>"38492022042111462726801"</f>
        <v>38492022042111462726801</v>
      </c>
      <c r="C344" s="8" t="s">
        <v>13</v>
      </c>
      <c r="D344" s="8" t="str">
        <f>"黄珍珍"</f>
        <v>黄珍珍</v>
      </c>
      <c r="E344" s="8" t="str">
        <f>"女"</f>
        <v>女</v>
      </c>
    </row>
    <row r="345" spans="1:5" ht="30" customHeight="1">
      <c r="A345" s="8">
        <v>342</v>
      </c>
      <c r="B345" s="8" t="str">
        <f>"38492022042111552126871"</f>
        <v>38492022042111552126871</v>
      </c>
      <c r="C345" s="8" t="s">
        <v>13</v>
      </c>
      <c r="D345" s="8" t="str">
        <f>"杨春好"</f>
        <v>杨春好</v>
      </c>
      <c r="E345" s="8" t="str">
        <f>"男"</f>
        <v>男</v>
      </c>
    </row>
    <row r="346" spans="1:5" ht="30" customHeight="1">
      <c r="A346" s="8">
        <v>343</v>
      </c>
      <c r="B346" s="8" t="str">
        <f>"38492022042112023026915"</f>
        <v>38492022042112023026915</v>
      </c>
      <c r="C346" s="8" t="s">
        <v>13</v>
      </c>
      <c r="D346" s="8" t="str">
        <f>"周朝康"</f>
        <v>周朝康</v>
      </c>
      <c r="E346" s="8" t="str">
        <f>"男"</f>
        <v>男</v>
      </c>
    </row>
    <row r="347" spans="1:5" ht="30" customHeight="1">
      <c r="A347" s="8">
        <v>344</v>
      </c>
      <c r="B347" s="8" t="str">
        <f>"38492022042112263327069"</f>
        <v>38492022042112263327069</v>
      </c>
      <c r="C347" s="8" t="s">
        <v>13</v>
      </c>
      <c r="D347" s="8" t="str">
        <f>"符坤究"</f>
        <v>符坤究</v>
      </c>
      <c r="E347" s="8" t="str">
        <f>"女"</f>
        <v>女</v>
      </c>
    </row>
    <row r="348" spans="1:5" ht="30" customHeight="1">
      <c r="A348" s="8">
        <v>345</v>
      </c>
      <c r="B348" s="8" t="str">
        <f>"38492022042112502627222"</f>
        <v>38492022042112502627222</v>
      </c>
      <c r="C348" s="8" t="s">
        <v>13</v>
      </c>
      <c r="D348" s="8" t="str">
        <f>"陈浩"</f>
        <v>陈浩</v>
      </c>
      <c r="E348" s="8" t="str">
        <f>"男"</f>
        <v>男</v>
      </c>
    </row>
    <row r="349" spans="1:5" ht="30" customHeight="1">
      <c r="A349" s="8">
        <v>346</v>
      </c>
      <c r="B349" s="8" t="str">
        <f>"38492022042113032027303"</f>
        <v>38492022042113032027303</v>
      </c>
      <c r="C349" s="8" t="s">
        <v>13</v>
      </c>
      <c r="D349" s="8" t="str">
        <f>"符传义"</f>
        <v>符传义</v>
      </c>
      <c r="E349" s="8" t="str">
        <f>"男"</f>
        <v>男</v>
      </c>
    </row>
    <row r="350" spans="1:5" ht="30" customHeight="1">
      <c r="A350" s="8">
        <v>347</v>
      </c>
      <c r="B350" s="8" t="str">
        <f>"38492022042113220327393"</f>
        <v>38492022042113220327393</v>
      </c>
      <c r="C350" s="8" t="s">
        <v>13</v>
      </c>
      <c r="D350" s="8" t="str">
        <f>"朱洲进"</f>
        <v>朱洲进</v>
      </c>
      <c r="E350" s="8" t="str">
        <f>"男"</f>
        <v>男</v>
      </c>
    </row>
    <row r="351" spans="1:5" ht="30" customHeight="1">
      <c r="A351" s="8">
        <v>348</v>
      </c>
      <c r="B351" s="8" t="str">
        <f>"38492022042114352127748"</f>
        <v>38492022042114352127748</v>
      </c>
      <c r="C351" s="8" t="s">
        <v>13</v>
      </c>
      <c r="D351" s="8" t="str">
        <f>"王芳玉"</f>
        <v>王芳玉</v>
      </c>
      <c r="E351" s="8" t="str">
        <f aca="true" t="shared" si="49" ref="E351:E356">"女"</f>
        <v>女</v>
      </c>
    </row>
    <row r="352" spans="1:5" ht="30" customHeight="1">
      <c r="A352" s="8">
        <v>349</v>
      </c>
      <c r="B352" s="8" t="str">
        <f>"38492022042114360227751"</f>
        <v>38492022042114360227751</v>
      </c>
      <c r="C352" s="8" t="s">
        <v>13</v>
      </c>
      <c r="D352" s="8" t="str">
        <f>"李茂霞"</f>
        <v>李茂霞</v>
      </c>
      <c r="E352" s="8" t="str">
        <f t="shared" si="49"/>
        <v>女</v>
      </c>
    </row>
    <row r="353" spans="1:5" ht="30" customHeight="1">
      <c r="A353" s="8">
        <v>350</v>
      </c>
      <c r="B353" s="8" t="str">
        <f>"38492022042114372427764"</f>
        <v>38492022042114372427764</v>
      </c>
      <c r="C353" s="8" t="s">
        <v>13</v>
      </c>
      <c r="D353" s="8" t="str">
        <f>"符良慧"</f>
        <v>符良慧</v>
      </c>
      <c r="E353" s="8" t="str">
        <f t="shared" si="49"/>
        <v>女</v>
      </c>
    </row>
    <row r="354" spans="1:5" ht="30" customHeight="1">
      <c r="A354" s="8">
        <v>351</v>
      </c>
      <c r="B354" s="8" t="str">
        <f>"38492022042114405327796"</f>
        <v>38492022042114405327796</v>
      </c>
      <c r="C354" s="8" t="s">
        <v>13</v>
      </c>
      <c r="D354" s="8" t="str">
        <f>"王冬玲"</f>
        <v>王冬玲</v>
      </c>
      <c r="E354" s="8" t="str">
        <f t="shared" si="49"/>
        <v>女</v>
      </c>
    </row>
    <row r="355" spans="1:5" ht="30" customHeight="1">
      <c r="A355" s="8">
        <v>352</v>
      </c>
      <c r="B355" s="8" t="str">
        <f>"38492022042115063428016"</f>
        <v>38492022042115063428016</v>
      </c>
      <c r="C355" s="8" t="s">
        <v>13</v>
      </c>
      <c r="D355" s="8" t="str">
        <f>"符语洪"</f>
        <v>符语洪</v>
      </c>
      <c r="E355" s="8" t="str">
        <f t="shared" si="49"/>
        <v>女</v>
      </c>
    </row>
    <row r="356" spans="1:5" ht="30" customHeight="1">
      <c r="A356" s="8">
        <v>353</v>
      </c>
      <c r="B356" s="8" t="str">
        <f>"38492022042115091428039"</f>
        <v>38492022042115091428039</v>
      </c>
      <c r="C356" s="8" t="s">
        <v>13</v>
      </c>
      <c r="D356" s="8" t="str">
        <f>"蓝畅"</f>
        <v>蓝畅</v>
      </c>
      <c r="E356" s="8" t="str">
        <f t="shared" si="49"/>
        <v>女</v>
      </c>
    </row>
    <row r="357" spans="1:5" ht="30" customHeight="1">
      <c r="A357" s="8">
        <v>354</v>
      </c>
      <c r="B357" s="8" t="str">
        <f>"38492022042115154428110"</f>
        <v>38492022042115154428110</v>
      </c>
      <c r="C357" s="8" t="s">
        <v>13</v>
      </c>
      <c r="D357" s="8" t="str">
        <f>"郭教才"</f>
        <v>郭教才</v>
      </c>
      <c r="E357" s="8" t="str">
        <f>"男"</f>
        <v>男</v>
      </c>
    </row>
    <row r="358" spans="1:5" ht="30" customHeight="1">
      <c r="A358" s="8">
        <v>355</v>
      </c>
      <c r="B358" s="8" t="str">
        <f>"38492022042115162128116"</f>
        <v>38492022042115162128116</v>
      </c>
      <c r="C358" s="8" t="s">
        <v>13</v>
      </c>
      <c r="D358" s="8" t="str">
        <f>"唐静"</f>
        <v>唐静</v>
      </c>
      <c r="E358" s="8" t="str">
        <f>"女"</f>
        <v>女</v>
      </c>
    </row>
    <row r="359" spans="1:5" ht="30" customHeight="1">
      <c r="A359" s="8">
        <v>356</v>
      </c>
      <c r="B359" s="8" t="str">
        <f>"38492022042115320628253"</f>
        <v>38492022042115320628253</v>
      </c>
      <c r="C359" s="8" t="s">
        <v>13</v>
      </c>
      <c r="D359" s="8" t="str">
        <f>"卢舒寒"</f>
        <v>卢舒寒</v>
      </c>
      <c r="E359" s="8" t="str">
        <f>"女"</f>
        <v>女</v>
      </c>
    </row>
    <row r="360" spans="1:5" ht="30" customHeight="1">
      <c r="A360" s="8">
        <v>357</v>
      </c>
      <c r="B360" s="8" t="str">
        <f>"38492022042115444828344"</f>
        <v>38492022042115444828344</v>
      </c>
      <c r="C360" s="8" t="s">
        <v>13</v>
      </c>
      <c r="D360" s="8" t="str">
        <f>"林泳贝"</f>
        <v>林泳贝</v>
      </c>
      <c r="E360" s="8" t="str">
        <f>"女"</f>
        <v>女</v>
      </c>
    </row>
    <row r="361" spans="1:5" ht="30" customHeight="1">
      <c r="A361" s="8">
        <v>358</v>
      </c>
      <c r="B361" s="8" t="str">
        <f>"38492022042115492428385"</f>
        <v>38492022042115492428385</v>
      </c>
      <c r="C361" s="8" t="s">
        <v>13</v>
      </c>
      <c r="D361" s="8" t="str">
        <f>"符庆莉"</f>
        <v>符庆莉</v>
      </c>
      <c r="E361" s="8" t="str">
        <f>"女"</f>
        <v>女</v>
      </c>
    </row>
    <row r="362" spans="1:5" ht="30" customHeight="1">
      <c r="A362" s="8">
        <v>359</v>
      </c>
      <c r="B362" s="8" t="str">
        <f>"38492022042116105328513"</f>
        <v>38492022042116105328513</v>
      </c>
      <c r="C362" s="8" t="s">
        <v>13</v>
      </c>
      <c r="D362" s="8" t="str">
        <f>"陈辉"</f>
        <v>陈辉</v>
      </c>
      <c r="E362" s="8" t="str">
        <f>"男"</f>
        <v>男</v>
      </c>
    </row>
    <row r="363" spans="1:5" ht="30" customHeight="1">
      <c r="A363" s="8">
        <v>360</v>
      </c>
      <c r="B363" s="8" t="str">
        <f>"38492022042116120828524"</f>
        <v>38492022042116120828524</v>
      </c>
      <c r="C363" s="8" t="s">
        <v>13</v>
      </c>
      <c r="D363" s="8" t="str">
        <f>"王帅"</f>
        <v>王帅</v>
      </c>
      <c r="E363" s="8" t="str">
        <f>"男"</f>
        <v>男</v>
      </c>
    </row>
    <row r="364" spans="1:5" ht="30" customHeight="1">
      <c r="A364" s="8">
        <v>361</v>
      </c>
      <c r="B364" s="8" t="str">
        <f>"38492022042116300728660"</f>
        <v>38492022042116300728660</v>
      </c>
      <c r="C364" s="8" t="s">
        <v>13</v>
      </c>
      <c r="D364" s="8" t="str">
        <f>"王忠翠"</f>
        <v>王忠翠</v>
      </c>
      <c r="E364" s="8" t="str">
        <f>"女"</f>
        <v>女</v>
      </c>
    </row>
    <row r="365" spans="1:5" ht="30" customHeight="1">
      <c r="A365" s="8">
        <v>362</v>
      </c>
      <c r="B365" s="8" t="str">
        <f>"38492022042116480328777"</f>
        <v>38492022042116480328777</v>
      </c>
      <c r="C365" s="8" t="s">
        <v>13</v>
      </c>
      <c r="D365" s="8" t="str">
        <f>"杨于澜"</f>
        <v>杨于澜</v>
      </c>
      <c r="E365" s="8" t="str">
        <f>"女"</f>
        <v>女</v>
      </c>
    </row>
    <row r="366" spans="1:5" ht="30" customHeight="1">
      <c r="A366" s="8">
        <v>363</v>
      </c>
      <c r="B366" s="8" t="str">
        <f>"38492022042116490528783"</f>
        <v>38492022042116490528783</v>
      </c>
      <c r="C366" s="8" t="s">
        <v>13</v>
      </c>
      <c r="D366" s="8" t="str">
        <f>"符加卫"</f>
        <v>符加卫</v>
      </c>
      <c r="E366" s="8" t="str">
        <f>"男"</f>
        <v>男</v>
      </c>
    </row>
    <row r="367" spans="1:5" ht="30" customHeight="1">
      <c r="A367" s="8">
        <v>364</v>
      </c>
      <c r="B367" s="8" t="str">
        <f>"38492022042116570228835"</f>
        <v>38492022042116570228835</v>
      </c>
      <c r="C367" s="8" t="s">
        <v>13</v>
      </c>
      <c r="D367" s="8" t="str">
        <f>"羊盛锦"</f>
        <v>羊盛锦</v>
      </c>
      <c r="E367" s="8" t="str">
        <f>"男"</f>
        <v>男</v>
      </c>
    </row>
    <row r="368" spans="1:5" ht="30" customHeight="1">
      <c r="A368" s="8">
        <v>365</v>
      </c>
      <c r="B368" s="8" t="str">
        <f>"38492022042116581728844"</f>
        <v>38492022042116581728844</v>
      </c>
      <c r="C368" s="8" t="s">
        <v>13</v>
      </c>
      <c r="D368" s="8" t="str">
        <f>"周婕"</f>
        <v>周婕</v>
      </c>
      <c r="E368" s="8" t="str">
        <f aca="true" t="shared" si="50" ref="E368:E377">"女"</f>
        <v>女</v>
      </c>
    </row>
    <row r="369" spans="1:5" ht="30" customHeight="1">
      <c r="A369" s="8">
        <v>366</v>
      </c>
      <c r="B369" s="8" t="str">
        <f>"38492022042117203928991"</f>
        <v>38492022042117203928991</v>
      </c>
      <c r="C369" s="8" t="s">
        <v>13</v>
      </c>
      <c r="D369" s="8" t="str">
        <f>"杨钰玲"</f>
        <v>杨钰玲</v>
      </c>
      <c r="E369" s="8" t="str">
        <f t="shared" si="50"/>
        <v>女</v>
      </c>
    </row>
    <row r="370" spans="1:5" ht="30" customHeight="1">
      <c r="A370" s="8">
        <v>367</v>
      </c>
      <c r="B370" s="8" t="str">
        <f>"38492022042117540029175"</f>
        <v>38492022042117540029175</v>
      </c>
      <c r="C370" s="8" t="s">
        <v>13</v>
      </c>
      <c r="D370" s="8" t="str">
        <f>"杨祥梅"</f>
        <v>杨祥梅</v>
      </c>
      <c r="E370" s="8" t="str">
        <f t="shared" si="50"/>
        <v>女</v>
      </c>
    </row>
    <row r="371" spans="1:5" ht="30" customHeight="1">
      <c r="A371" s="8">
        <v>368</v>
      </c>
      <c r="B371" s="8" t="str">
        <f>"38492022042118340229338"</f>
        <v>38492022042118340229338</v>
      </c>
      <c r="C371" s="8" t="s">
        <v>13</v>
      </c>
      <c r="D371" s="8" t="str">
        <f>"麦绍妹"</f>
        <v>麦绍妹</v>
      </c>
      <c r="E371" s="8" t="str">
        <f t="shared" si="50"/>
        <v>女</v>
      </c>
    </row>
    <row r="372" spans="1:5" ht="30" customHeight="1">
      <c r="A372" s="8">
        <v>369</v>
      </c>
      <c r="B372" s="8" t="str">
        <f>"38492022042119020429460"</f>
        <v>38492022042119020429460</v>
      </c>
      <c r="C372" s="8" t="s">
        <v>13</v>
      </c>
      <c r="D372" s="8" t="str">
        <f>"唐庆慧"</f>
        <v>唐庆慧</v>
      </c>
      <c r="E372" s="8" t="str">
        <f t="shared" si="50"/>
        <v>女</v>
      </c>
    </row>
    <row r="373" spans="1:5" ht="30" customHeight="1">
      <c r="A373" s="8">
        <v>370</v>
      </c>
      <c r="B373" s="8" t="str">
        <f>"38492022042119293329585"</f>
        <v>38492022042119293329585</v>
      </c>
      <c r="C373" s="8" t="s">
        <v>13</v>
      </c>
      <c r="D373" s="8" t="str">
        <f>"黄晶笑"</f>
        <v>黄晶笑</v>
      </c>
      <c r="E373" s="8" t="str">
        <f t="shared" si="50"/>
        <v>女</v>
      </c>
    </row>
    <row r="374" spans="1:5" ht="30" customHeight="1">
      <c r="A374" s="8">
        <v>371</v>
      </c>
      <c r="B374" s="8" t="str">
        <f>"38492022042119572929700"</f>
        <v>38492022042119572929700</v>
      </c>
      <c r="C374" s="8" t="s">
        <v>13</v>
      </c>
      <c r="D374" s="8" t="str">
        <f>"羊香梅"</f>
        <v>羊香梅</v>
      </c>
      <c r="E374" s="8" t="str">
        <f t="shared" si="50"/>
        <v>女</v>
      </c>
    </row>
    <row r="375" spans="1:5" ht="30" customHeight="1">
      <c r="A375" s="8">
        <v>372</v>
      </c>
      <c r="B375" s="8" t="str">
        <f>"38492022042120444429957"</f>
        <v>38492022042120444429957</v>
      </c>
      <c r="C375" s="8" t="s">
        <v>13</v>
      </c>
      <c r="D375" s="8" t="str">
        <f>"邢燕"</f>
        <v>邢燕</v>
      </c>
      <c r="E375" s="8" t="str">
        <f t="shared" si="50"/>
        <v>女</v>
      </c>
    </row>
    <row r="376" spans="1:5" ht="30" customHeight="1">
      <c r="A376" s="8">
        <v>373</v>
      </c>
      <c r="B376" s="8" t="str">
        <f>"38492022042121190930143"</f>
        <v>38492022042121190930143</v>
      </c>
      <c r="C376" s="8" t="s">
        <v>13</v>
      </c>
      <c r="D376" s="8" t="str">
        <f>"吴金选"</f>
        <v>吴金选</v>
      </c>
      <c r="E376" s="8" t="str">
        <f t="shared" si="50"/>
        <v>女</v>
      </c>
    </row>
    <row r="377" spans="1:5" ht="30" customHeight="1">
      <c r="A377" s="8">
        <v>374</v>
      </c>
      <c r="B377" s="8" t="str">
        <f>"38492022042121413730263"</f>
        <v>38492022042121413730263</v>
      </c>
      <c r="C377" s="8" t="s">
        <v>13</v>
      </c>
      <c r="D377" s="8" t="str">
        <f>"林静"</f>
        <v>林静</v>
      </c>
      <c r="E377" s="8" t="str">
        <f t="shared" si="50"/>
        <v>女</v>
      </c>
    </row>
    <row r="378" spans="1:5" ht="30" customHeight="1">
      <c r="A378" s="8">
        <v>375</v>
      </c>
      <c r="B378" s="8" t="str">
        <f>"38492022042200375730840"</f>
        <v>38492022042200375730840</v>
      </c>
      <c r="C378" s="8" t="s">
        <v>13</v>
      </c>
      <c r="D378" s="8" t="str">
        <f>"陈新海"</f>
        <v>陈新海</v>
      </c>
      <c r="E378" s="8" t="str">
        <f>"男"</f>
        <v>男</v>
      </c>
    </row>
    <row r="379" spans="1:5" ht="30" customHeight="1">
      <c r="A379" s="8">
        <v>376</v>
      </c>
      <c r="B379" s="8" t="str">
        <f>"38492022042208593831119"</f>
        <v>38492022042208593831119</v>
      </c>
      <c r="C379" s="8" t="s">
        <v>13</v>
      </c>
      <c r="D379" s="8" t="str">
        <f>"张燕慧"</f>
        <v>张燕慧</v>
      </c>
      <c r="E379" s="8" t="str">
        <f aca="true" t="shared" si="51" ref="E379:E387">"女"</f>
        <v>女</v>
      </c>
    </row>
    <row r="380" spans="1:5" ht="30" customHeight="1">
      <c r="A380" s="8">
        <v>377</v>
      </c>
      <c r="B380" s="8" t="str">
        <f>"38492022042209084531166"</f>
        <v>38492022042209084531166</v>
      </c>
      <c r="C380" s="8" t="s">
        <v>13</v>
      </c>
      <c r="D380" s="8" t="str">
        <f>"朱佳佳"</f>
        <v>朱佳佳</v>
      </c>
      <c r="E380" s="8" t="str">
        <f t="shared" si="51"/>
        <v>女</v>
      </c>
    </row>
    <row r="381" spans="1:5" ht="30" customHeight="1">
      <c r="A381" s="8">
        <v>378</v>
      </c>
      <c r="B381" s="8" t="str">
        <f>"38492022042209170331199"</f>
        <v>38492022042209170331199</v>
      </c>
      <c r="C381" s="8" t="s">
        <v>13</v>
      </c>
      <c r="D381" s="8" t="str">
        <f>"陈霜霜"</f>
        <v>陈霜霜</v>
      </c>
      <c r="E381" s="8" t="str">
        <f t="shared" si="51"/>
        <v>女</v>
      </c>
    </row>
    <row r="382" spans="1:5" ht="30" customHeight="1">
      <c r="A382" s="8">
        <v>379</v>
      </c>
      <c r="B382" s="8" t="str">
        <f>"38492022042209172831204"</f>
        <v>38492022042209172831204</v>
      </c>
      <c r="C382" s="8" t="s">
        <v>13</v>
      </c>
      <c r="D382" s="8" t="str">
        <f>"骆梓晴"</f>
        <v>骆梓晴</v>
      </c>
      <c r="E382" s="8" t="str">
        <f t="shared" si="51"/>
        <v>女</v>
      </c>
    </row>
    <row r="383" spans="1:5" ht="30" customHeight="1">
      <c r="A383" s="8">
        <v>380</v>
      </c>
      <c r="B383" s="8" t="str">
        <f>"38492022042209203931218"</f>
        <v>38492022042209203931218</v>
      </c>
      <c r="C383" s="8" t="s">
        <v>13</v>
      </c>
      <c r="D383" s="8" t="str">
        <f>"王金积"</f>
        <v>王金积</v>
      </c>
      <c r="E383" s="8" t="str">
        <f t="shared" si="51"/>
        <v>女</v>
      </c>
    </row>
    <row r="384" spans="1:5" ht="30" customHeight="1">
      <c r="A384" s="8">
        <v>381</v>
      </c>
      <c r="B384" s="8" t="str">
        <f>"38492022042209293031265"</f>
        <v>38492022042209293031265</v>
      </c>
      <c r="C384" s="8" t="s">
        <v>13</v>
      </c>
      <c r="D384" s="8" t="str">
        <f>"唐惠柏"</f>
        <v>唐惠柏</v>
      </c>
      <c r="E384" s="8" t="str">
        <f t="shared" si="51"/>
        <v>女</v>
      </c>
    </row>
    <row r="385" spans="1:5" ht="30" customHeight="1">
      <c r="A385" s="8">
        <v>382</v>
      </c>
      <c r="B385" s="8" t="str">
        <f>"38492022042209480331367"</f>
        <v>38492022042209480331367</v>
      </c>
      <c r="C385" s="8" t="s">
        <v>13</v>
      </c>
      <c r="D385" s="8" t="str">
        <f>"羊琳"</f>
        <v>羊琳</v>
      </c>
      <c r="E385" s="8" t="str">
        <f t="shared" si="51"/>
        <v>女</v>
      </c>
    </row>
    <row r="386" spans="1:5" ht="30" customHeight="1">
      <c r="A386" s="8">
        <v>383</v>
      </c>
      <c r="B386" s="8" t="str">
        <f>"38492022042210184031566"</f>
        <v>38492022042210184031566</v>
      </c>
      <c r="C386" s="8" t="s">
        <v>13</v>
      </c>
      <c r="D386" s="8" t="str">
        <f>"吴淑妹"</f>
        <v>吴淑妹</v>
      </c>
      <c r="E386" s="8" t="str">
        <f t="shared" si="51"/>
        <v>女</v>
      </c>
    </row>
    <row r="387" spans="1:5" ht="30" customHeight="1">
      <c r="A387" s="8">
        <v>384</v>
      </c>
      <c r="B387" s="8" t="str">
        <f>"38492022042210400331687"</f>
        <v>38492022042210400331687</v>
      </c>
      <c r="C387" s="8" t="s">
        <v>13</v>
      </c>
      <c r="D387" s="8" t="str">
        <f>"林婵婵"</f>
        <v>林婵婵</v>
      </c>
      <c r="E387" s="8" t="str">
        <f t="shared" si="51"/>
        <v>女</v>
      </c>
    </row>
    <row r="388" spans="1:5" ht="30" customHeight="1">
      <c r="A388" s="8">
        <v>385</v>
      </c>
      <c r="B388" s="8" t="str">
        <f>"38492022042211094831865"</f>
        <v>38492022042211094831865</v>
      </c>
      <c r="C388" s="8" t="s">
        <v>13</v>
      </c>
      <c r="D388" s="8" t="str">
        <f>"陈汉钊"</f>
        <v>陈汉钊</v>
      </c>
      <c r="E388" s="8" t="str">
        <f>"男"</f>
        <v>男</v>
      </c>
    </row>
    <row r="389" spans="1:5" ht="30" customHeight="1">
      <c r="A389" s="8">
        <v>386</v>
      </c>
      <c r="B389" s="8" t="str">
        <f>"38492022042211121831878"</f>
        <v>38492022042211121831878</v>
      </c>
      <c r="C389" s="8" t="s">
        <v>13</v>
      </c>
      <c r="D389" s="8" t="str">
        <f>"廖晓彤"</f>
        <v>廖晓彤</v>
      </c>
      <c r="E389" s="8" t="str">
        <f>"女"</f>
        <v>女</v>
      </c>
    </row>
    <row r="390" spans="1:5" ht="30" customHeight="1">
      <c r="A390" s="8">
        <v>387</v>
      </c>
      <c r="B390" s="8" t="str">
        <f>"38492022042211200532095"</f>
        <v>38492022042211200532095</v>
      </c>
      <c r="C390" s="8" t="s">
        <v>13</v>
      </c>
      <c r="D390" s="8" t="str">
        <f>"王剑辉"</f>
        <v>王剑辉</v>
      </c>
      <c r="E390" s="8" t="str">
        <f>"男"</f>
        <v>男</v>
      </c>
    </row>
    <row r="391" spans="1:5" ht="30" customHeight="1">
      <c r="A391" s="8">
        <v>388</v>
      </c>
      <c r="B391" s="8" t="str">
        <f>"38492022042212115432493"</f>
        <v>38492022042212115432493</v>
      </c>
      <c r="C391" s="8" t="s">
        <v>13</v>
      </c>
      <c r="D391" s="8" t="str">
        <f>"何万常"</f>
        <v>何万常</v>
      </c>
      <c r="E391" s="8" t="str">
        <f>"男"</f>
        <v>男</v>
      </c>
    </row>
    <row r="392" spans="1:5" ht="30" customHeight="1">
      <c r="A392" s="8">
        <v>389</v>
      </c>
      <c r="B392" s="8" t="str">
        <f>"38492022042212272932556"</f>
        <v>38492022042212272932556</v>
      </c>
      <c r="C392" s="8" t="s">
        <v>13</v>
      </c>
      <c r="D392" s="8" t="str">
        <f>"李秀丹"</f>
        <v>李秀丹</v>
      </c>
      <c r="E392" s="8" t="str">
        <f aca="true" t="shared" si="52" ref="E392:E398">"女"</f>
        <v>女</v>
      </c>
    </row>
    <row r="393" spans="1:5" ht="30" customHeight="1">
      <c r="A393" s="8">
        <v>390</v>
      </c>
      <c r="B393" s="8" t="str">
        <f>"38492022042212291832564"</f>
        <v>38492022042212291832564</v>
      </c>
      <c r="C393" s="8" t="s">
        <v>13</v>
      </c>
      <c r="D393" s="8" t="str">
        <f>"汪园"</f>
        <v>汪园</v>
      </c>
      <c r="E393" s="8" t="str">
        <f t="shared" si="52"/>
        <v>女</v>
      </c>
    </row>
    <row r="394" spans="1:5" ht="30" customHeight="1">
      <c r="A394" s="8">
        <v>391</v>
      </c>
      <c r="B394" s="8" t="str">
        <f>"38492022042212400832609"</f>
        <v>38492022042212400832609</v>
      </c>
      <c r="C394" s="8" t="s">
        <v>13</v>
      </c>
      <c r="D394" s="8" t="str">
        <f>"林韶秀"</f>
        <v>林韶秀</v>
      </c>
      <c r="E394" s="8" t="str">
        <f t="shared" si="52"/>
        <v>女</v>
      </c>
    </row>
    <row r="395" spans="1:5" ht="30" customHeight="1">
      <c r="A395" s="8">
        <v>392</v>
      </c>
      <c r="B395" s="8" t="str">
        <f>"38492022042212583132685"</f>
        <v>38492022042212583132685</v>
      </c>
      <c r="C395" s="8" t="s">
        <v>13</v>
      </c>
      <c r="D395" s="8" t="str">
        <f>"赵毓炎"</f>
        <v>赵毓炎</v>
      </c>
      <c r="E395" s="8" t="str">
        <f t="shared" si="52"/>
        <v>女</v>
      </c>
    </row>
    <row r="396" spans="1:5" ht="30" customHeight="1">
      <c r="A396" s="8">
        <v>393</v>
      </c>
      <c r="B396" s="8" t="str">
        <f>"38492022042213505632866"</f>
        <v>38492022042213505632866</v>
      </c>
      <c r="C396" s="8" t="s">
        <v>13</v>
      </c>
      <c r="D396" s="8" t="str">
        <f>"胡筠淑"</f>
        <v>胡筠淑</v>
      </c>
      <c r="E396" s="8" t="str">
        <f t="shared" si="52"/>
        <v>女</v>
      </c>
    </row>
    <row r="397" spans="1:5" ht="30" customHeight="1">
      <c r="A397" s="8">
        <v>394</v>
      </c>
      <c r="B397" s="8" t="str">
        <f>"38492022042214193932965"</f>
        <v>38492022042214193932965</v>
      </c>
      <c r="C397" s="8" t="s">
        <v>13</v>
      </c>
      <c r="D397" s="8" t="str">
        <f>"李正芳"</f>
        <v>李正芳</v>
      </c>
      <c r="E397" s="8" t="str">
        <f t="shared" si="52"/>
        <v>女</v>
      </c>
    </row>
    <row r="398" spans="1:5" ht="30" customHeight="1">
      <c r="A398" s="8">
        <v>395</v>
      </c>
      <c r="B398" s="8" t="str">
        <f>"38492022042214285033004"</f>
        <v>38492022042214285033004</v>
      </c>
      <c r="C398" s="8" t="s">
        <v>13</v>
      </c>
      <c r="D398" s="8" t="str">
        <f>"盘悦华"</f>
        <v>盘悦华</v>
      </c>
      <c r="E398" s="8" t="str">
        <f t="shared" si="52"/>
        <v>女</v>
      </c>
    </row>
    <row r="399" spans="1:5" ht="30" customHeight="1">
      <c r="A399" s="8">
        <v>396</v>
      </c>
      <c r="B399" s="8" t="str">
        <f>"38492022042215210933291"</f>
        <v>38492022042215210933291</v>
      </c>
      <c r="C399" s="8" t="s">
        <v>13</v>
      </c>
      <c r="D399" s="8" t="str">
        <f>"陈纪炎"</f>
        <v>陈纪炎</v>
      </c>
      <c r="E399" s="8" t="str">
        <f>"男"</f>
        <v>男</v>
      </c>
    </row>
    <row r="400" spans="1:5" ht="30" customHeight="1">
      <c r="A400" s="8">
        <v>397</v>
      </c>
      <c r="B400" s="8" t="str">
        <f>"38492022042215412233414"</f>
        <v>38492022042215412233414</v>
      </c>
      <c r="C400" s="8" t="s">
        <v>13</v>
      </c>
      <c r="D400" s="8" t="str">
        <f>"吴蕾"</f>
        <v>吴蕾</v>
      </c>
      <c r="E400" s="8" t="str">
        <f aca="true" t="shared" si="53" ref="E400:E407">"女"</f>
        <v>女</v>
      </c>
    </row>
    <row r="401" spans="1:5" ht="30" customHeight="1">
      <c r="A401" s="8">
        <v>398</v>
      </c>
      <c r="B401" s="8" t="str">
        <f>"38492022042215435233427"</f>
        <v>38492022042215435233427</v>
      </c>
      <c r="C401" s="8" t="s">
        <v>13</v>
      </c>
      <c r="D401" s="8" t="str">
        <f>"王李梅"</f>
        <v>王李梅</v>
      </c>
      <c r="E401" s="8" t="str">
        <f t="shared" si="53"/>
        <v>女</v>
      </c>
    </row>
    <row r="402" spans="1:5" ht="30" customHeight="1">
      <c r="A402" s="8">
        <v>399</v>
      </c>
      <c r="B402" s="8" t="str">
        <f>"38492022042215440433429"</f>
        <v>38492022042215440433429</v>
      </c>
      <c r="C402" s="8" t="s">
        <v>13</v>
      </c>
      <c r="D402" s="8" t="str">
        <f>"王露雯"</f>
        <v>王露雯</v>
      </c>
      <c r="E402" s="8" t="str">
        <f t="shared" si="53"/>
        <v>女</v>
      </c>
    </row>
    <row r="403" spans="1:5" ht="30" customHeight="1">
      <c r="A403" s="8">
        <v>400</v>
      </c>
      <c r="B403" s="8" t="str">
        <f>"38492022042215461533443"</f>
        <v>38492022042215461533443</v>
      </c>
      <c r="C403" s="8" t="s">
        <v>13</v>
      </c>
      <c r="D403" s="8" t="str">
        <f>"陈驰"</f>
        <v>陈驰</v>
      </c>
      <c r="E403" s="8" t="str">
        <f t="shared" si="53"/>
        <v>女</v>
      </c>
    </row>
    <row r="404" spans="1:5" ht="30" customHeight="1">
      <c r="A404" s="8">
        <v>401</v>
      </c>
      <c r="B404" s="8" t="str">
        <f>"38492022042215575833521"</f>
        <v>38492022042215575833521</v>
      </c>
      <c r="C404" s="8" t="s">
        <v>13</v>
      </c>
      <c r="D404" s="8" t="str">
        <f>"许腾尹"</f>
        <v>许腾尹</v>
      </c>
      <c r="E404" s="8" t="str">
        <f t="shared" si="53"/>
        <v>女</v>
      </c>
    </row>
    <row r="405" spans="1:5" ht="30" customHeight="1">
      <c r="A405" s="8">
        <v>402</v>
      </c>
      <c r="B405" s="8" t="str">
        <f>"38492022042215592033531"</f>
        <v>38492022042215592033531</v>
      </c>
      <c r="C405" s="8" t="s">
        <v>13</v>
      </c>
      <c r="D405" s="8" t="str">
        <f>"王汝彬"</f>
        <v>王汝彬</v>
      </c>
      <c r="E405" s="8" t="str">
        <f t="shared" si="53"/>
        <v>女</v>
      </c>
    </row>
    <row r="406" spans="1:5" ht="30" customHeight="1">
      <c r="A406" s="8">
        <v>403</v>
      </c>
      <c r="B406" s="8" t="str">
        <f>"38492022042216025333553"</f>
        <v>38492022042216025333553</v>
      </c>
      <c r="C406" s="8" t="s">
        <v>13</v>
      </c>
      <c r="D406" s="8" t="str">
        <f>"陈春霞"</f>
        <v>陈春霞</v>
      </c>
      <c r="E406" s="8" t="str">
        <f t="shared" si="53"/>
        <v>女</v>
      </c>
    </row>
    <row r="407" spans="1:5" ht="30" customHeight="1">
      <c r="A407" s="8">
        <v>404</v>
      </c>
      <c r="B407" s="8" t="str">
        <f>"38492022042216081033590"</f>
        <v>38492022042216081033590</v>
      </c>
      <c r="C407" s="8" t="s">
        <v>13</v>
      </c>
      <c r="D407" s="8" t="str">
        <f>"朱小丽"</f>
        <v>朱小丽</v>
      </c>
      <c r="E407" s="8" t="str">
        <f t="shared" si="53"/>
        <v>女</v>
      </c>
    </row>
    <row r="408" spans="1:5" ht="30" customHeight="1">
      <c r="A408" s="8">
        <v>405</v>
      </c>
      <c r="B408" s="8" t="str">
        <f>"38492022042216133433631"</f>
        <v>38492022042216133433631</v>
      </c>
      <c r="C408" s="8" t="s">
        <v>13</v>
      </c>
      <c r="D408" s="8" t="str">
        <f>"刘铭帅"</f>
        <v>刘铭帅</v>
      </c>
      <c r="E408" s="8" t="str">
        <f>"男"</f>
        <v>男</v>
      </c>
    </row>
    <row r="409" spans="1:5" ht="30" customHeight="1">
      <c r="A409" s="8">
        <v>406</v>
      </c>
      <c r="B409" s="8" t="str">
        <f>"38492022042216183633656"</f>
        <v>38492022042216183633656</v>
      </c>
      <c r="C409" s="8" t="s">
        <v>13</v>
      </c>
      <c r="D409" s="8" t="str">
        <f>"陈蕾"</f>
        <v>陈蕾</v>
      </c>
      <c r="E409" s="8" t="str">
        <f>"女"</f>
        <v>女</v>
      </c>
    </row>
    <row r="410" spans="1:5" ht="30" customHeight="1">
      <c r="A410" s="8">
        <v>407</v>
      </c>
      <c r="B410" s="8" t="str">
        <f>"38492022042216315433737"</f>
        <v>38492022042216315433737</v>
      </c>
      <c r="C410" s="8" t="s">
        <v>13</v>
      </c>
      <c r="D410" s="8" t="str">
        <f>"许巧燕"</f>
        <v>许巧燕</v>
      </c>
      <c r="E410" s="8" t="str">
        <f>"女"</f>
        <v>女</v>
      </c>
    </row>
    <row r="411" spans="1:5" ht="30" customHeight="1">
      <c r="A411" s="8">
        <v>408</v>
      </c>
      <c r="B411" s="8" t="str">
        <f>"38492022042216375033780"</f>
        <v>38492022042216375033780</v>
      </c>
      <c r="C411" s="8" t="s">
        <v>13</v>
      </c>
      <c r="D411" s="8" t="str">
        <f>"张薇"</f>
        <v>张薇</v>
      </c>
      <c r="E411" s="8" t="str">
        <f>"女"</f>
        <v>女</v>
      </c>
    </row>
    <row r="412" spans="1:5" ht="30" customHeight="1">
      <c r="A412" s="8">
        <v>409</v>
      </c>
      <c r="B412" s="8" t="str">
        <f>"38492022042216430533817"</f>
        <v>38492022042216430533817</v>
      </c>
      <c r="C412" s="8" t="s">
        <v>13</v>
      </c>
      <c r="D412" s="8" t="str">
        <f>"李娜"</f>
        <v>李娜</v>
      </c>
      <c r="E412" s="8" t="str">
        <f>"女"</f>
        <v>女</v>
      </c>
    </row>
    <row r="413" spans="1:5" ht="30" customHeight="1">
      <c r="A413" s="8">
        <v>410</v>
      </c>
      <c r="B413" s="8" t="str">
        <f>"38492022042216580233918"</f>
        <v>38492022042216580233918</v>
      </c>
      <c r="C413" s="8" t="s">
        <v>13</v>
      </c>
      <c r="D413" s="8" t="str">
        <f>"文精义"</f>
        <v>文精义</v>
      </c>
      <c r="E413" s="8" t="str">
        <f>"男"</f>
        <v>男</v>
      </c>
    </row>
    <row r="414" spans="1:5" ht="30" customHeight="1">
      <c r="A414" s="8">
        <v>411</v>
      </c>
      <c r="B414" s="8" t="str">
        <f>"38492022042217035733957"</f>
        <v>38492022042217035733957</v>
      </c>
      <c r="C414" s="8" t="s">
        <v>13</v>
      </c>
      <c r="D414" s="8" t="str">
        <f>"张倩倩"</f>
        <v>张倩倩</v>
      </c>
      <c r="E414" s="8" t="str">
        <f>"女"</f>
        <v>女</v>
      </c>
    </row>
    <row r="415" spans="1:5" ht="30" customHeight="1">
      <c r="A415" s="8">
        <v>412</v>
      </c>
      <c r="B415" s="8" t="str">
        <f>"38492022042218284234281"</f>
        <v>38492022042218284234281</v>
      </c>
      <c r="C415" s="8" t="s">
        <v>13</v>
      </c>
      <c r="D415" s="8" t="str">
        <f>"严岚梅"</f>
        <v>严岚梅</v>
      </c>
      <c r="E415" s="8" t="str">
        <f>"女"</f>
        <v>女</v>
      </c>
    </row>
    <row r="416" spans="1:5" ht="30" customHeight="1">
      <c r="A416" s="8">
        <v>413</v>
      </c>
      <c r="B416" s="8" t="str">
        <f>"38492022042220094334485"</f>
        <v>38492022042220094334485</v>
      </c>
      <c r="C416" s="8" t="s">
        <v>13</v>
      </c>
      <c r="D416" s="8" t="str">
        <f>"吕世丹"</f>
        <v>吕世丹</v>
      </c>
      <c r="E416" s="8" t="str">
        <f>"女"</f>
        <v>女</v>
      </c>
    </row>
    <row r="417" spans="1:5" ht="30" customHeight="1">
      <c r="A417" s="8">
        <v>414</v>
      </c>
      <c r="B417" s="8" t="str">
        <f>"38492022042220543934569"</f>
        <v>38492022042220543934569</v>
      </c>
      <c r="C417" s="8" t="s">
        <v>13</v>
      </c>
      <c r="D417" s="8" t="str">
        <f>"黎钟健"</f>
        <v>黎钟健</v>
      </c>
      <c r="E417" s="8" t="str">
        <f>"男"</f>
        <v>男</v>
      </c>
    </row>
    <row r="418" spans="1:5" ht="30" customHeight="1">
      <c r="A418" s="8">
        <v>415</v>
      </c>
      <c r="B418" s="8" t="str">
        <f>"38492022042221282434631"</f>
        <v>38492022042221282434631</v>
      </c>
      <c r="C418" s="8" t="s">
        <v>13</v>
      </c>
      <c r="D418" s="8" t="str">
        <f>"韩柳"</f>
        <v>韩柳</v>
      </c>
      <c r="E418" s="8" t="str">
        <f>"女"</f>
        <v>女</v>
      </c>
    </row>
    <row r="419" spans="1:5" ht="30" customHeight="1">
      <c r="A419" s="8">
        <v>416</v>
      </c>
      <c r="B419" s="8" t="str">
        <f>"38492022042223031534792"</f>
        <v>38492022042223031534792</v>
      </c>
      <c r="C419" s="8" t="s">
        <v>13</v>
      </c>
      <c r="D419" s="8" t="str">
        <f>"符晶晶"</f>
        <v>符晶晶</v>
      </c>
      <c r="E419" s="8" t="str">
        <f>"女"</f>
        <v>女</v>
      </c>
    </row>
    <row r="420" spans="1:5" ht="30" customHeight="1">
      <c r="A420" s="8">
        <v>417</v>
      </c>
      <c r="B420" s="8" t="str">
        <f>"38492022042223174234807"</f>
        <v>38492022042223174234807</v>
      </c>
      <c r="C420" s="8" t="s">
        <v>13</v>
      </c>
      <c r="D420" s="8" t="str">
        <f>"欧方才"</f>
        <v>欧方才</v>
      </c>
      <c r="E420" s="8" t="str">
        <f>"男"</f>
        <v>男</v>
      </c>
    </row>
    <row r="421" spans="1:5" ht="30" customHeight="1">
      <c r="A421" s="8">
        <v>418</v>
      </c>
      <c r="B421" s="8" t="str">
        <f>"38492022042223253634815"</f>
        <v>38492022042223253634815</v>
      </c>
      <c r="C421" s="8" t="s">
        <v>13</v>
      </c>
      <c r="D421" s="8" t="str">
        <f>"李恒宇"</f>
        <v>李恒宇</v>
      </c>
      <c r="E421" s="8" t="str">
        <f>"男"</f>
        <v>男</v>
      </c>
    </row>
    <row r="422" spans="1:5" ht="30" customHeight="1">
      <c r="A422" s="8">
        <v>419</v>
      </c>
      <c r="B422" s="8" t="str">
        <f>"38492022042223330934823"</f>
        <v>38492022042223330934823</v>
      </c>
      <c r="C422" s="8" t="s">
        <v>13</v>
      </c>
      <c r="D422" s="8" t="str">
        <f>"郑作伟"</f>
        <v>郑作伟</v>
      </c>
      <c r="E422" s="8" t="str">
        <f>"男"</f>
        <v>男</v>
      </c>
    </row>
    <row r="423" spans="1:5" ht="30" customHeight="1">
      <c r="A423" s="8">
        <v>420</v>
      </c>
      <c r="B423" s="8" t="str">
        <f>"38492022042307560734891"</f>
        <v>38492022042307560734891</v>
      </c>
      <c r="C423" s="8" t="s">
        <v>13</v>
      </c>
      <c r="D423" s="8" t="str">
        <f>"何娟娟"</f>
        <v>何娟娟</v>
      </c>
      <c r="E423" s="8" t="str">
        <f>"女"</f>
        <v>女</v>
      </c>
    </row>
    <row r="424" spans="1:5" ht="30" customHeight="1">
      <c r="A424" s="8">
        <v>421</v>
      </c>
      <c r="B424" s="8" t="str">
        <f>"38492022042308135134898"</f>
        <v>38492022042308135134898</v>
      </c>
      <c r="C424" s="8" t="s">
        <v>13</v>
      </c>
      <c r="D424" s="8" t="str">
        <f>"王淇"</f>
        <v>王淇</v>
      </c>
      <c r="E424" s="8" t="str">
        <f>"男"</f>
        <v>男</v>
      </c>
    </row>
    <row r="425" spans="1:5" ht="30" customHeight="1">
      <c r="A425" s="8">
        <v>422</v>
      </c>
      <c r="B425" s="8" t="str">
        <f>"38492022042309141334937"</f>
        <v>38492022042309141334937</v>
      </c>
      <c r="C425" s="8" t="s">
        <v>13</v>
      </c>
      <c r="D425" s="8" t="str">
        <f>"林小娜"</f>
        <v>林小娜</v>
      </c>
      <c r="E425" s="8" t="str">
        <f>"女"</f>
        <v>女</v>
      </c>
    </row>
    <row r="426" spans="1:5" ht="30" customHeight="1">
      <c r="A426" s="8">
        <v>423</v>
      </c>
      <c r="B426" s="8" t="str">
        <f>"38492022042309573734999"</f>
        <v>38492022042309573734999</v>
      </c>
      <c r="C426" s="8" t="s">
        <v>13</v>
      </c>
      <c r="D426" s="8" t="str">
        <f>"黄诗婷"</f>
        <v>黄诗婷</v>
      </c>
      <c r="E426" s="8" t="str">
        <f>"女"</f>
        <v>女</v>
      </c>
    </row>
    <row r="427" spans="1:5" ht="30" customHeight="1">
      <c r="A427" s="8">
        <v>424</v>
      </c>
      <c r="B427" s="8" t="str">
        <f>"38492022042310155135021"</f>
        <v>38492022042310155135021</v>
      </c>
      <c r="C427" s="8" t="s">
        <v>13</v>
      </c>
      <c r="D427" s="8" t="str">
        <f>"吴新芬"</f>
        <v>吴新芬</v>
      </c>
      <c r="E427" s="8" t="str">
        <f>"女"</f>
        <v>女</v>
      </c>
    </row>
    <row r="428" spans="1:5" ht="30" customHeight="1">
      <c r="A428" s="8">
        <v>425</v>
      </c>
      <c r="B428" s="8" t="str">
        <f>"38492022042311275235118"</f>
        <v>38492022042311275235118</v>
      </c>
      <c r="C428" s="8" t="s">
        <v>13</v>
      </c>
      <c r="D428" s="8" t="str">
        <f>"陈善勇"</f>
        <v>陈善勇</v>
      </c>
      <c r="E428" s="8" t="str">
        <f>"男"</f>
        <v>男</v>
      </c>
    </row>
    <row r="429" spans="1:5" ht="30" customHeight="1">
      <c r="A429" s="8">
        <v>426</v>
      </c>
      <c r="B429" s="8" t="str">
        <f>"38492022042313342735274"</f>
        <v>38492022042313342735274</v>
      </c>
      <c r="C429" s="8" t="s">
        <v>13</v>
      </c>
      <c r="D429" s="8" t="str">
        <f>"吉保臣"</f>
        <v>吉保臣</v>
      </c>
      <c r="E429" s="8" t="str">
        <f>"男"</f>
        <v>男</v>
      </c>
    </row>
    <row r="430" spans="1:5" ht="30" customHeight="1">
      <c r="A430" s="8">
        <v>427</v>
      </c>
      <c r="B430" s="8" t="str">
        <f>"38492022042314383035357"</f>
        <v>38492022042314383035357</v>
      </c>
      <c r="C430" s="8" t="s">
        <v>13</v>
      </c>
      <c r="D430" s="8" t="str">
        <f>"王秋和"</f>
        <v>王秋和</v>
      </c>
      <c r="E430" s="8" t="str">
        <f>"女"</f>
        <v>女</v>
      </c>
    </row>
    <row r="431" spans="1:5" ht="30" customHeight="1">
      <c r="A431" s="8">
        <v>428</v>
      </c>
      <c r="B431" s="8" t="str">
        <f>"38492022042315143635399"</f>
        <v>38492022042315143635399</v>
      </c>
      <c r="C431" s="8" t="s">
        <v>13</v>
      </c>
      <c r="D431" s="8" t="str">
        <f>"杨杰"</f>
        <v>杨杰</v>
      </c>
      <c r="E431" s="8" t="str">
        <f>"男"</f>
        <v>男</v>
      </c>
    </row>
    <row r="432" spans="1:5" ht="30" customHeight="1">
      <c r="A432" s="8">
        <v>429</v>
      </c>
      <c r="B432" s="8" t="str">
        <f>"38492022042315444535453"</f>
        <v>38492022042315444535453</v>
      </c>
      <c r="C432" s="8" t="s">
        <v>13</v>
      </c>
      <c r="D432" s="8" t="str">
        <f>"潘优龙"</f>
        <v>潘优龙</v>
      </c>
      <c r="E432" s="8" t="str">
        <f>"男"</f>
        <v>男</v>
      </c>
    </row>
    <row r="433" spans="1:5" ht="30" customHeight="1">
      <c r="A433" s="8">
        <v>430</v>
      </c>
      <c r="B433" s="8" t="str">
        <f>"38492022042317433535613"</f>
        <v>38492022042317433535613</v>
      </c>
      <c r="C433" s="8" t="s">
        <v>13</v>
      </c>
      <c r="D433" s="8" t="str">
        <f>"钟凤娇"</f>
        <v>钟凤娇</v>
      </c>
      <c r="E433" s="8" t="str">
        <f>"女"</f>
        <v>女</v>
      </c>
    </row>
    <row r="434" spans="1:5" ht="30" customHeight="1">
      <c r="A434" s="8">
        <v>431</v>
      </c>
      <c r="B434" s="8" t="str">
        <f>"38492022042318132935639"</f>
        <v>38492022042318132935639</v>
      </c>
      <c r="C434" s="8" t="s">
        <v>13</v>
      </c>
      <c r="D434" s="8" t="str">
        <f>"黄琳琳"</f>
        <v>黄琳琳</v>
      </c>
      <c r="E434" s="8" t="str">
        <f>"女"</f>
        <v>女</v>
      </c>
    </row>
    <row r="435" spans="1:5" ht="30" customHeight="1">
      <c r="A435" s="8">
        <v>432</v>
      </c>
      <c r="B435" s="8" t="str">
        <f>"38492022042320362535795"</f>
        <v>38492022042320362535795</v>
      </c>
      <c r="C435" s="8" t="s">
        <v>13</v>
      </c>
      <c r="D435" s="8" t="str">
        <f>"李婧文"</f>
        <v>李婧文</v>
      </c>
      <c r="E435" s="8" t="str">
        <f>"女"</f>
        <v>女</v>
      </c>
    </row>
    <row r="436" spans="1:5" ht="30" customHeight="1">
      <c r="A436" s="8">
        <v>433</v>
      </c>
      <c r="B436" s="8" t="str">
        <f>"38492022042321082635848"</f>
        <v>38492022042321082635848</v>
      </c>
      <c r="C436" s="8" t="s">
        <v>13</v>
      </c>
      <c r="D436" s="8" t="str">
        <f>"莫艳菲"</f>
        <v>莫艳菲</v>
      </c>
      <c r="E436" s="8" t="str">
        <f>"女"</f>
        <v>女</v>
      </c>
    </row>
    <row r="437" spans="1:5" ht="30" customHeight="1">
      <c r="A437" s="8">
        <v>434</v>
      </c>
      <c r="B437" s="8" t="str">
        <f>"38492022042322150535960"</f>
        <v>38492022042322150535960</v>
      </c>
      <c r="C437" s="8" t="s">
        <v>13</v>
      </c>
      <c r="D437" s="8" t="str">
        <f>"郑乔尹"</f>
        <v>郑乔尹</v>
      </c>
      <c r="E437" s="8" t="str">
        <f>"女"</f>
        <v>女</v>
      </c>
    </row>
    <row r="438" spans="1:5" ht="30" customHeight="1">
      <c r="A438" s="8">
        <v>435</v>
      </c>
      <c r="B438" s="8" t="str">
        <f>"38492022042322201135968"</f>
        <v>38492022042322201135968</v>
      </c>
      <c r="C438" s="8" t="s">
        <v>13</v>
      </c>
      <c r="D438" s="8" t="str">
        <f>"钟明洁"</f>
        <v>钟明洁</v>
      </c>
      <c r="E438" s="8" t="str">
        <f>"男"</f>
        <v>男</v>
      </c>
    </row>
    <row r="439" spans="1:5" ht="30" customHeight="1">
      <c r="A439" s="8">
        <v>436</v>
      </c>
      <c r="B439" s="8" t="str">
        <f>"38492022042322371536000"</f>
        <v>38492022042322371536000</v>
      </c>
      <c r="C439" s="8" t="s">
        <v>13</v>
      </c>
      <c r="D439" s="8" t="str">
        <f>"李玉玲"</f>
        <v>李玉玲</v>
      </c>
      <c r="E439" s="8" t="str">
        <f>"女"</f>
        <v>女</v>
      </c>
    </row>
    <row r="440" spans="1:5" ht="30" customHeight="1">
      <c r="A440" s="8">
        <v>437</v>
      </c>
      <c r="B440" s="8" t="str">
        <f>"38492022042322381036002"</f>
        <v>38492022042322381036002</v>
      </c>
      <c r="C440" s="8" t="s">
        <v>13</v>
      </c>
      <c r="D440" s="8" t="str">
        <f>"符文丽"</f>
        <v>符文丽</v>
      </c>
      <c r="E440" s="8" t="str">
        <f>"女"</f>
        <v>女</v>
      </c>
    </row>
    <row r="441" spans="1:5" ht="30" customHeight="1">
      <c r="A441" s="8">
        <v>438</v>
      </c>
      <c r="B441" s="8" t="str">
        <f>"38492022042322452036019"</f>
        <v>38492022042322452036019</v>
      </c>
      <c r="C441" s="8" t="s">
        <v>13</v>
      </c>
      <c r="D441" s="8" t="str">
        <f>"符万森"</f>
        <v>符万森</v>
      </c>
      <c r="E441" s="8" t="str">
        <f>"男"</f>
        <v>男</v>
      </c>
    </row>
    <row r="442" spans="1:5" ht="30" customHeight="1">
      <c r="A442" s="8">
        <v>439</v>
      </c>
      <c r="B442" s="8" t="str">
        <f>"38492022042323484036096"</f>
        <v>38492022042323484036096</v>
      </c>
      <c r="C442" s="8" t="s">
        <v>13</v>
      </c>
      <c r="D442" s="8" t="str">
        <f>"林明秋"</f>
        <v>林明秋</v>
      </c>
      <c r="E442" s="8" t="str">
        <f>"女"</f>
        <v>女</v>
      </c>
    </row>
    <row r="443" spans="1:5" ht="30" customHeight="1">
      <c r="A443" s="8">
        <v>440</v>
      </c>
      <c r="B443" s="8" t="str">
        <f>"38492022042400250136118"</f>
        <v>38492022042400250136118</v>
      </c>
      <c r="C443" s="8" t="s">
        <v>13</v>
      </c>
      <c r="D443" s="8" t="str">
        <f>"符帮泽"</f>
        <v>符帮泽</v>
      </c>
      <c r="E443" s="8" t="str">
        <f>"男"</f>
        <v>男</v>
      </c>
    </row>
    <row r="444" spans="1:5" ht="30" customHeight="1">
      <c r="A444" s="8">
        <v>441</v>
      </c>
      <c r="B444" s="8" t="str">
        <f>"38492022042408084536162"</f>
        <v>38492022042408084536162</v>
      </c>
      <c r="C444" s="8" t="s">
        <v>13</v>
      </c>
      <c r="D444" s="8" t="str">
        <f>"周悦"</f>
        <v>周悦</v>
      </c>
      <c r="E444" s="8" t="str">
        <f aca="true" t="shared" si="54" ref="E444:E449">"女"</f>
        <v>女</v>
      </c>
    </row>
    <row r="445" spans="1:5" ht="30" customHeight="1">
      <c r="A445" s="8">
        <v>442</v>
      </c>
      <c r="B445" s="8" t="str">
        <f>"38492022042409083636256"</f>
        <v>38492022042409083636256</v>
      </c>
      <c r="C445" s="8" t="s">
        <v>13</v>
      </c>
      <c r="D445" s="8" t="str">
        <f>"杨帆"</f>
        <v>杨帆</v>
      </c>
      <c r="E445" s="8" t="str">
        <f t="shared" si="54"/>
        <v>女</v>
      </c>
    </row>
    <row r="446" spans="1:5" ht="30" customHeight="1">
      <c r="A446" s="8">
        <v>443</v>
      </c>
      <c r="B446" s="8" t="str">
        <f>"38492022042409173136279"</f>
        <v>38492022042409173136279</v>
      </c>
      <c r="C446" s="8" t="s">
        <v>13</v>
      </c>
      <c r="D446" s="8" t="str">
        <f>"赵日妮"</f>
        <v>赵日妮</v>
      </c>
      <c r="E446" s="8" t="str">
        <f t="shared" si="54"/>
        <v>女</v>
      </c>
    </row>
    <row r="447" spans="1:5" ht="30" customHeight="1">
      <c r="A447" s="8">
        <v>444</v>
      </c>
      <c r="B447" s="8" t="str">
        <f>"38492022042409272236300"</f>
        <v>38492022042409272236300</v>
      </c>
      <c r="C447" s="8" t="s">
        <v>13</v>
      </c>
      <c r="D447" s="8" t="str">
        <f>"符玉坤"</f>
        <v>符玉坤</v>
      </c>
      <c r="E447" s="8" t="str">
        <f t="shared" si="54"/>
        <v>女</v>
      </c>
    </row>
    <row r="448" spans="1:5" ht="30" customHeight="1">
      <c r="A448" s="8">
        <v>445</v>
      </c>
      <c r="B448" s="8" t="str">
        <f>"38492022042409324436311"</f>
        <v>38492022042409324436311</v>
      </c>
      <c r="C448" s="8" t="s">
        <v>13</v>
      </c>
      <c r="D448" s="8" t="str">
        <f>"吉慧颖"</f>
        <v>吉慧颖</v>
      </c>
      <c r="E448" s="8" t="str">
        <f t="shared" si="54"/>
        <v>女</v>
      </c>
    </row>
    <row r="449" spans="1:5" ht="30" customHeight="1">
      <c r="A449" s="8">
        <v>446</v>
      </c>
      <c r="B449" s="8" t="str">
        <f>"38492022042409543536355"</f>
        <v>38492022042409543536355</v>
      </c>
      <c r="C449" s="8" t="s">
        <v>13</v>
      </c>
      <c r="D449" s="8" t="str">
        <f>"王红棉"</f>
        <v>王红棉</v>
      </c>
      <c r="E449" s="8" t="str">
        <f t="shared" si="54"/>
        <v>女</v>
      </c>
    </row>
    <row r="450" spans="1:5" ht="30" customHeight="1">
      <c r="A450" s="8">
        <v>447</v>
      </c>
      <c r="B450" s="8" t="str">
        <f>"38492022042410550436475"</f>
        <v>38492022042410550436475</v>
      </c>
      <c r="C450" s="8" t="s">
        <v>13</v>
      </c>
      <c r="D450" s="8" t="str">
        <f>"麦豪强"</f>
        <v>麦豪强</v>
      </c>
      <c r="E450" s="8" t="str">
        <f>"男"</f>
        <v>男</v>
      </c>
    </row>
    <row r="451" spans="1:5" ht="30" customHeight="1">
      <c r="A451" s="8">
        <v>448</v>
      </c>
      <c r="B451" s="8" t="str">
        <f>"38492022042411305936543"</f>
        <v>38492022042411305936543</v>
      </c>
      <c r="C451" s="8" t="s">
        <v>13</v>
      </c>
      <c r="D451" s="8" t="str">
        <f>"李喜兰"</f>
        <v>李喜兰</v>
      </c>
      <c r="E451" s="8" t="str">
        <f>"女"</f>
        <v>女</v>
      </c>
    </row>
    <row r="452" spans="1:5" ht="30" customHeight="1">
      <c r="A452" s="8">
        <v>449</v>
      </c>
      <c r="B452" s="8" t="str">
        <f>"38492022042412474436675"</f>
        <v>38492022042412474436675</v>
      </c>
      <c r="C452" s="8" t="s">
        <v>13</v>
      </c>
      <c r="D452" s="8" t="str">
        <f>"许玉婷"</f>
        <v>许玉婷</v>
      </c>
      <c r="E452" s="8" t="str">
        <f>"女"</f>
        <v>女</v>
      </c>
    </row>
    <row r="453" spans="1:5" ht="30" customHeight="1">
      <c r="A453" s="8">
        <v>450</v>
      </c>
      <c r="B453" s="8" t="str">
        <f>"38492022042414531336843"</f>
        <v>38492022042414531336843</v>
      </c>
      <c r="C453" s="8" t="s">
        <v>13</v>
      </c>
      <c r="D453" s="8" t="str">
        <f>"李双灼"</f>
        <v>李双灼</v>
      </c>
      <c r="E453" s="8" t="str">
        <f>"男"</f>
        <v>男</v>
      </c>
    </row>
    <row r="454" spans="1:5" ht="30" customHeight="1">
      <c r="A454" s="8">
        <v>451</v>
      </c>
      <c r="B454" s="8" t="str">
        <f>"38492022042415081136869"</f>
        <v>38492022042415081136869</v>
      </c>
      <c r="C454" s="8" t="s">
        <v>13</v>
      </c>
      <c r="D454" s="8" t="str">
        <f>"刘松涛"</f>
        <v>刘松涛</v>
      </c>
      <c r="E454" s="8" t="str">
        <f>"男"</f>
        <v>男</v>
      </c>
    </row>
    <row r="455" spans="1:5" ht="30" customHeight="1">
      <c r="A455" s="8">
        <v>452</v>
      </c>
      <c r="B455" s="8" t="str">
        <f>"38492022042415361136928"</f>
        <v>38492022042415361136928</v>
      </c>
      <c r="C455" s="8" t="s">
        <v>13</v>
      </c>
      <c r="D455" s="8" t="str">
        <f>"王登"</f>
        <v>王登</v>
      </c>
      <c r="E455" s="8" t="str">
        <f>"男"</f>
        <v>男</v>
      </c>
    </row>
    <row r="456" spans="1:5" ht="30" customHeight="1">
      <c r="A456" s="8">
        <v>453</v>
      </c>
      <c r="B456" s="8" t="str">
        <f>"38492022042415493736970"</f>
        <v>38492022042415493736970</v>
      </c>
      <c r="C456" s="8" t="s">
        <v>13</v>
      </c>
      <c r="D456" s="8" t="str">
        <f>"谭玉容"</f>
        <v>谭玉容</v>
      </c>
      <c r="E456" s="8" t="str">
        <f>"女"</f>
        <v>女</v>
      </c>
    </row>
    <row r="457" spans="1:5" ht="30" customHeight="1">
      <c r="A457" s="8">
        <v>454</v>
      </c>
      <c r="B457" s="8" t="str">
        <f>"38492022042415594936999"</f>
        <v>38492022042415594936999</v>
      </c>
      <c r="C457" s="8" t="s">
        <v>13</v>
      </c>
      <c r="D457" s="8" t="str">
        <f>"符蓉蓉"</f>
        <v>符蓉蓉</v>
      </c>
      <c r="E457" s="8" t="str">
        <f>"女"</f>
        <v>女</v>
      </c>
    </row>
    <row r="458" spans="1:5" ht="30" customHeight="1">
      <c r="A458" s="8">
        <v>455</v>
      </c>
      <c r="B458" s="8" t="str">
        <f>"38492022042416283537053"</f>
        <v>38492022042416283537053</v>
      </c>
      <c r="C458" s="8" t="s">
        <v>13</v>
      </c>
      <c r="D458" s="8" t="str">
        <f>"张旅"</f>
        <v>张旅</v>
      </c>
      <c r="E458" s="8" t="str">
        <f>"女"</f>
        <v>女</v>
      </c>
    </row>
    <row r="459" spans="1:5" ht="30" customHeight="1">
      <c r="A459" s="8">
        <v>456</v>
      </c>
      <c r="B459" s="8" t="str">
        <f>"38492022042416414337093"</f>
        <v>38492022042416414337093</v>
      </c>
      <c r="C459" s="8" t="s">
        <v>13</v>
      </c>
      <c r="D459" s="8" t="str">
        <f>"凌娜"</f>
        <v>凌娜</v>
      </c>
      <c r="E459" s="8" t="str">
        <f>"女"</f>
        <v>女</v>
      </c>
    </row>
    <row r="460" spans="1:5" ht="30" customHeight="1">
      <c r="A460" s="8">
        <v>457</v>
      </c>
      <c r="B460" s="8" t="str">
        <f>"38492022042416433937097"</f>
        <v>38492022042416433937097</v>
      </c>
      <c r="C460" s="8" t="s">
        <v>13</v>
      </c>
      <c r="D460" s="8" t="str">
        <f>"郭卫江"</f>
        <v>郭卫江</v>
      </c>
      <c r="E460" s="8" t="str">
        <f>"男"</f>
        <v>男</v>
      </c>
    </row>
    <row r="461" spans="1:5" ht="30" customHeight="1">
      <c r="A461" s="8">
        <v>458</v>
      </c>
      <c r="B461" s="8" t="str">
        <f>"38492022042417073737147"</f>
        <v>38492022042417073737147</v>
      </c>
      <c r="C461" s="8" t="s">
        <v>13</v>
      </c>
      <c r="D461" s="8" t="str">
        <f>"钟冰"</f>
        <v>钟冰</v>
      </c>
      <c r="E461" s="8" t="str">
        <f>"女"</f>
        <v>女</v>
      </c>
    </row>
    <row r="462" spans="1:5" ht="30" customHeight="1">
      <c r="A462" s="8">
        <v>459</v>
      </c>
      <c r="B462" s="8" t="str">
        <f>"38492022042417293237182"</f>
        <v>38492022042417293237182</v>
      </c>
      <c r="C462" s="8" t="s">
        <v>13</v>
      </c>
      <c r="D462" s="8" t="str">
        <f>"郑一梅"</f>
        <v>郑一梅</v>
      </c>
      <c r="E462" s="8" t="str">
        <f>"女"</f>
        <v>女</v>
      </c>
    </row>
    <row r="463" spans="1:5" ht="30" customHeight="1">
      <c r="A463" s="8">
        <v>460</v>
      </c>
      <c r="B463" s="8" t="str">
        <f>"38492022042417441637199"</f>
        <v>38492022042417441637199</v>
      </c>
      <c r="C463" s="8" t="s">
        <v>13</v>
      </c>
      <c r="D463" s="8" t="str">
        <f>"符馨尹"</f>
        <v>符馨尹</v>
      </c>
      <c r="E463" s="8" t="str">
        <f>"女"</f>
        <v>女</v>
      </c>
    </row>
    <row r="464" spans="1:5" ht="30" customHeight="1">
      <c r="A464" s="8">
        <v>461</v>
      </c>
      <c r="B464" s="8" t="str">
        <f>"38492022042418205937264"</f>
        <v>38492022042418205937264</v>
      </c>
      <c r="C464" s="8" t="s">
        <v>13</v>
      </c>
      <c r="D464" s="8" t="str">
        <f>"卓毛朝"</f>
        <v>卓毛朝</v>
      </c>
      <c r="E464" s="8" t="str">
        <f>"男"</f>
        <v>男</v>
      </c>
    </row>
    <row r="465" spans="1:5" ht="30" customHeight="1">
      <c r="A465" s="8">
        <v>462</v>
      </c>
      <c r="B465" s="8" t="str">
        <f>"38492022042418303537275"</f>
        <v>38492022042418303537275</v>
      </c>
      <c r="C465" s="8" t="s">
        <v>13</v>
      </c>
      <c r="D465" s="8" t="str">
        <f>"王时茹"</f>
        <v>王时茹</v>
      </c>
      <c r="E465" s="8" t="str">
        <f>"女"</f>
        <v>女</v>
      </c>
    </row>
    <row r="466" spans="1:5" ht="30" customHeight="1">
      <c r="A466" s="8">
        <v>463</v>
      </c>
      <c r="B466" s="8" t="str">
        <f>"38492022042420234137437"</f>
        <v>38492022042420234137437</v>
      </c>
      <c r="C466" s="8" t="s">
        <v>13</v>
      </c>
      <c r="D466" s="8" t="str">
        <f>"李诗婷"</f>
        <v>李诗婷</v>
      </c>
      <c r="E466" s="8" t="str">
        <f>"女"</f>
        <v>女</v>
      </c>
    </row>
    <row r="467" spans="1:5" ht="30" customHeight="1">
      <c r="A467" s="8">
        <v>464</v>
      </c>
      <c r="B467" s="8" t="str">
        <f>"38492022042420523037485"</f>
        <v>38492022042420523037485</v>
      </c>
      <c r="C467" s="8" t="s">
        <v>13</v>
      </c>
      <c r="D467" s="8" t="str">
        <f>"谭学晶"</f>
        <v>谭学晶</v>
      </c>
      <c r="E467" s="8" t="str">
        <f>"女"</f>
        <v>女</v>
      </c>
    </row>
    <row r="468" spans="1:5" ht="30" customHeight="1">
      <c r="A468" s="8">
        <v>465</v>
      </c>
      <c r="B468" s="8" t="str">
        <f>"38492022042420542637490"</f>
        <v>38492022042420542637490</v>
      </c>
      <c r="C468" s="8" t="s">
        <v>13</v>
      </c>
      <c r="D468" s="8" t="str">
        <f>"傅颂文"</f>
        <v>傅颂文</v>
      </c>
      <c r="E468" s="8" t="str">
        <f>"男"</f>
        <v>男</v>
      </c>
    </row>
    <row r="469" spans="1:5" ht="30" customHeight="1">
      <c r="A469" s="8">
        <v>466</v>
      </c>
      <c r="B469" s="8" t="str">
        <f>"38492022042421092537519"</f>
        <v>38492022042421092537519</v>
      </c>
      <c r="C469" s="8" t="s">
        <v>13</v>
      </c>
      <c r="D469" s="8" t="str">
        <f>"林杰丹"</f>
        <v>林杰丹</v>
      </c>
      <c r="E469" s="8" t="str">
        <f>"女"</f>
        <v>女</v>
      </c>
    </row>
    <row r="470" spans="1:5" ht="30" customHeight="1">
      <c r="A470" s="8">
        <v>467</v>
      </c>
      <c r="B470" s="8" t="str">
        <f>"38492022042421440737573"</f>
        <v>38492022042421440737573</v>
      </c>
      <c r="C470" s="8" t="s">
        <v>13</v>
      </c>
      <c r="D470" s="8" t="str">
        <f>"王俊乔"</f>
        <v>王俊乔</v>
      </c>
      <c r="E470" s="8" t="str">
        <f>"男"</f>
        <v>男</v>
      </c>
    </row>
    <row r="471" spans="1:5" ht="30" customHeight="1">
      <c r="A471" s="8">
        <v>468</v>
      </c>
      <c r="B471" s="8" t="str">
        <f>"38492022042422020237598"</f>
        <v>38492022042422020237598</v>
      </c>
      <c r="C471" s="8" t="s">
        <v>13</v>
      </c>
      <c r="D471" s="8" t="str">
        <f>"王雯靖"</f>
        <v>王雯靖</v>
      </c>
      <c r="E471" s="8" t="str">
        <f>"女"</f>
        <v>女</v>
      </c>
    </row>
    <row r="472" spans="1:5" ht="30" customHeight="1">
      <c r="A472" s="8">
        <v>469</v>
      </c>
      <c r="B472" s="8" t="str">
        <f>"38492022042422511737676"</f>
        <v>38492022042422511737676</v>
      </c>
      <c r="C472" s="8" t="s">
        <v>13</v>
      </c>
      <c r="D472" s="8" t="str">
        <f>"羊世娟"</f>
        <v>羊世娟</v>
      </c>
      <c r="E472" s="8" t="str">
        <f>"女"</f>
        <v>女</v>
      </c>
    </row>
    <row r="473" spans="1:5" ht="30" customHeight="1">
      <c r="A473" s="8">
        <v>470</v>
      </c>
      <c r="B473" s="8" t="str">
        <f>"38492022042423200537720"</f>
        <v>38492022042423200537720</v>
      </c>
      <c r="C473" s="8" t="s">
        <v>13</v>
      </c>
      <c r="D473" s="8" t="str">
        <f>"陈冰"</f>
        <v>陈冰</v>
      </c>
      <c r="E473" s="8" t="str">
        <f>"女"</f>
        <v>女</v>
      </c>
    </row>
    <row r="474" spans="1:5" ht="30" customHeight="1">
      <c r="A474" s="8">
        <v>471</v>
      </c>
      <c r="B474" s="8" t="str">
        <f>"38492022042500323337768"</f>
        <v>38492022042500323337768</v>
      </c>
      <c r="C474" s="8" t="s">
        <v>13</v>
      </c>
      <c r="D474" s="8" t="str">
        <f>"陈玲玉"</f>
        <v>陈玲玉</v>
      </c>
      <c r="E474" s="8" t="str">
        <f>"女"</f>
        <v>女</v>
      </c>
    </row>
    <row r="475" spans="1:5" ht="30" customHeight="1">
      <c r="A475" s="8">
        <v>472</v>
      </c>
      <c r="B475" s="8" t="str">
        <f>"38492022042508135837808"</f>
        <v>38492022042508135837808</v>
      </c>
      <c r="C475" s="8" t="s">
        <v>13</v>
      </c>
      <c r="D475" s="8" t="str">
        <f>"符丽婷"</f>
        <v>符丽婷</v>
      </c>
      <c r="E475" s="8" t="str">
        <f>"女"</f>
        <v>女</v>
      </c>
    </row>
    <row r="476" spans="1:5" ht="30" customHeight="1">
      <c r="A476" s="8">
        <v>473</v>
      </c>
      <c r="B476" s="8" t="str">
        <f>"38492022042509080337850"</f>
        <v>38492022042509080337850</v>
      </c>
      <c r="C476" s="8" t="s">
        <v>13</v>
      </c>
      <c r="D476" s="8" t="str">
        <f>"戴祖坚"</f>
        <v>戴祖坚</v>
      </c>
      <c r="E476" s="8" t="str">
        <f>"男"</f>
        <v>男</v>
      </c>
    </row>
    <row r="477" spans="1:5" ht="30" customHeight="1">
      <c r="A477" s="8">
        <v>474</v>
      </c>
      <c r="B477" s="8" t="str">
        <f>"38492022042509132637859"</f>
        <v>38492022042509132637859</v>
      </c>
      <c r="C477" s="8" t="s">
        <v>13</v>
      </c>
      <c r="D477" s="8" t="str">
        <f>"龙丁怡"</f>
        <v>龙丁怡</v>
      </c>
      <c r="E477" s="8" t="str">
        <f>"女"</f>
        <v>女</v>
      </c>
    </row>
    <row r="478" spans="1:5" ht="30" customHeight="1">
      <c r="A478" s="8">
        <v>475</v>
      </c>
      <c r="B478" s="8" t="str">
        <f>"38492022042509163237867"</f>
        <v>38492022042509163237867</v>
      </c>
      <c r="C478" s="8" t="s">
        <v>13</v>
      </c>
      <c r="D478" s="8" t="str">
        <f>"缪正雁"</f>
        <v>缪正雁</v>
      </c>
      <c r="E478" s="8" t="str">
        <f>"女"</f>
        <v>女</v>
      </c>
    </row>
    <row r="479" spans="1:5" ht="30" customHeight="1">
      <c r="A479" s="8">
        <v>476</v>
      </c>
      <c r="B479" s="8" t="str">
        <f>"38492022042509593537944"</f>
        <v>38492022042509593537944</v>
      </c>
      <c r="C479" s="8" t="s">
        <v>13</v>
      </c>
      <c r="D479" s="8" t="str">
        <f>"许海妍"</f>
        <v>许海妍</v>
      </c>
      <c r="E479" s="8" t="str">
        <f>"女"</f>
        <v>女</v>
      </c>
    </row>
    <row r="480" spans="1:5" ht="30" customHeight="1">
      <c r="A480" s="8">
        <v>477</v>
      </c>
      <c r="B480" s="8" t="str">
        <f>"38492022042510024737951"</f>
        <v>38492022042510024737951</v>
      </c>
      <c r="C480" s="8" t="s">
        <v>13</v>
      </c>
      <c r="D480" s="8" t="str">
        <f>"兰敏"</f>
        <v>兰敏</v>
      </c>
      <c r="E480" s="8" t="str">
        <f>"女"</f>
        <v>女</v>
      </c>
    </row>
    <row r="481" spans="1:5" ht="30" customHeight="1">
      <c r="A481" s="8">
        <v>478</v>
      </c>
      <c r="B481" s="8" t="str">
        <f>"38492022042510062037956"</f>
        <v>38492022042510062037956</v>
      </c>
      <c r="C481" s="8" t="s">
        <v>13</v>
      </c>
      <c r="D481" s="8" t="str">
        <f>"邱莹"</f>
        <v>邱莹</v>
      </c>
      <c r="E481" s="8" t="str">
        <f>"女"</f>
        <v>女</v>
      </c>
    </row>
    <row r="482" spans="1:5" ht="30" customHeight="1">
      <c r="A482" s="8">
        <v>479</v>
      </c>
      <c r="B482" s="8" t="str">
        <f>"38492022042510164137972"</f>
        <v>38492022042510164137972</v>
      </c>
      <c r="C482" s="8" t="s">
        <v>13</v>
      </c>
      <c r="D482" s="8" t="str">
        <f>"黎隆茂"</f>
        <v>黎隆茂</v>
      </c>
      <c r="E482" s="8" t="str">
        <f>"男"</f>
        <v>男</v>
      </c>
    </row>
    <row r="483" spans="1:5" ht="30" customHeight="1">
      <c r="A483" s="8">
        <v>480</v>
      </c>
      <c r="B483" s="8" t="str">
        <f>"38492022042510230237983"</f>
        <v>38492022042510230237983</v>
      </c>
      <c r="C483" s="8" t="s">
        <v>13</v>
      </c>
      <c r="D483" s="8" t="str">
        <f>"林婷"</f>
        <v>林婷</v>
      </c>
      <c r="E483" s="8" t="str">
        <f>"女"</f>
        <v>女</v>
      </c>
    </row>
    <row r="484" spans="1:5" ht="30" customHeight="1">
      <c r="A484" s="8">
        <v>481</v>
      </c>
      <c r="B484" s="8" t="str">
        <f>"38492022042510413238026"</f>
        <v>38492022042510413238026</v>
      </c>
      <c r="C484" s="8" t="s">
        <v>13</v>
      </c>
      <c r="D484" s="8" t="str">
        <f>"王大端"</f>
        <v>王大端</v>
      </c>
      <c r="E484" s="8" t="str">
        <f>"男"</f>
        <v>男</v>
      </c>
    </row>
    <row r="485" spans="1:5" ht="30" customHeight="1">
      <c r="A485" s="8">
        <v>482</v>
      </c>
      <c r="B485" s="8" t="str">
        <f>"38492022042510543938055"</f>
        <v>38492022042510543938055</v>
      </c>
      <c r="C485" s="8" t="s">
        <v>13</v>
      </c>
      <c r="D485" s="8" t="str">
        <f>"张鑫"</f>
        <v>张鑫</v>
      </c>
      <c r="E485" s="8" t="str">
        <f>"男"</f>
        <v>男</v>
      </c>
    </row>
    <row r="486" spans="1:5" ht="30" customHeight="1">
      <c r="A486" s="8">
        <v>483</v>
      </c>
      <c r="B486" s="8" t="str">
        <f>"38492022042513302838229"</f>
        <v>38492022042513302838229</v>
      </c>
      <c r="C486" s="8" t="s">
        <v>13</v>
      </c>
      <c r="D486" s="8" t="str">
        <f>"林洁"</f>
        <v>林洁</v>
      </c>
      <c r="E486" s="8" t="str">
        <f>"女"</f>
        <v>女</v>
      </c>
    </row>
    <row r="487" spans="1:5" ht="30" customHeight="1">
      <c r="A487" s="8">
        <v>484</v>
      </c>
      <c r="B487" s="8" t="str">
        <f>"38492022042515391038404"</f>
        <v>38492022042515391038404</v>
      </c>
      <c r="C487" s="8" t="s">
        <v>13</v>
      </c>
      <c r="D487" s="8" t="str">
        <f>"陈焕阳"</f>
        <v>陈焕阳</v>
      </c>
      <c r="E487" s="8" t="str">
        <f>"男"</f>
        <v>男</v>
      </c>
    </row>
    <row r="488" spans="1:5" ht="30" customHeight="1">
      <c r="A488" s="8">
        <v>485</v>
      </c>
      <c r="B488" s="8" t="str">
        <f>"38492022042517145238561"</f>
        <v>38492022042517145238561</v>
      </c>
      <c r="C488" s="8" t="s">
        <v>13</v>
      </c>
      <c r="D488" s="8" t="str">
        <f>"梁春桃"</f>
        <v>梁春桃</v>
      </c>
      <c r="E488" s="8" t="str">
        <f aca="true" t="shared" si="55" ref="E488:E493">"女"</f>
        <v>女</v>
      </c>
    </row>
    <row r="489" spans="1:5" ht="30" customHeight="1">
      <c r="A489" s="8">
        <v>486</v>
      </c>
      <c r="B489" s="8" t="str">
        <f>"38492022042517564138607"</f>
        <v>38492022042517564138607</v>
      </c>
      <c r="C489" s="8" t="s">
        <v>13</v>
      </c>
      <c r="D489" s="8" t="str">
        <f>"文世芬"</f>
        <v>文世芬</v>
      </c>
      <c r="E489" s="8" t="str">
        <f t="shared" si="55"/>
        <v>女</v>
      </c>
    </row>
    <row r="490" spans="1:5" ht="30" customHeight="1">
      <c r="A490" s="8">
        <v>487</v>
      </c>
      <c r="B490" s="8" t="str">
        <f>"38492022042518054238617"</f>
        <v>38492022042518054238617</v>
      </c>
      <c r="C490" s="8" t="s">
        <v>13</v>
      </c>
      <c r="D490" s="8" t="str">
        <f>"陈紫欣"</f>
        <v>陈紫欣</v>
      </c>
      <c r="E490" s="8" t="str">
        <f t="shared" si="55"/>
        <v>女</v>
      </c>
    </row>
    <row r="491" spans="1:5" ht="30" customHeight="1">
      <c r="A491" s="8">
        <v>488</v>
      </c>
      <c r="B491" s="8" t="str">
        <f>"38492022042518395038659"</f>
        <v>38492022042518395038659</v>
      </c>
      <c r="C491" s="8" t="s">
        <v>13</v>
      </c>
      <c r="D491" s="8" t="str">
        <f>"张海燕"</f>
        <v>张海燕</v>
      </c>
      <c r="E491" s="8" t="str">
        <f t="shared" si="55"/>
        <v>女</v>
      </c>
    </row>
    <row r="492" spans="1:5" ht="30" customHeight="1">
      <c r="A492" s="8">
        <v>489</v>
      </c>
      <c r="B492" s="8" t="str">
        <f>"38492022042520164638765"</f>
        <v>38492022042520164638765</v>
      </c>
      <c r="C492" s="8" t="s">
        <v>13</v>
      </c>
      <c r="D492" s="8" t="str">
        <f>"邢璐璐"</f>
        <v>邢璐璐</v>
      </c>
      <c r="E492" s="8" t="str">
        <f t="shared" si="55"/>
        <v>女</v>
      </c>
    </row>
    <row r="493" spans="1:5" ht="30" customHeight="1">
      <c r="A493" s="8">
        <v>490</v>
      </c>
      <c r="B493" s="8" t="str">
        <f>"38492022042520531338813"</f>
        <v>38492022042520531338813</v>
      </c>
      <c r="C493" s="8" t="s">
        <v>13</v>
      </c>
      <c r="D493" s="8" t="str">
        <f>"李万内"</f>
        <v>李万内</v>
      </c>
      <c r="E493" s="8" t="str">
        <f t="shared" si="55"/>
        <v>女</v>
      </c>
    </row>
    <row r="494" spans="1:5" ht="30" customHeight="1">
      <c r="A494" s="8">
        <v>491</v>
      </c>
      <c r="B494" s="8" t="str">
        <f>"38492022042521065238831"</f>
        <v>38492022042521065238831</v>
      </c>
      <c r="C494" s="8" t="s">
        <v>13</v>
      </c>
      <c r="D494" s="8" t="str">
        <f>" 赵君全"</f>
        <v> 赵君全</v>
      </c>
      <c r="E494" s="8" t="str">
        <f>"男"</f>
        <v>男</v>
      </c>
    </row>
    <row r="495" spans="1:5" ht="30" customHeight="1">
      <c r="A495" s="8">
        <v>492</v>
      </c>
      <c r="B495" s="8" t="str">
        <f>"38492022042521235038850"</f>
        <v>38492022042521235038850</v>
      </c>
      <c r="C495" s="8" t="s">
        <v>13</v>
      </c>
      <c r="D495" s="8" t="str">
        <f>"王晓燕"</f>
        <v>王晓燕</v>
      </c>
      <c r="E495" s="8" t="str">
        <f>"女"</f>
        <v>女</v>
      </c>
    </row>
    <row r="496" spans="1:5" ht="30" customHeight="1">
      <c r="A496" s="8">
        <v>493</v>
      </c>
      <c r="B496" s="8" t="str">
        <f>"38492022042521530638901"</f>
        <v>38492022042521530638901</v>
      </c>
      <c r="C496" s="8" t="s">
        <v>13</v>
      </c>
      <c r="D496" s="8" t="str">
        <f>"王博"</f>
        <v>王博</v>
      </c>
      <c r="E496" s="8" t="str">
        <f>"男"</f>
        <v>男</v>
      </c>
    </row>
    <row r="497" spans="1:5" ht="30" customHeight="1">
      <c r="A497" s="8">
        <v>494</v>
      </c>
      <c r="B497" s="8" t="str">
        <f>"38492022042600402639077"</f>
        <v>38492022042600402639077</v>
      </c>
      <c r="C497" s="8" t="s">
        <v>13</v>
      </c>
      <c r="D497" s="8" t="str">
        <f>"杨后平"</f>
        <v>杨后平</v>
      </c>
      <c r="E497" s="8" t="str">
        <f>"男"</f>
        <v>男</v>
      </c>
    </row>
    <row r="498" spans="1:5" ht="30" customHeight="1">
      <c r="A498" s="8">
        <v>495</v>
      </c>
      <c r="B498" s="8" t="str">
        <f>"38492022042607461039110"</f>
        <v>38492022042607461039110</v>
      </c>
      <c r="C498" s="8" t="s">
        <v>13</v>
      </c>
      <c r="D498" s="8" t="str">
        <f>"吉丽萍"</f>
        <v>吉丽萍</v>
      </c>
      <c r="E498" s="8" t="str">
        <f aca="true" t="shared" si="56" ref="E498:E514">"女"</f>
        <v>女</v>
      </c>
    </row>
    <row r="499" spans="1:5" ht="30" customHeight="1">
      <c r="A499" s="8">
        <v>496</v>
      </c>
      <c r="B499" s="8" t="str">
        <f>"38492022042607590739114"</f>
        <v>38492022042607590739114</v>
      </c>
      <c r="C499" s="8" t="s">
        <v>13</v>
      </c>
      <c r="D499" s="8" t="str">
        <f>"邝晶"</f>
        <v>邝晶</v>
      </c>
      <c r="E499" s="8" t="str">
        <f t="shared" si="56"/>
        <v>女</v>
      </c>
    </row>
    <row r="500" spans="1:5" ht="30" customHeight="1">
      <c r="A500" s="8">
        <v>497</v>
      </c>
      <c r="B500" s="8" t="str">
        <f>"38492022042608094939120"</f>
        <v>38492022042608094939120</v>
      </c>
      <c r="C500" s="8" t="s">
        <v>13</v>
      </c>
      <c r="D500" s="8" t="str">
        <f>"秦小杏"</f>
        <v>秦小杏</v>
      </c>
      <c r="E500" s="8" t="str">
        <f t="shared" si="56"/>
        <v>女</v>
      </c>
    </row>
    <row r="501" spans="1:5" ht="30" customHeight="1">
      <c r="A501" s="8">
        <v>498</v>
      </c>
      <c r="B501" s="8" t="str">
        <f>"38492022042608290239135"</f>
        <v>38492022042608290239135</v>
      </c>
      <c r="C501" s="8" t="s">
        <v>13</v>
      </c>
      <c r="D501" s="8" t="str">
        <f>"符玉萍"</f>
        <v>符玉萍</v>
      </c>
      <c r="E501" s="8" t="str">
        <f t="shared" si="56"/>
        <v>女</v>
      </c>
    </row>
    <row r="502" spans="1:5" ht="30" customHeight="1">
      <c r="A502" s="8">
        <v>499</v>
      </c>
      <c r="B502" s="8" t="str">
        <f>"38492022042609352439221"</f>
        <v>38492022042609352439221</v>
      </c>
      <c r="C502" s="8" t="s">
        <v>13</v>
      </c>
      <c r="D502" s="8" t="str">
        <f>"郑精梅"</f>
        <v>郑精梅</v>
      </c>
      <c r="E502" s="8" t="str">
        <f t="shared" si="56"/>
        <v>女</v>
      </c>
    </row>
    <row r="503" spans="1:5" ht="30" customHeight="1">
      <c r="A503" s="8">
        <v>500</v>
      </c>
      <c r="B503" s="8" t="str">
        <f>"38492022042609381639224"</f>
        <v>38492022042609381639224</v>
      </c>
      <c r="C503" s="8" t="s">
        <v>13</v>
      </c>
      <c r="D503" s="8" t="str">
        <f>"黄紫薇"</f>
        <v>黄紫薇</v>
      </c>
      <c r="E503" s="8" t="str">
        <f t="shared" si="56"/>
        <v>女</v>
      </c>
    </row>
    <row r="504" spans="1:5" ht="30" customHeight="1">
      <c r="A504" s="8">
        <v>501</v>
      </c>
      <c r="B504" s="8" t="str">
        <f>"38492022042609522739247"</f>
        <v>38492022042609522739247</v>
      </c>
      <c r="C504" s="8" t="s">
        <v>13</v>
      </c>
      <c r="D504" s="8" t="str">
        <f>"刘迪雅"</f>
        <v>刘迪雅</v>
      </c>
      <c r="E504" s="8" t="str">
        <f t="shared" si="56"/>
        <v>女</v>
      </c>
    </row>
    <row r="505" spans="1:5" ht="30" customHeight="1">
      <c r="A505" s="8">
        <v>502</v>
      </c>
      <c r="B505" s="8" t="str">
        <f>"38492022042610061639264"</f>
        <v>38492022042610061639264</v>
      </c>
      <c r="C505" s="8" t="s">
        <v>13</v>
      </c>
      <c r="D505" s="8" t="str">
        <f>"吴皎月"</f>
        <v>吴皎月</v>
      </c>
      <c r="E505" s="8" t="str">
        <f t="shared" si="56"/>
        <v>女</v>
      </c>
    </row>
    <row r="506" spans="1:5" ht="30" customHeight="1">
      <c r="A506" s="8">
        <v>503</v>
      </c>
      <c r="B506" s="8" t="str">
        <f>"38492022042610231839297"</f>
        <v>38492022042610231839297</v>
      </c>
      <c r="C506" s="8" t="s">
        <v>13</v>
      </c>
      <c r="D506" s="8" t="str">
        <f>"叶丹花"</f>
        <v>叶丹花</v>
      </c>
      <c r="E506" s="8" t="str">
        <f t="shared" si="56"/>
        <v>女</v>
      </c>
    </row>
    <row r="507" spans="1:5" ht="30" customHeight="1">
      <c r="A507" s="8">
        <v>504</v>
      </c>
      <c r="B507" s="8" t="str">
        <f>"38492022042610504239337"</f>
        <v>38492022042610504239337</v>
      </c>
      <c r="C507" s="8" t="s">
        <v>13</v>
      </c>
      <c r="D507" s="8" t="str">
        <f>"朱宝莲"</f>
        <v>朱宝莲</v>
      </c>
      <c r="E507" s="8" t="str">
        <f t="shared" si="56"/>
        <v>女</v>
      </c>
    </row>
    <row r="508" spans="1:5" ht="30" customHeight="1">
      <c r="A508" s="8">
        <v>505</v>
      </c>
      <c r="B508" s="8" t="str">
        <f>"38492022042610530339339"</f>
        <v>38492022042610530339339</v>
      </c>
      <c r="C508" s="8" t="s">
        <v>13</v>
      </c>
      <c r="D508" s="8" t="str">
        <f>"王娟"</f>
        <v>王娟</v>
      </c>
      <c r="E508" s="8" t="str">
        <f t="shared" si="56"/>
        <v>女</v>
      </c>
    </row>
    <row r="509" spans="1:5" ht="30" customHeight="1">
      <c r="A509" s="8">
        <v>506</v>
      </c>
      <c r="B509" s="8" t="str">
        <f>"38492022042611215239380"</f>
        <v>38492022042611215239380</v>
      </c>
      <c r="C509" s="8" t="s">
        <v>13</v>
      </c>
      <c r="D509" s="8" t="str">
        <f>"吴瑛琪"</f>
        <v>吴瑛琪</v>
      </c>
      <c r="E509" s="8" t="str">
        <f t="shared" si="56"/>
        <v>女</v>
      </c>
    </row>
    <row r="510" spans="1:5" ht="30" customHeight="1">
      <c r="A510" s="8">
        <v>507</v>
      </c>
      <c r="B510" s="8" t="str">
        <f>"38492022042614483239608"</f>
        <v>38492022042614483239608</v>
      </c>
      <c r="C510" s="8" t="s">
        <v>13</v>
      </c>
      <c r="D510" s="8" t="str">
        <f>"梁雪丹"</f>
        <v>梁雪丹</v>
      </c>
      <c r="E510" s="8" t="str">
        <f t="shared" si="56"/>
        <v>女</v>
      </c>
    </row>
    <row r="511" spans="1:5" ht="30" customHeight="1">
      <c r="A511" s="8">
        <v>508</v>
      </c>
      <c r="B511" s="8" t="str">
        <f>"38492022042614551939623"</f>
        <v>38492022042614551939623</v>
      </c>
      <c r="C511" s="8" t="s">
        <v>13</v>
      </c>
      <c r="D511" s="8" t="str">
        <f>"曾婷娜"</f>
        <v>曾婷娜</v>
      </c>
      <c r="E511" s="8" t="str">
        <f t="shared" si="56"/>
        <v>女</v>
      </c>
    </row>
    <row r="512" spans="1:5" ht="30" customHeight="1">
      <c r="A512" s="8">
        <v>509</v>
      </c>
      <c r="B512" s="8" t="str">
        <f>"38492022042615192639674"</f>
        <v>38492022042615192639674</v>
      </c>
      <c r="C512" s="8" t="s">
        <v>13</v>
      </c>
      <c r="D512" s="8" t="str">
        <f>"米云"</f>
        <v>米云</v>
      </c>
      <c r="E512" s="8" t="str">
        <f t="shared" si="56"/>
        <v>女</v>
      </c>
    </row>
    <row r="513" spans="1:5" ht="30" customHeight="1">
      <c r="A513" s="8">
        <v>510</v>
      </c>
      <c r="B513" s="8" t="str">
        <f>"38492022042615385339715"</f>
        <v>38492022042615385339715</v>
      </c>
      <c r="C513" s="8" t="s">
        <v>13</v>
      </c>
      <c r="D513" s="8" t="str">
        <f>"羊灵慧"</f>
        <v>羊灵慧</v>
      </c>
      <c r="E513" s="8" t="str">
        <f t="shared" si="56"/>
        <v>女</v>
      </c>
    </row>
    <row r="514" spans="1:5" ht="30" customHeight="1">
      <c r="A514" s="8">
        <v>511</v>
      </c>
      <c r="B514" s="8" t="str">
        <f>"38492022042616293039815"</f>
        <v>38492022042616293039815</v>
      </c>
      <c r="C514" s="8" t="s">
        <v>13</v>
      </c>
      <c r="D514" s="8" t="str">
        <f>"李丽洁"</f>
        <v>李丽洁</v>
      </c>
      <c r="E514" s="8" t="str">
        <f t="shared" si="56"/>
        <v>女</v>
      </c>
    </row>
    <row r="515" spans="1:5" ht="30" customHeight="1">
      <c r="A515" s="8">
        <v>512</v>
      </c>
      <c r="B515" s="8" t="str">
        <f>"38492022042616520939864"</f>
        <v>38492022042616520939864</v>
      </c>
      <c r="C515" s="8" t="s">
        <v>13</v>
      </c>
      <c r="D515" s="8" t="str">
        <f>"吴克龙·"</f>
        <v>吴克龙·</v>
      </c>
      <c r="E515" s="8" t="str">
        <f>"男"</f>
        <v>男</v>
      </c>
    </row>
    <row r="516" spans="1:5" ht="30" customHeight="1">
      <c r="A516" s="8">
        <v>513</v>
      </c>
      <c r="B516" s="8" t="str">
        <f>"38492022042616583939877"</f>
        <v>38492022042616583939877</v>
      </c>
      <c r="C516" s="8" t="s">
        <v>13</v>
      </c>
      <c r="D516" s="8" t="str">
        <f>"黎万师"</f>
        <v>黎万师</v>
      </c>
      <c r="E516" s="8" t="str">
        <f>"男"</f>
        <v>男</v>
      </c>
    </row>
    <row r="517" spans="1:5" ht="30" customHeight="1">
      <c r="A517" s="8">
        <v>514</v>
      </c>
      <c r="B517" s="8" t="str">
        <f>"38492022042616590539879"</f>
        <v>38492022042616590539879</v>
      </c>
      <c r="C517" s="8" t="s">
        <v>13</v>
      </c>
      <c r="D517" s="8" t="str">
        <f>"薛欧妃"</f>
        <v>薛欧妃</v>
      </c>
      <c r="E517" s="8" t="str">
        <f>"女"</f>
        <v>女</v>
      </c>
    </row>
    <row r="518" spans="1:5" ht="30" customHeight="1">
      <c r="A518" s="8">
        <v>515</v>
      </c>
      <c r="B518" s="8" t="str">
        <f>"38492022042616592239880"</f>
        <v>38492022042616592239880</v>
      </c>
      <c r="C518" s="8" t="s">
        <v>13</v>
      </c>
      <c r="D518" s="8" t="str">
        <f>"郭文珍"</f>
        <v>郭文珍</v>
      </c>
      <c r="E518" s="8" t="str">
        <f>"女"</f>
        <v>女</v>
      </c>
    </row>
    <row r="519" spans="1:5" ht="30" customHeight="1">
      <c r="A519" s="8">
        <v>516</v>
      </c>
      <c r="B519" s="8" t="str">
        <f>"38492022042619084340025"</f>
        <v>38492022042619084340025</v>
      </c>
      <c r="C519" s="8" t="s">
        <v>13</v>
      </c>
      <c r="D519" s="8" t="str">
        <f>"冯琦"</f>
        <v>冯琦</v>
      </c>
      <c r="E519" s="8" t="str">
        <f>"女"</f>
        <v>女</v>
      </c>
    </row>
    <row r="520" spans="1:5" ht="30" customHeight="1">
      <c r="A520" s="8">
        <v>517</v>
      </c>
      <c r="B520" s="8" t="str">
        <f>"38492022042619170540037"</f>
        <v>38492022042619170540037</v>
      </c>
      <c r="C520" s="8" t="s">
        <v>13</v>
      </c>
      <c r="D520" s="8" t="str">
        <f>"周亚贞"</f>
        <v>周亚贞</v>
      </c>
      <c r="E520" s="8" t="str">
        <f>"女"</f>
        <v>女</v>
      </c>
    </row>
    <row r="521" spans="1:5" ht="30" customHeight="1">
      <c r="A521" s="8">
        <v>518</v>
      </c>
      <c r="B521" s="8" t="str">
        <f>"38492022042620251240128"</f>
        <v>38492022042620251240128</v>
      </c>
      <c r="C521" s="8" t="s">
        <v>13</v>
      </c>
      <c r="D521" s="8" t="str">
        <f>"陈佳敏"</f>
        <v>陈佳敏</v>
      </c>
      <c r="E521" s="8" t="str">
        <f>"女"</f>
        <v>女</v>
      </c>
    </row>
    <row r="522" spans="1:5" ht="30" customHeight="1">
      <c r="A522" s="8">
        <v>519</v>
      </c>
      <c r="B522" s="8" t="str">
        <f>"38492022042621504140278"</f>
        <v>38492022042621504140278</v>
      </c>
      <c r="C522" s="8" t="s">
        <v>13</v>
      </c>
      <c r="D522" s="8" t="str">
        <f>"李彦良"</f>
        <v>李彦良</v>
      </c>
      <c r="E522" s="8" t="str">
        <f>"男"</f>
        <v>男</v>
      </c>
    </row>
    <row r="523" spans="1:5" ht="30" customHeight="1">
      <c r="A523" s="8">
        <v>520</v>
      </c>
      <c r="B523" s="8" t="str">
        <f>"38492022042622471140372"</f>
        <v>38492022042622471140372</v>
      </c>
      <c r="C523" s="8" t="s">
        <v>13</v>
      </c>
      <c r="D523" s="8" t="str">
        <f>"杨梦欣"</f>
        <v>杨梦欣</v>
      </c>
      <c r="E523" s="8" t="str">
        <f>"女"</f>
        <v>女</v>
      </c>
    </row>
    <row r="524" spans="1:5" ht="30" customHeight="1">
      <c r="A524" s="8">
        <v>521</v>
      </c>
      <c r="B524" s="8" t="str">
        <f>"38492022042622562140388"</f>
        <v>38492022042622562140388</v>
      </c>
      <c r="C524" s="8" t="s">
        <v>13</v>
      </c>
      <c r="D524" s="8" t="str">
        <f>"林道鹏"</f>
        <v>林道鹏</v>
      </c>
      <c r="E524" s="8" t="str">
        <f>"男"</f>
        <v>男</v>
      </c>
    </row>
    <row r="525" spans="1:5" ht="30" customHeight="1">
      <c r="A525" s="8">
        <v>522</v>
      </c>
      <c r="B525" s="8" t="str">
        <f>"38492022042622583740394"</f>
        <v>38492022042622583740394</v>
      </c>
      <c r="C525" s="8" t="s">
        <v>13</v>
      </c>
      <c r="D525" s="8" t="str">
        <f>"苏春秀"</f>
        <v>苏春秀</v>
      </c>
      <c r="E525" s="8" t="str">
        <f>"女"</f>
        <v>女</v>
      </c>
    </row>
    <row r="526" spans="1:5" ht="30" customHeight="1">
      <c r="A526" s="8">
        <v>523</v>
      </c>
      <c r="B526" s="8" t="str">
        <f>"38492022042700105040499"</f>
        <v>38492022042700105040499</v>
      </c>
      <c r="C526" s="8" t="s">
        <v>13</v>
      </c>
      <c r="D526" s="8" t="str">
        <f>"韩艺韵"</f>
        <v>韩艺韵</v>
      </c>
      <c r="E526" s="8" t="str">
        <f>"女"</f>
        <v>女</v>
      </c>
    </row>
    <row r="527" spans="1:5" ht="30" customHeight="1">
      <c r="A527" s="8">
        <v>524</v>
      </c>
      <c r="B527" s="8" t="str">
        <f>"38492022042701393940531"</f>
        <v>38492022042701393940531</v>
      </c>
      <c r="C527" s="8" t="s">
        <v>13</v>
      </c>
      <c r="D527" s="8" t="str">
        <f>"蔡於良"</f>
        <v>蔡於良</v>
      </c>
      <c r="E527" s="8" t="str">
        <f>"男"</f>
        <v>男</v>
      </c>
    </row>
    <row r="528" spans="1:5" ht="30" customHeight="1">
      <c r="A528" s="8">
        <v>525</v>
      </c>
      <c r="B528" s="8" t="str">
        <f>"38492022042704105740541"</f>
        <v>38492022042704105740541</v>
      </c>
      <c r="C528" s="8" t="s">
        <v>13</v>
      </c>
      <c r="D528" s="8" t="str">
        <f>"赵英诗"</f>
        <v>赵英诗</v>
      </c>
      <c r="E528" s="8" t="str">
        <f>"女"</f>
        <v>女</v>
      </c>
    </row>
    <row r="529" spans="1:5" ht="30" customHeight="1">
      <c r="A529" s="8">
        <v>526</v>
      </c>
      <c r="B529" s="8" t="str">
        <f>"38492022042705384940545"</f>
        <v>38492022042705384940545</v>
      </c>
      <c r="C529" s="8" t="s">
        <v>13</v>
      </c>
      <c r="D529" s="8" t="str">
        <f>"黄家俊"</f>
        <v>黄家俊</v>
      </c>
      <c r="E529" s="8" t="str">
        <f>"男"</f>
        <v>男</v>
      </c>
    </row>
    <row r="530" spans="1:5" ht="30" customHeight="1">
      <c r="A530" s="8">
        <v>527</v>
      </c>
      <c r="B530" s="8" t="str">
        <f>"38492022042707034440553"</f>
        <v>38492022042707034440553</v>
      </c>
      <c r="C530" s="8" t="s">
        <v>13</v>
      </c>
      <c r="D530" s="8" t="str">
        <f>"王琼利"</f>
        <v>王琼利</v>
      </c>
      <c r="E530" s="8" t="str">
        <f aca="true" t="shared" si="57" ref="E530:E535">"女"</f>
        <v>女</v>
      </c>
    </row>
    <row r="531" spans="1:5" ht="30" customHeight="1">
      <c r="A531" s="8">
        <v>528</v>
      </c>
      <c r="B531" s="8" t="str">
        <f>"38492022042707433540570"</f>
        <v>38492022042707433540570</v>
      </c>
      <c r="C531" s="8" t="s">
        <v>13</v>
      </c>
      <c r="D531" s="8" t="str">
        <f>"张春风"</f>
        <v>张春风</v>
      </c>
      <c r="E531" s="8" t="str">
        <f t="shared" si="57"/>
        <v>女</v>
      </c>
    </row>
    <row r="532" spans="1:5" ht="30" customHeight="1">
      <c r="A532" s="8">
        <v>529</v>
      </c>
      <c r="B532" s="8" t="str">
        <f>"38492022042709095040806"</f>
        <v>38492022042709095040806</v>
      </c>
      <c r="C532" s="8" t="s">
        <v>13</v>
      </c>
      <c r="D532" s="8" t="str">
        <f>"刘念"</f>
        <v>刘念</v>
      </c>
      <c r="E532" s="8" t="str">
        <f t="shared" si="57"/>
        <v>女</v>
      </c>
    </row>
    <row r="533" spans="1:5" ht="30" customHeight="1">
      <c r="A533" s="8">
        <v>530</v>
      </c>
      <c r="B533" s="8" t="str">
        <f>"38492022042710393041871"</f>
        <v>38492022042710393041871</v>
      </c>
      <c r="C533" s="8" t="s">
        <v>13</v>
      </c>
      <c r="D533" s="8" t="str">
        <f>"陈积婷"</f>
        <v>陈积婷</v>
      </c>
      <c r="E533" s="8" t="str">
        <f t="shared" si="57"/>
        <v>女</v>
      </c>
    </row>
    <row r="534" spans="1:5" ht="30" customHeight="1">
      <c r="A534" s="8">
        <v>531</v>
      </c>
      <c r="B534" s="8" t="str">
        <f>"38492022042710542042029"</f>
        <v>38492022042710542042029</v>
      </c>
      <c r="C534" s="8" t="s">
        <v>13</v>
      </c>
      <c r="D534" s="8" t="str">
        <f>"钟水仙"</f>
        <v>钟水仙</v>
      </c>
      <c r="E534" s="8" t="str">
        <f t="shared" si="57"/>
        <v>女</v>
      </c>
    </row>
    <row r="535" spans="1:5" ht="30" customHeight="1">
      <c r="A535" s="8">
        <v>532</v>
      </c>
      <c r="B535" s="8" t="str">
        <f>"38492022042711163142228"</f>
        <v>38492022042711163142228</v>
      </c>
      <c r="C535" s="8" t="s">
        <v>13</v>
      </c>
      <c r="D535" s="8" t="str">
        <f>"王婷婷"</f>
        <v>王婷婷</v>
      </c>
      <c r="E535" s="8" t="str">
        <f t="shared" si="57"/>
        <v>女</v>
      </c>
    </row>
    <row r="536" spans="1:5" ht="30" customHeight="1">
      <c r="A536" s="8">
        <v>533</v>
      </c>
      <c r="B536" s="8" t="str">
        <f>"38492022042711260342301"</f>
        <v>38492022042711260342301</v>
      </c>
      <c r="C536" s="8" t="s">
        <v>13</v>
      </c>
      <c r="D536" s="8" t="str">
        <f>"李绍远"</f>
        <v>李绍远</v>
      </c>
      <c r="E536" s="8" t="str">
        <f>"男"</f>
        <v>男</v>
      </c>
    </row>
    <row r="537" spans="1:5" ht="30" customHeight="1">
      <c r="A537" s="8">
        <v>534</v>
      </c>
      <c r="B537" s="8" t="str">
        <f>"38492022042711323642348"</f>
        <v>38492022042711323642348</v>
      </c>
      <c r="C537" s="8" t="s">
        <v>13</v>
      </c>
      <c r="D537" s="8" t="str">
        <f>"陈宇恒"</f>
        <v>陈宇恒</v>
      </c>
      <c r="E537" s="8" t="str">
        <f>"男"</f>
        <v>男</v>
      </c>
    </row>
    <row r="538" spans="1:5" ht="30" customHeight="1">
      <c r="A538" s="8">
        <v>535</v>
      </c>
      <c r="B538" s="8" t="str">
        <f>"38492022042711383242383"</f>
        <v>38492022042711383242383</v>
      </c>
      <c r="C538" s="8" t="s">
        <v>13</v>
      </c>
      <c r="D538" s="8" t="str">
        <f>"符永香"</f>
        <v>符永香</v>
      </c>
      <c r="E538" s="8" t="str">
        <f>"女"</f>
        <v>女</v>
      </c>
    </row>
    <row r="539" spans="1:5" ht="30" customHeight="1">
      <c r="A539" s="8">
        <v>536</v>
      </c>
      <c r="B539" s="8" t="str">
        <f>"38492022042711521342488"</f>
        <v>38492022042711521342488</v>
      </c>
      <c r="C539" s="8" t="s">
        <v>13</v>
      </c>
      <c r="D539" s="8" t="str">
        <f>"胡文哲"</f>
        <v>胡文哲</v>
      </c>
      <c r="E539" s="8" t="str">
        <f>"男"</f>
        <v>男</v>
      </c>
    </row>
    <row r="540" spans="1:5" ht="30" customHeight="1">
      <c r="A540" s="8">
        <v>537</v>
      </c>
      <c r="B540" s="8" t="str">
        <f>"38492022042712090142589"</f>
        <v>38492022042712090142589</v>
      </c>
      <c r="C540" s="8" t="s">
        <v>13</v>
      </c>
      <c r="D540" s="8" t="str">
        <f>"颜振汝"</f>
        <v>颜振汝</v>
      </c>
      <c r="E540" s="8" t="str">
        <f>"女"</f>
        <v>女</v>
      </c>
    </row>
    <row r="541" spans="1:5" ht="30" customHeight="1">
      <c r="A541" s="8">
        <v>538</v>
      </c>
      <c r="B541" s="8" t="str">
        <f>"38492022042712153842630"</f>
        <v>38492022042712153842630</v>
      </c>
      <c r="C541" s="8" t="s">
        <v>13</v>
      </c>
      <c r="D541" s="8" t="str">
        <f>"邢思凡"</f>
        <v>邢思凡</v>
      </c>
      <c r="E541" s="8" t="str">
        <f>"女"</f>
        <v>女</v>
      </c>
    </row>
    <row r="542" spans="1:5" ht="30" customHeight="1">
      <c r="A542" s="8">
        <v>539</v>
      </c>
      <c r="B542" s="8" t="str">
        <f>"38492022042712370442766"</f>
        <v>38492022042712370442766</v>
      </c>
      <c r="C542" s="8" t="s">
        <v>13</v>
      </c>
      <c r="D542" s="8" t="str">
        <f>"邓小昌"</f>
        <v>邓小昌</v>
      </c>
      <c r="E542" s="8" t="str">
        <f>"男"</f>
        <v>男</v>
      </c>
    </row>
    <row r="543" spans="1:5" ht="30" customHeight="1">
      <c r="A543" s="8">
        <v>540</v>
      </c>
      <c r="B543" s="8" t="str">
        <f>"38492022042713392143166"</f>
        <v>38492022042713392143166</v>
      </c>
      <c r="C543" s="8" t="s">
        <v>13</v>
      </c>
      <c r="D543" s="8" t="str">
        <f>"蔡尚均"</f>
        <v>蔡尚均</v>
      </c>
      <c r="E543" s="8" t="str">
        <f>"男"</f>
        <v>男</v>
      </c>
    </row>
    <row r="544" spans="1:5" ht="30" customHeight="1">
      <c r="A544" s="8">
        <v>541</v>
      </c>
      <c r="B544" s="8" t="str">
        <f>"38492022042714000043278"</f>
        <v>38492022042714000043278</v>
      </c>
      <c r="C544" s="8" t="s">
        <v>13</v>
      </c>
      <c r="D544" s="8" t="str">
        <f>"任家群"</f>
        <v>任家群</v>
      </c>
      <c r="E544" s="8" t="str">
        <f aca="true" t="shared" si="58" ref="E544:E552">"女"</f>
        <v>女</v>
      </c>
    </row>
    <row r="545" spans="1:5" ht="30" customHeight="1">
      <c r="A545" s="8">
        <v>542</v>
      </c>
      <c r="B545" s="8" t="str">
        <f>"38492022042714242943409"</f>
        <v>38492022042714242943409</v>
      </c>
      <c r="C545" s="8" t="s">
        <v>13</v>
      </c>
      <c r="D545" s="8" t="str">
        <f>"王乙米"</f>
        <v>王乙米</v>
      </c>
      <c r="E545" s="8" t="str">
        <f t="shared" si="58"/>
        <v>女</v>
      </c>
    </row>
    <row r="546" spans="1:5" ht="30" customHeight="1">
      <c r="A546" s="8">
        <v>543</v>
      </c>
      <c r="B546" s="8" t="str">
        <f>"38492022042715451043925"</f>
        <v>38492022042715451043925</v>
      </c>
      <c r="C546" s="8" t="s">
        <v>13</v>
      </c>
      <c r="D546" s="8" t="str">
        <f>"朱秋瑾"</f>
        <v>朱秋瑾</v>
      </c>
      <c r="E546" s="8" t="str">
        <f t="shared" si="58"/>
        <v>女</v>
      </c>
    </row>
    <row r="547" spans="1:5" ht="30" customHeight="1">
      <c r="A547" s="8">
        <v>544</v>
      </c>
      <c r="B547" s="8" t="str">
        <f>"38492022042716094744085"</f>
        <v>38492022042716094744085</v>
      </c>
      <c r="C547" s="8" t="s">
        <v>13</v>
      </c>
      <c r="D547" s="8" t="str">
        <f>"李玉娇"</f>
        <v>李玉娇</v>
      </c>
      <c r="E547" s="8" t="str">
        <f t="shared" si="58"/>
        <v>女</v>
      </c>
    </row>
    <row r="548" spans="1:5" ht="30" customHeight="1">
      <c r="A548" s="8">
        <v>545</v>
      </c>
      <c r="B548" s="8" t="str">
        <f>"38492022042109115425030"</f>
        <v>38492022042109115425030</v>
      </c>
      <c r="C548" s="8" t="s">
        <v>14</v>
      </c>
      <c r="D548" s="8" t="str">
        <f>"朱丽秋"</f>
        <v>朱丽秋</v>
      </c>
      <c r="E548" s="8" t="str">
        <f t="shared" si="58"/>
        <v>女</v>
      </c>
    </row>
    <row r="549" spans="1:5" ht="30" customHeight="1">
      <c r="A549" s="8">
        <v>546</v>
      </c>
      <c r="B549" s="8" t="str">
        <f>"38492022042109242225176"</f>
        <v>38492022042109242225176</v>
      </c>
      <c r="C549" s="8" t="s">
        <v>14</v>
      </c>
      <c r="D549" s="8" t="str">
        <f>"符世殷"</f>
        <v>符世殷</v>
      </c>
      <c r="E549" s="8" t="str">
        <f t="shared" si="58"/>
        <v>女</v>
      </c>
    </row>
    <row r="550" spans="1:5" ht="30" customHeight="1">
      <c r="A550" s="8">
        <v>547</v>
      </c>
      <c r="B550" s="8" t="str">
        <f>"38492022042109273225210"</f>
        <v>38492022042109273225210</v>
      </c>
      <c r="C550" s="8" t="s">
        <v>14</v>
      </c>
      <c r="D550" s="8" t="str">
        <f>"何晓娜"</f>
        <v>何晓娜</v>
      </c>
      <c r="E550" s="8" t="str">
        <f t="shared" si="58"/>
        <v>女</v>
      </c>
    </row>
    <row r="551" spans="1:5" ht="30" customHeight="1">
      <c r="A551" s="8">
        <v>548</v>
      </c>
      <c r="B551" s="8" t="str">
        <f>"38492022042109285025224"</f>
        <v>38492022042109285025224</v>
      </c>
      <c r="C551" s="8" t="s">
        <v>14</v>
      </c>
      <c r="D551" s="8" t="str">
        <f>"符小夏"</f>
        <v>符小夏</v>
      </c>
      <c r="E551" s="8" t="str">
        <f t="shared" si="58"/>
        <v>女</v>
      </c>
    </row>
    <row r="552" spans="1:5" ht="30" customHeight="1">
      <c r="A552" s="8">
        <v>549</v>
      </c>
      <c r="B552" s="8" t="str">
        <f>"38492022042109330725279"</f>
        <v>38492022042109330725279</v>
      </c>
      <c r="C552" s="8" t="s">
        <v>14</v>
      </c>
      <c r="D552" s="8" t="str">
        <f>"符伟影"</f>
        <v>符伟影</v>
      </c>
      <c r="E552" s="8" t="str">
        <f t="shared" si="58"/>
        <v>女</v>
      </c>
    </row>
    <row r="553" spans="1:5" ht="30" customHeight="1">
      <c r="A553" s="8">
        <v>550</v>
      </c>
      <c r="B553" s="8" t="str">
        <f>"38492022042109405825371"</f>
        <v>38492022042109405825371</v>
      </c>
      <c r="C553" s="8" t="s">
        <v>14</v>
      </c>
      <c r="D553" s="8" t="str">
        <f>"符智"</f>
        <v>符智</v>
      </c>
      <c r="E553" s="8" t="str">
        <f>"男"</f>
        <v>男</v>
      </c>
    </row>
    <row r="554" spans="1:5" ht="30" customHeight="1">
      <c r="A554" s="8">
        <v>551</v>
      </c>
      <c r="B554" s="8" t="str">
        <f>"38492022042109465925448"</f>
        <v>38492022042109465925448</v>
      </c>
      <c r="C554" s="8" t="s">
        <v>14</v>
      </c>
      <c r="D554" s="8" t="str">
        <f>"刘继薇"</f>
        <v>刘继薇</v>
      </c>
      <c r="E554" s="8" t="str">
        <f>"女"</f>
        <v>女</v>
      </c>
    </row>
    <row r="555" spans="1:5" ht="30" customHeight="1">
      <c r="A555" s="8">
        <v>552</v>
      </c>
      <c r="B555" s="8" t="str">
        <f>"38492022042109472025453"</f>
        <v>38492022042109472025453</v>
      </c>
      <c r="C555" s="8" t="s">
        <v>14</v>
      </c>
      <c r="D555" s="8" t="str">
        <f>"符政芳"</f>
        <v>符政芳</v>
      </c>
      <c r="E555" s="8" t="str">
        <f>"女"</f>
        <v>女</v>
      </c>
    </row>
    <row r="556" spans="1:5" ht="30" customHeight="1">
      <c r="A556" s="8">
        <v>553</v>
      </c>
      <c r="B556" s="8" t="str">
        <f>"38492022042109583325606"</f>
        <v>38492022042109583325606</v>
      </c>
      <c r="C556" s="8" t="s">
        <v>14</v>
      </c>
      <c r="D556" s="8" t="str">
        <f>"吴群"</f>
        <v>吴群</v>
      </c>
      <c r="E556" s="8" t="str">
        <f>"女"</f>
        <v>女</v>
      </c>
    </row>
    <row r="557" spans="1:5" ht="30" customHeight="1">
      <c r="A557" s="8">
        <v>554</v>
      </c>
      <c r="B557" s="8" t="str">
        <f>"38492022042110003725647"</f>
        <v>38492022042110003725647</v>
      </c>
      <c r="C557" s="8" t="s">
        <v>14</v>
      </c>
      <c r="D557" s="8" t="str">
        <f>"孙伟偏"</f>
        <v>孙伟偏</v>
      </c>
      <c r="E557" s="8" t="str">
        <f>"男"</f>
        <v>男</v>
      </c>
    </row>
    <row r="558" spans="1:5" ht="30" customHeight="1">
      <c r="A558" s="8">
        <v>555</v>
      </c>
      <c r="B558" s="8" t="str">
        <f>"38492022042110041825683"</f>
        <v>38492022042110041825683</v>
      </c>
      <c r="C558" s="8" t="s">
        <v>14</v>
      </c>
      <c r="D558" s="8" t="str">
        <f>"张小慧"</f>
        <v>张小慧</v>
      </c>
      <c r="E558" s="8" t="str">
        <f>"女"</f>
        <v>女</v>
      </c>
    </row>
    <row r="559" spans="1:5" ht="30" customHeight="1">
      <c r="A559" s="8">
        <v>556</v>
      </c>
      <c r="B559" s="8" t="str">
        <f>"38492022042110074025723"</f>
        <v>38492022042110074025723</v>
      </c>
      <c r="C559" s="8" t="s">
        <v>14</v>
      </c>
      <c r="D559" s="8" t="str">
        <f>"符小姗"</f>
        <v>符小姗</v>
      </c>
      <c r="E559" s="8" t="str">
        <f>"女"</f>
        <v>女</v>
      </c>
    </row>
    <row r="560" spans="1:5" ht="30" customHeight="1">
      <c r="A560" s="8">
        <v>557</v>
      </c>
      <c r="B560" s="8" t="str">
        <f>"38492022042110111525773"</f>
        <v>38492022042110111525773</v>
      </c>
      <c r="C560" s="8" t="s">
        <v>14</v>
      </c>
      <c r="D560" s="8" t="str">
        <f>"王婧莹"</f>
        <v>王婧莹</v>
      </c>
      <c r="E560" s="8" t="str">
        <f>"女"</f>
        <v>女</v>
      </c>
    </row>
    <row r="561" spans="1:5" ht="30" customHeight="1">
      <c r="A561" s="8">
        <v>558</v>
      </c>
      <c r="B561" s="8" t="str">
        <f>"38492022042110175725852"</f>
        <v>38492022042110175725852</v>
      </c>
      <c r="C561" s="8" t="s">
        <v>14</v>
      </c>
      <c r="D561" s="8" t="str">
        <f>"曾丽婷"</f>
        <v>曾丽婷</v>
      </c>
      <c r="E561" s="8" t="str">
        <f>"女"</f>
        <v>女</v>
      </c>
    </row>
    <row r="562" spans="1:5" ht="30" customHeight="1">
      <c r="A562" s="8">
        <v>559</v>
      </c>
      <c r="B562" s="8" t="str">
        <f>"38492022042110185825870"</f>
        <v>38492022042110185825870</v>
      </c>
      <c r="C562" s="8" t="s">
        <v>14</v>
      </c>
      <c r="D562" s="8" t="str">
        <f>"符明亮"</f>
        <v>符明亮</v>
      </c>
      <c r="E562" s="8" t="str">
        <f>"男"</f>
        <v>男</v>
      </c>
    </row>
    <row r="563" spans="1:5" ht="30" customHeight="1">
      <c r="A563" s="8">
        <v>560</v>
      </c>
      <c r="B563" s="8" t="str">
        <f>"38492022042110204225887"</f>
        <v>38492022042110204225887</v>
      </c>
      <c r="C563" s="8" t="s">
        <v>14</v>
      </c>
      <c r="D563" s="8" t="str">
        <f>"符亚劲"</f>
        <v>符亚劲</v>
      </c>
      <c r="E563" s="8" t="str">
        <f>"男"</f>
        <v>男</v>
      </c>
    </row>
    <row r="564" spans="1:5" ht="30" customHeight="1">
      <c r="A564" s="8">
        <v>561</v>
      </c>
      <c r="B564" s="8" t="str">
        <f>"38492022042110231325924"</f>
        <v>38492022042110231325924</v>
      </c>
      <c r="C564" s="8" t="s">
        <v>14</v>
      </c>
      <c r="D564" s="8" t="str">
        <f>"符繁厅"</f>
        <v>符繁厅</v>
      </c>
      <c r="E564" s="8" t="str">
        <f>"男"</f>
        <v>男</v>
      </c>
    </row>
    <row r="565" spans="1:5" ht="30" customHeight="1">
      <c r="A565" s="8">
        <v>562</v>
      </c>
      <c r="B565" s="8" t="str">
        <f>"38492022042110334126061"</f>
        <v>38492022042110334126061</v>
      </c>
      <c r="C565" s="8" t="s">
        <v>14</v>
      </c>
      <c r="D565" s="8" t="str">
        <f>"符琦艺"</f>
        <v>符琦艺</v>
      </c>
      <c r="E565" s="8" t="str">
        <f aca="true" t="shared" si="59" ref="E565:E572">"女"</f>
        <v>女</v>
      </c>
    </row>
    <row r="566" spans="1:5" ht="30" customHeight="1">
      <c r="A566" s="8">
        <v>563</v>
      </c>
      <c r="B566" s="8" t="str">
        <f>"38492022042110371026100"</f>
        <v>38492022042110371026100</v>
      </c>
      <c r="C566" s="8" t="s">
        <v>14</v>
      </c>
      <c r="D566" s="8" t="str">
        <f>"王雪青"</f>
        <v>王雪青</v>
      </c>
      <c r="E566" s="8" t="str">
        <f t="shared" si="59"/>
        <v>女</v>
      </c>
    </row>
    <row r="567" spans="1:5" ht="30" customHeight="1">
      <c r="A567" s="8">
        <v>564</v>
      </c>
      <c r="B567" s="8" t="str">
        <f>"38492022042110392126124"</f>
        <v>38492022042110392126124</v>
      </c>
      <c r="C567" s="8" t="s">
        <v>14</v>
      </c>
      <c r="D567" s="8" t="str">
        <f>"韦小寒"</f>
        <v>韦小寒</v>
      </c>
      <c r="E567" s="8" t="str">
        <f t="shared" si="59"/>
        <v>女</v>
      </c>
    </row>
    <row r="568" spans="1:5" ht="30" customHeight="1">
      <c r="A568" s="8">
        <v>565</v>
      </c>
      <c r="B568" s="8" t="str">
        <f>"38492022042110415826152"</f>
        <v>38492022042110415826152</v>
      </c>
      <c r="C568" s="8" t="s">
        <v>14</v>
      </c>
      <c r="D568" s="8" t="str">
        <f>"张嘉雯"</f>
        <v>张嘉雯</v>
      </c>
      <c r="E568" s="8" t="str">
        <f t="shared" si="59"/>
        <v>女</v>
      </c>
    </row>
    <row r="569" spans="1:5" ht="30" customHeight="1">
      <c r="A569" s="8">
        <v>566</v>
      </c>
      <c r="B569" s="8" t="str">
        <f>"38492022042110441226183"</f>
        <v>38492022042110441226183</v>
      </c>
      <c r="C569" s="8" t="s">
        <v>14</v>
      </c>
      <c r="D569" s="8" t="str">
        <f>"王佩"</f>
        <v>王佩</v>
      </c>
      <c r="E569" s="8" t="str">
        <f t="shared" si="59"/>
        <v>女</v>
      </c>
    </row>
    <row r="570" spans="1:5" ht="30" customHeight="1">
      <c r="A570" s="8">
        <v>567</v>
      </c>
      <c r="B570" s="8" t="str">
        <f>"38492022042110500926262"</f>
        <v>38492022042110500926262</v>
      </c>
      <c r="C570" s="8" t="s">
        <v>14</v>
      </c>
      <c r="D570" s="8" t="str">
        <f>"符怡飘"</f>
        <v>符怡飘</v>
      </c>
      <c r="E570" s="8" t="str">
        <f t="shared" si="59"/>
        <v>女</v>
      </c>
    </row>
    <row r="571" spans="1:5" ht="30" customHeight="1">
      <c r="A571" s="8">
        <v>568</v>
      </c>
      <c r="B571" s="8" t="str">
        <f>"38492022042110575426346"</f>
        <v>38492022042110575426346</v>
      </c>
      <c r="C571" s="8" t="s">
        <v>14</v>
      </c>
      <c r="D571" s="8" t="str">
        <f>"王珊"</f>
        <v>王珊</v>
      </c>
      <c r="E571" s="8" t="str">
        <f t="shared" si="59"/>
        <v>女</v>
      </c>
    </row>
    <row r="572" spans="1:5" ht="30" customHeight="1">
      <c r="A572" s="8">
        <v>569</v>
      </c>
      <c r="B572" s="8" t="str">
        <f>"38492022042111004326378"</f>
        <v>38492022042111004326378</v>
      </c>
      <c r="C572" s="8" t="s">
        <v>14</v>
      </c>
      <c r="D572" s="8" t="str">
        <f>"符恒瑜"</f>
        <v>符恒瑜</v>
      </c>
      <c r="E572" s="8" t="str">
        <f t="shared" si="59"/>
        <v>女</v>
      </c>
    </row>
    <row r="573" spans="1:5" ht="30" customHeight="1">
      <c r="A573" s="8">
        <v>570</v>
      </c>
      <c r="B573" s="8" t="str">
        <f>"38492022042111065726437"</f>
        <v>38492022042111065726437</v>
      </c>
      <c r="C573" s="8" t="s">
        <v>14</v>
      </c>
      <c r="D573" s="8" t="str">
        <f>"符鸿坤"</f>
        <v>符鸿坤</v>
      </c>
      <c r="E573" s="8" t="str">
        <f>"男"</f>
        <v>男</v>
      </c>
    </row>
    <row r="574" spans="1:5" ht="30" customHeight="1">
      <c r="A574" s="8">
        <v>571</v>
      </c>
      <c r="B574" s="8" t="str">
        <f>"38492022042111125626494"</f>
        <v>38492022042111125626494</v>
      </c>
      <c r="C574" s="8" t="s">
        <v>14</v>
      </c>
      <c r="D574" s="8" t="str">
        <f>"邢意"</f>
        <v>邢意</v>
      </c>
      <c r="E574" s="8" t="str">
        <f aca="true" t="shared" si="60" ref="E574:E580">"女"</f>
        <v>女</v>
      </c>
    </row>
    <row r="575" spans="1:5" ht="30" customHeight="1">
      <c r="A575" s="8">
        <v>572</v>
      </c>
      <c r="B575" s="8" t="str">
        <f>"38492022042111151626513"</f>
        <v>38492022042111151626513</v>
      </c>
      <c r="C575" s="8" t="s">
        <v>14</v>
      </c>
      <c r="D575" s="8" t="str">
        <f>"曾进秋"</f>
        <v>曾进秋</v>
      </c>
      <c r="E575" s="8" t="str">
        <f t="shared" si="60"/>
        <v>女</v>
      </c>
    </row>
    <row r="576" spans="1:5" ht="30" customHeight="1">
      <c r="A576" s="8">
        <v>573</v>
      </c>
      <c r="B576" s="8" t="str">
        <f>"38492022042111290326627"</f>
        <v>38492022042111290326627</v>
      </c>
      <c r="C576" s="8" t="s">
        <v>14</v>
      </c>
      <c r="D576" s="8" t="str">
        <f>"羊芃"</f>
        <v>羊芃</v>
      </c>
      <c r="E576" s="8" t="str">
        <f t="shared" si="60"/>
        <v>女</v>
      </c>
    </row>
    <row r="577" spans="1:5" ht="30" customHeight="1">
      <c r="A577" s="8">
        <v>574</v>
      </c>
      <c r="B577" s="8" t="str">
        <f>"38492022042111332626667"</f>
        <v>38492022042111332626667</v>
      </c>
      <c r="C577" s="8" t="s">
        <v>14</v>
      </c>
      <c r="D577" s="8" t="str">
        <f>"王婷"</f>
        <v>王婷</v>
      </c>
      <c r="E577" s="8" t="str">
        <f t="shared" si="60"/>
        <v>女</v>
      </c>
    </row>
    <row r="578" spans="1:5" ht="30" customHeight="1">
      <c r="A578" s="8">
        <v>575</v>
      </c>
      <c r="B578" s="8" t="str">
        <f>"38492022042111375826719"</f>
        <v>38492022042111375826719</v>
      </c>
      <c r="C578" s="8" t="s">
        <v>14</v>
      </c>
      <c r="D578" s="8" t="str">
        <f>"符土园"</f>
        <v>符土园</v>
      </c>
      <c r="E578" s="8" t="str">
        <f t="shared" si="60"/>
        <v>女</v>
      </c>
    </row>
    <row r="579" spans="1:5" ht="30" customHeight="1">
      <c r="A579" s="8">
        <v>576</v>
      </c>
      <c r="B579" s="8" t="str">
        <f>"38492022042112212827027"</f>
        <v>38492022042112212827027</v>
      </c>
      <c r="C579" s="8" t="s">
        <v>14</v>
      </c>
      <c r="D579" s="8" t="str">
        <f>"王小倩"</f>
        <v>王小倩</v>
      </c>
      <c r="E579" s="8" t="str">
        <f t="shared" si="60"/>
        <v>女</v>
      </c>
    </row>
    <row r="580" spans="1:5" ht="30" customHeight="1">
      <c r="A580" s="8">
        <v>577</v>
      </c>
      <c r="B580" s="8" t="str">
        <f>"38492022042112274927074"</f>
        <v>38492022042112274927074</v>
      </c>
      <c r="C580" s="8" t="s">
        <v>14</v>
      </c>
      <c r="D580" s="8" t="str">
        <f>"符绿谨"</f>
        <v>符绿谨</v>
      </c>
      <c r="E580" s="8" t="str">
        <f t="shared" si="60"/>
        <v>女</v>
      </c>
    </row>
    <row r="581" spans="1:5" ht="30" customHeight="1">
      <c r="A581" s="8">
        <v>578</v>
      </c>
      <c r="B581" s="8" t="str">
        <f>"38492022042112275727076"</f>
        <v>38492022042112275727076</v>
      </c>
      <c r="C581" s="8" t="s">
        <v>14</v>
      </c>
      <c r="D581" s="8" t="str">
        <f>"符海波"</f>
        <v>符海波</v>
      </c>
      <c r="E581" s="8" t="str">
        <f>"男"</f>
        <v>男</v>
      </c>
    </row>
    <row r="582" spans="1:5" ht="30" customHeight="1">
      <c r="A582" s="8">
        <v>579</v>
      </c>
      <c r="B582" s="8" t="str">
        <f>"38492022042112334827122"</f>
        <v>38492022042112334827122</v>
      </c>
      <c r="C582" s="8" t="s">
        <v>14</v>
      </c>
      <c r="D582" s="8" t="str">
        <f>"曾静怡"</f>
        <v>曾静怡</v>
      </c>
      <c r="E582" s="8" t="str">
        <f>"女"</f>
        <v>女</v>
      </c>
    </row>
    <row r="583" spans="1:5" ht="30" customHeight="1">
      <c r="A583" s="8">
        <v>580</v>
      </c>
      <c r="B583" s="8" t="str">
        <f>"38492022042112441427193"</f>
        <v>38492022042112441427193</v>
      </c>
      <c r="C583" s="8" t="s">
        <v>14</v>
      </c>
      <c r="D583" s="8" t="str">
        <f>"符晓丹"</f>
        <v>符晓丹</v>
      </c>
      <c r="E583" s="8" t="str">
        <f>"女"</f>
        <v>女</v>
      </c>
    </row>
    <row r="584" spans="1:5" ht="30" customHeight="1">
      <c r="A584" s="8">
        <v>581</v>
      </c>
      <c r="B584" s="8" t="str">
        <f>"38492022042114264827694"</f>
        <v>38492022042114264827694</v>
      </c>
      <c r="C584" s="8" t="s">
        <v>14</v>
      </c>
      <c r="D584" s="8" t="str">
        <f>"符翠容"</f>
        <v>符翠容</v>
      </c>
      <c r="E584" s="8" t="str">
        <f>"女"</f>
        <v>女</v>
      </c>
    </row>
    <row r="585" spans="1:5" ht="30" customHeight="1">
      <c r="A585" s="8">
        <v>582</v>
      </c>
      <c r="B585" s="8" t="str">
        <f>"38492022042114370727763"</f>
        <v>38492022042114370727763</v>
      </c>
      <c r="C585" s="8" t="s">
        <v>14</v>
      </c>
      <c r="D585" s="8" t="str">
        <f>"符彩媛"</f>
        <v>符彩媛</v>
      </c>
      <c r="E585" s="8" t="str">
        <f>"女"</f>
        <v>女</v>
      </c>
    </row>
    <row r="586" spans="1:5" ht="30" customHeight="1">
      <c r="A586" s="8">
        <v>583</v>
      </c>
      <c r="B586" s="8" t="str">
        <f>"38492022042114435627819"</f>
        <v>38492022042114435627819</v>
      </c>
      <c r="C586" s="8" t="s">
        <v>14</v>
      </c>
      <c r="D586" s="8" t="str">
        <f>"符杰义"</f>
        <v>符杰义</v>
      </c>
      <c r="E586" s="8" t="str">
        <f>"女"</f>
        <v>女</v>
      </c>
    </row>
    <row r="587" spans="1:5" ht="30" customHeight="1">
      <c r="A587" s="8">
        <v>584</v>
      </c>
      <c r="B587" s="8" t="str">
        <f>"38492022042114502827883"</f>
        <v>38492022042114502827883</v>
      </c>
      <c r="C587" s="8" t="s">
        <v>14</v>
      </c>
      <c r="D587" s="8" t="str">
        <f>"符臣锋"</f>
        <v>符臣锋</v>
      </c>
      <c r="E587" s="8" t="str">
        <f>"男"</f>
        <v>男</v>
      </c>
    </row>
    <row r="588" spans="1:5" ht="30" customHeight="1">
      <c r="A588" s="8">
        <v>585</v>
      </c>
      <c r="B588" s="8" t="str">
        <f>"38492022042114573327940"</f>
        <v>38492022042114573327940</v>
      </c>
      <c r="C588" s="8" t="s">
        <v>14</v>
      </c>
      <c r="D588" s="8" t="str">
        <f>"符朝贤"</f>
        <v>符朝贤</v>
      </c>
      <c r="E588" s="8" t="str">
        <f>"女"</f>
        <v>女</v>
      </c>
    </row>
    <row r="589" spans="1:5" ht="30" customHeight="1">
      <c r="A589" s="8">
        <v>586</v>
      </c>
      <c r="B589" s="8" t="str">
        <f>"38492022042115033527991"</f>
        <v>38492022042115033527991</v>
      </c>
      <c r="C589" s="8" t="s">
        <v>14</v>
      </c>
      <c r="D589" s="8" t="str">
        <f>"符倩"</f>
        <v>符倩</v>
      </c>
      <c r="E589" s="8" t="str">
        <f>"女"</f>
        <v>女</v>
      </c>
    </row>
    <row r="590" spans="1:5" ht="30" customHeight="1">
      <c r="A590" s="8">
        <v>587</v>
      </c>
      <c r="B590" s="8" t="str">
        <f>"38492022042115131928084"</f>
        <v>38492022042115131928084</v>
      </c>
      <c r="C590" s="8" t="s">
        <v>14</v>
      </c>
      <c r="D590" s="8" t="str">
        <f>"李扬佳"</f>
        <v>李扬佳</v>
      </c>
      <c r="E590" s="8" t="str">
        <f>"女"</f>
        <v>女</v>
      </c>
    </row>
    <row r="591" spans="1:5" ht="30" customHeight="1">
      <c r="A591" s="8">
        <v>588</v>
      </c>
      <c r="B591" s="8" t="str">
        <f>"38492022042115221028163"</f>
        <v>38492022042115221028163</v>
      </c>
      <c r="C591" s="8" t="s">
        <v>14</v>
      </c>
      <c r="D591" s="8" t="str">
        <f>"王彩妹"</f>
        <v>王彩妹</v>
      </c>
      <c r="E591" s="8" t="str">
        <f>"女"</f>
        <v>女</v>
      </c>
    </row>
    <row r="592" spans="1:5" ht="30" customHeight="1">
      <c r="A592" s="8">
        <v>589</v>
      </c>
      <c r="B592" s="8" t="str">
        <f>"38492022042115374328292"</f>
        <v>38492022042115374328292</v>
      </c>
      <c r="C592" s="8" t="s">
        <v>14</v>
      </c>
      <c r="D592" s="8" t="str">
        <f>"成鑫瑶"</f>
        <v>成鑫瑶</v>
      </c>
      <c r="E592" s="8" t="str">
        <f>"女"</f>
        <v>女</v>
      </c>
    </row>
    <row r="593" spans="1:5" ht="30" customHeight="1">
      <c r="A593" s="8">
        <v>590</v>
      </c>
      <c r="B593" s="8" t="str">
        <f>"38492022042116233128619"</f>
        <v>38492022042116233128619</v>
      </c>
      <c r="C593" s="8" t="s">
        <v>14</v>
      </c>
      <c r="D593" s="8" t="str">
        <f>"符俊明"</f>
        <v>符俊明</v>
      </c>
      <c r="E593" s="8" t="str">
        <f>"男"</f>
        <v>男</v>
      </c>
    </row>
    <row r="594" spans="1:5" ht="30" customHeight="1">
      <c r="A594" s="8">
        <v>591</v>
      </c>
      <c r="B594" s="8" t="str">
        <f>"38492022042117080228906"</f>
        <v>38492022042117080228906</v>
      </c>
      <c r="C594" s="8" t="s">
        <v>14</v>
      </c>
      <c r="D594" s="8" t="str">
        <f>"王兆凯"</f>
        <v>王兆凯</v>
      </c>
      <c r="E594" s="8" t="str">
        <f>"男"</f>
        <v>男</v>
      </c>
    </row>
    <row r="595" spans="1:5" ht="30" customHeight="1">
      <c r="A595" s="8">
        <v>592</v>
      </c>
      <c r="B595" s="8" t="str">
        <f>"38492022042117145728962"</f>
        <v>38492022042117145728962</v>
      </c>
      <c r="C595" s="8" t="s">
        <v>14</v>
      </c>
      <c r="D595" s="8" t="str">
        <f>"陈小梅"</f>
        <v>陈小梅</v>
      </c>
      <c r="E595" s="8" t="str">
        <f>"女"</f>
        <v>女</v>
      </c>
    </row>
    <row r="596" spans="1:5" ht="30" customHeight="1">
      <c r="A596" s="8">
        <v>593</v>
      </c>
      <c r="B596" s="8" t="str">
        <f>"38492022042117324929054"</f>
        <v>38492022042117324929054</v>
      </c>
      <c r="C596" s="8" t="s">
        <v>14</v>
      </c>
      <c r="D596" s="8" t="str">
        <f>"马玉洁"</f>
        <v>马玉洁</v>
      </c>
      <c r="E596" s="8" t="str">
        <f>"女"</f>
        <v>女</v>
      </c>
    </row>
    <row r="597" spans="1:5" ht="30" customHeight="1">
      <c r="A597" s="8">
        <v>594</v>
      </c>
      <c r="B597" s="8" t="str">
        <f>"38492022042117523929164"</f>
        <v>38492022042117523929164</v>
      </c>
      <c r="C597" s="8" t="s">
        <v>14</v>
      </c>
      <c r="D597" s="8" t="str">
        <f>"马丽玉"</f>
        <v>马丽玉</v>
      </c>
      <c r="E597" s="8" t="str">
        <f>"女"</f>
        <v>女</v>
      </c>
    </row>
    <row r="598" spans="1:5" ht="30" customHeight="1">
      <c r="A598" s="8">
        <v>595</v>
      </c>
      <c r="B598" s="8" t="str">
        <f>"38492022042119341129612"</f>
        <v>38492022042119341129612</v>
      </c>
      <c r="C598" s="8" t="s">
        <v>14</v>
      </c>
      <c r="D598" s="8" t="str">
        <f>"符文建"</f>
        <v>符文建</v>
      </c>
      <c r="E598" s="8" t="str">
        <f>"男"</f>
        <v>男</v>
      </c>
    </row>
    <row r="599" spans="1:5" ht="30" customHeight="1">
      <c r="A599" s="8">
        <v>596</v>
      </c>
      <c r="B599" s="8" t="str">
        <f>"38492022042119512829677"</f>
        <v>38492022042119512829677</v>
      </c>
      <c r="C599" s="8" t="s">
        <v>14</v>
      </c>
      <c r="D599" s="8" t="str">
        <f>" 陈凡"</f>
        <v> 陈凡</v>
      </c>
      <c r="E599" s="8" t="str">
        <f>"女"</f>
        <v>女</v>
      </c>
    </row>
    <row r="600" spans="1:5" ht="30" customHeight="1">
      <c r="A600" s="8">
        <v>597</v>
      </c>
      <c r="B600" s="8" t="str">
        <f>"38492022042120315229878"</f>
        <v>38492022042120315229878</v>
      </c>
      <c r="C600" s="8" t="s">
        <v>14</v>
      </c>
      <c r="D600" s="8" t="str">
        <f>"练婕"</f>
        <v>练婕</v>
      </c>
      <c r="E600" s="8" t="str">
        <f>"女"</f>
        <v>女</v>
      </c>
    </row>
    <row r="601" spans="1:5" ht="30" customHeight="1">
      <c r="A601" s="8">
        <v>598</v>
      </c>
      <c r="B601" s="8" t="str">
        <f>"38492022042120415429940"</f>
        <v>38492022042120415429940</v>
      </c>
      <c r="C601" s="8" t="s">
        <v>14</v>
      </c>
      <c r="D601" s="8" t="str">
        <f>"李海德"</f>
        <v>李海德</v>
      </c>
      <c r="E601" s="8" t="str">
        <f>"男"</f>
        <v>男</v>
      </c>
    </row>
    <row r="602" spans="1:5" ht="30" customHeight="1">
      <c r="A602" s="8">
        <v>599</v>
      </c>
      <c r="B602" s="8" t="str">
        <f>"38492022042120592630030"</f>
        <v>38492022042120592630030</v>
      </c>
      <c r="C602" s="8" t="s">
        <v>14</v>
      </c>
      <c r="D602" s="8" t="str">
        <f>"董美芳"</f>
        <v>董美芳</v>
      </c>
      <c r="E602" s="8" t="str">
        <f>"女"</f>
        <v>女</v>
      </c>
    </row>
    <row r="603" spans="1:5" ht="30" customHeight="1">
      <c r="A603" s="8">
        <v>600</v>
      </c>
      <c r="B603" s="8" t="str">
        <f>"38492022042121034730060"</f>
        <v>38492022042121034730060</v>
      </c>
      <c r="C603" s="8" t="s">
        <v>14</v>
      </c>
      <c r="D603" s="8" t="str">
        <f>"符丽艳"</f>
        <v>符丽艳</v>
      </c>
      <c r="E603" s="8" t="str">
        <f>"女"</f>
        <v>女</v>
      </c>
    </row>
    <row r="604" spans="1:5" ht="30" customHeight="1">
      <c r="A604" s="8">
        <v>601</v>
      </c>
      <c r="B604" s="8" t="str">
        <f>"38492022042121190430141"</f>
        <v>38492022042121190430141</v>
      </c>
      <c r="C604" s="8" t="s">
        <v>14</v>
      </c>
      <c r="D604" s="8" t="str">
        <f>"符妹丘"</f>
        <v>符妹丘</v>
      </c>
      <c r="E604" s="8" t="str">
        <f>"女"</f>
        <v>女</v>
      </c>
    </row>
    <row r="605" spans="1:5" ht="30" customHeight="1">
      <c r="A605" s="8">
        <v>602</v>
      </c>
      <c r="B605" s="8" t="str">
        <f>"38492022042121302930210"</f>
        <v>38492022042121302930210</v>
      </c>
      <c r="C605" s="8" t="s">
        <v>14</v>
      </c>
      <c r="D605" s="8" t="str">
        <f>"董志强"</f>
        <v>董志强</v>
      </c>
      <c r="E605" s="8" t="str">
        <f>"男"</f>
        <v>男</v>
      </c>
    </row>
    <row r="606" spans="1:5" ht="30" customHeight="1">
      <c r="A606" s="8">
        <v>603</v>
      </c>
      <c r="B606" s="8" t="str">
        <f>"38492022042121340130225"</f>
        <v>38492022042121340130225</v>
      </c>
      <c r="C606" s="8" t="s">
        <v>14</v>
      </c>
      <c r="D606" s="8" t="str">
        <f>"董美露"</f>
        <v>董美露</v>
      </c>
      <c r="E606" s="8" t="str">
        <f>"女"</f>
        <v>女</v>
      </c>
    </row>
    <row r="607" spans="1:5" ht="30" customHeight="1">
      <c r="A607" s="8">
        <v>604</v>
      </c>
      <c r="B607" s="8" t="str">
        <f>"38492022042121383830249"</f>
        <v>38492022042121383830249</v>
      </c>
      <c r="C607" s="8" t="s">
        <v>14</v>
      </c>
      <c r="D607" s="8" t="str">
        <f>"杨霖"</f>
        <v>杨霖</v>
      </c>
      <c r="E607" s="8" t="str">
        <f>"女"</f>
        <v>女</v>
      </c>
    </row>
    <row r="608" spans="1:5" ht="30" customHeight="1">
      <c r="A608" s="8">
        <v>605</v>
      </c>
      <c r="B608" s="8" t="str">
        <f>"38492022042122101930417"</f>
        <v>38492022042122101930417</v>
      </c>
      <c r="C608" s="8" t="s">
        <v>14</v>
      </c>
      <c r="D608" s="8" t="str">
        <f>"周振华"</f>
        <v>周振华</v>
      </c>
      <c r="E608" s="8" t="str">
        <f>"男"</f>
        <v>男</v>
      </c>
    </row>
    <row r="609" spans="1:5" ht="30" customHeight="1">
      <c r="A609" s="8">
        <v>606</v>
      </c>
      <c r="B609" s="8" t="str">
        <f>"38492022042122190430460"</f>
        <v>38492022042122190430460</v>
      </c>
      <c r="C609" s="8" t="s">
        <v>14</v>
      </c>
      <c r="D609" s="8" t="str">
        <f>"王劲"</f>
        <v>王劲</v>
      </c>
      <c r="E609" s="8" t="str">
        <f>"男"</f>
        <v>男</v>
      </c>
    </row>
    <row r="610" spans="1:5" ht="30" customHeight="1">
      <c r="A610" s="8">
        <v>607</v>
      </c>
      <c r="B610" s="8" t="str">
        <f>"38492022042208542231097"</f>
        <v>38492022042208542231097</v>
      </c>
      <c r="C610" s="8" t="s">
        <v>14</v>
      </c>
      <c r="D610" s="8" t="str">
        <f>"麦欣"</f>
        <v>麦欣</v>
      </c>
      <c r="E610" s="8" t="str">
        <f>"女"</f>
        <v>女</v>
      </c>
    </row>
    <row r="611" spans="1:5" ht="30" customHeight="1">
      <c r="A611" s="8">
        <v>608</v>
      </c>
      <c r="B611" s="8" t="str">
        <f>"38492022042209012231127"</f>
        <v>38492022042209012231127</v>
      </c>
      <c r="C611" s="8" t="s">
        <v>14</v>
      </c>
      <c r="D611" s="8" t="str">
        <f>"刘欣琪"</f>
        <v>刘欣琪</v>
      </c>
      <c r="E611" s="8" t="str">
        <f>"女"</f>
        <v>女</v>
      </c>
    </row>
    <row r="612" spans="1:5" ht="30" customHeight="1">
      <c r="A612" s="8">
        <v>609</v>
      </c>
      <c r="B612" s="8" t="str">
        <f>"38492022042209465431364"</f>
        <v>38492022042209465431364</v>
      </c>
      <c r="C612" s="8" t="s">
        <v>14</v>
      </c>
      <c r="D612" s="8" t="str">
        <f>"万智霞"</f>
        <v>万智霞</v>
      </c>
      <c r="E612" s="8" t="str">
        <f>"女"</f>
        <v>女</v>
      </c>
    </row>
    <row r="613" spans="1:5" ht="30" customHeight="1">
      <c r="A613" s="8">
        <v>610</v>
      </c>
      <c r="B613" s="8" t="str">
        <f>"38492022042210142131527"</f>
        <v>38492022042210142131527</v>
      </c>
      <c r="C613" s="8" t="s">
        <v>14</v>
      </c>
      <c r="D613" s="8" t="str">
        <f>"符永贵"</f>
        <v>符永贵</v>
      </c>
      <c r="E613" s="8" t="str">
        <f>"男"</f>
        <v>男</v>
      </c>
    </row>
    <row r="614" spans="1:5" ht="30" customHeight="1">
      <c r="A614" s="8">
        <v>611</v>
      </c>
      <c r="B614" s="8" t="str">
        <f>"38492022042210311831639"</f>
        <v>38492022042210311831639</v>
      </c>
      <c r="C614" s="8" t="s">
        <v>14</v>
      </c>
      <c r="D614" s="8" t="str">
        <f>"蔡亲贝"</f>
        <v>蔡亲贝</v>
      </c>
      <c r="E614" s="8" t="str">
        <f>"女"</f>
        <v>女</v>
      </c>
    </row>
    <row r="615" spans="1:5" ht="30" customHeight="1">
      <c r="A615" s="8">
        <v>612</v>
      </c>
      <c r="B615" s="8" t="str">
        <f>"38492022042210591531806"</f>
        <v>38492022042210591531806</v>
      </c>
      <c r="C615" s="8" t="s">
        <v>14</v>
      </c>
      <c r="D615" s="8" t="str">
        <f>"王丽敏"</f>
        <v>王丽敏</v>
      </c>
      <c r="E615" s="8" t="str">
        <f>"女"</f>
        <v>女</v>
      </c>
    </row>
    <row r="616" spans="1:5" ht="30" customHeight="1">
      <c r="A616" s="8">
        <v>613</v>
      </c>
      <c r="B616" s="8" t="str">
        <f>"38492022042211305632146"</f>
        <v>38492022042211305632146</v>
      </c>
      <c r="C616" s="8" t="s">
        <v>14</v>
      </c>
      <c r="D616" s="8" t="str">
        <f>"庄圣达"</f>
        <v>庄圣达</v>
      </c>
      <c r="E616" s="8" t="str">
        <f>"男"</f>
        <v>男</v>
      </c>
    </row>
    <row r="617" spans="1:5" ht="30" customHeight="1">
      <c r="A617" s="8">
        <v>614</v>
      </c>
      <c r="B617" s="8" t="str">
        <f>"38492022042212140332503"</f>
        <v>38492022042212140332503</v>
      </c>
      <c r="C617" s="8" t="s">
        <v>14</v>
      </c>
      <c r="D617" s="8" t="str">
        <f>"周小练"</f>
        <v>周小练</v>
      </c>
      <c r="E617" s="8" t="str">
        <f>"女"</f>
        <v>女</v>
      </c>
    </row>
    <row r="618" spans="1:5" ht="30" customHeight="1">
      <c r="A618" s="8">
        <v>615</v>
      </c>
      <c r="B618" s="8" t="str">
        <f>"38492022042212304232567"</f>
        <v>38492022042212304232567</v>
      </c>
      <c r="C618" s="8" t="s">
        <v>14</v>
      </c>
      <c r="D618" s="8" t="str">
        <f>"王夏凯"</f>
        <v>王夏凯</v>
      </c>
      <c r="E618" s="8" t="str">
        <f>"男"</f>
        <v>男</v>
      </c>
    </row>
    <row r="619" spans="1:5" ht="30" customHeight="1">
      <c r="A619" s="8">
        <v>616</v>
      </c>
      <c r="B619" s="8" t="str">
        <f>"38492022042212410032612"</f>
        <v>38492022042212410032612</v>
      </c>
      <c r="C619" s="8" t="s">
        <v>14</v>
      </c>
      <c r="D619" s="8" t="str">
        <f>"符文君"</f>
        <v>符文君</v>
      </c>
      <c r="E619" s="8" t="str">
        <f>"男"</f>
        <v>男</v>
      </c>
    </row>
    <row r="620" spans="1:5" ht="30" customHeight="1">
      <c r="A620" s="8">
        <v>617</v>
      </c>
      <c r="B620" s="8" t="str">
        <f>"38492022042214530633121"</f>
        <v>38492022042214530633121</v>
      </c>
      <c r="C620" s="8" t="s">
        <v>14</v>
      </c>
      <c r="D620" s="8" t="str">
        <f>"符慧颖"</f>
        <v>符慧颖</v>
      </c>
      <c r="E620" s="8" t="str">
        <f>"女"</f>
        <v>女</v>
      </c>
    </row>
    <row r="621" spans="1:5" ht="30" customHeight="1">
      <c r="A621" s="8">
        <v>618</v>
      </c>
      <c r="B621" s="8" t="str">
        <f>"38492022042215213233293"</f>
        <v>38492022042215213233293</v>
      </c>
      <c r="C621" s="8" t="s">
        <v>14</v>
      </c>
      <c r="D621" s="8" t="str">
        <f>"符仕琦"</f>
        <v>符仕琦</v>
      </c>
      <c r="E621" s="8" t="str">
        <f>"女"</f>
        <v>女</v>
      </c>
    </row>
    <row r="622" spans="1:5" ht="30" customHeight="1">
      <c r="A622" s="8">
        <v>619</v>
      </c>
      <c r="B622" s="8" t="str">
        <f>"38492022042215432533421"</f>
        <v>38492022042215432533421</v>
      </c>
      <c r="C622" s="8" t="s">
        <v>14</v>
      </c>
      <c r="D622" s="8" t="str">
        <f>"黄昱"</f>
        <v>黄昱</v>
      </c>
      <c r="E622" s="8" t="str">
        <f>"女"</f>
        <v>女</v>
      </c>
    </row>
    <row r="623" spans="1:5" ht="30" customHeight="1">
      <c r="A623" s="8">
        <v>620</v>
      </c>
      <c r="B623" s="8" t="str">
        <f>"38492022042216055533575"</f>
        <v>38492022042216055533575</v>
      </c>
      <c r="C623" s="8" t="s">
        <v>14</v>
      </c>
      <c r="D623" s="8" t="str">
        <f>"符南腾"</f>
        <v>符南腾</v>
      </c>
      <c r="E623" s="8" t="str">
        <f>"男"</f>
        <v>男</v>
      </c>
    </row>
    <row r="624" spans="1:5" ht="30" customHeight="1">
      <c r="A624" s="8">
        <v>621</v>
      </c>
      <c r="B624" s="8" t="str">
        <f>"38492022042216143633633"</f>
        <v>38492022042216143633633</v>
      </c>
      <c r="C624" s="8" t="s">
        <v>14</v>
      </c>
      <c r="D624" s="8" t="str">
        <f>"谭丽丹"</f>
        <v>谭丽丹</v>
      </c>
      <c r="E624" s="8" t="str">
        <f aca="true" t="shared" si="61" ref="E624:E629">"女"</f>
        <v>女</v>
      </c>
    </row>
    <row r="625" spans="1:5" ht="30" customHeight="1">
      <c r="A625" s="8">
        <v>622</v>
      </c>
      <c r="B625" s="8" t="str">
        <f>"38492022042216364433769"</f>
        <v>38492022042216364433769</v>
      </c>
      <c r="C625" s="8" t="s">
        <v>14</v>
      </c>
      <c r="D625" s="8" t="str">
        <f>"符方媛"</f>
        <v>符方媛</v>
      </c>
      <c r="E625" s="8" t="str">
        <f t="shared" si="61"/>
        <v>女</v>
      </c>
    </row>
    <row r="626" spans="1:5" ht="30" customHeight="1">
      <c r="A626" s="8">
        <v>623</v>
      </c>
      <c r="B626" s="8" t="str">
        <f>"38492022042216473033848"</f>
        <v>38492022042216473033848</v>
      </c>
      <c r="C626" s="8" t="s">
        <v>14</v>
      </c>
      <c r="D626" s="8" t="str">
        <f>"王静"</f>
        <v>王静</v>
      </c>
      <c r="E626" s="8" t="str">
        <f t="shared" si="61"/>
        <v>女</v>
      </c>
    </row>
    <row r="627" spans="1:5" ht="30" customHeight="1">
      <c r="A627" s="8">
        <v>624</v>
      </c>
      <c r="B627" s="8" t="str">
        <f>"38492022042216494633862"</f>
        <v>38492022042216494633862</v>
      </c>
      <c r="C627" s="8" t="s">
        <v>14</v>
      </c>
      <c r="D627" s="8" t="str">
        <f>"李星美"</f>
        <v>李星美</v>
      </c>
      <c r="E627" s="8" t="str">
        <f t="shared" si="61"/>
        <v>女</v>
      </c>
    </row>
    <row r="628" spans="1:5" ht="30" customHeight="1">
      <c r="A628" s="8">
        <v>625</v>
      </c>
      <c r="B628" s="8" t="str">
        <f>"38492022042216550833900"</f>
        <v>38492022042216550833900</v>
      </c>
      <c r="C628" s="8" t="s">
        <v>14</v>
      </c>
      <c r="D628" s="8" t="str">
        <f>"谭芸萃"</f>
        <v>谭芸萃</v>
      </c>
      <c r="E628" s="8" t="str">
        <f t="shared" si="61"/>
        <v>女</v>
      </c>
    </row>
    <row r="629" spans="1:5" ht="30" customHeight="1">
      <c r="A629" s="8">
        <v>626</v>
      </c>
      <c r="B629" s="8" t="str">
        <f>"38492022042216570033911"</f>
        <v>38492022042216570033911</v>
      </c>
      <c r="C629" s="8" t="s">
        <v>14</v>
      </c>
      <c r="D629" s="8" t="str">
        <f>"马晓玉"</f>
        <v>马晓玉</v>
      </c>
      <c r="E629" s="8" t="str">
        <f t="shared" si="61"/>
        <v>女</v>
      </c>
    </row>
    <row r="630" spans="1:5" ht="30" customHeight="1">
      <c r="A630" s="8">
        <v>627</v>
      </c>
      <c r="B630" s="8" t="str">
        <f>"38492022042216581133921"</f>
        <v>38492022042216581133921</v>
      </c>
      <c r="C630" s="8" t="s">
        <v>14</v>
      </c>
      <c r="D630" s="8" t="str">
        <f>"符圣安"</f>
        <v>符圣安</v>
      </c>
      <c r="E630" s="8" t="str">
        <f>"男"</f>
        <v>男</v>
      </c>
    </row>
    <row r="631" spans="1:5" ht="30" customHeight="1">
      <c r="A631" s="8">
        <v>628</v>
      </c>
      <c r="B631" s="8" t="str">
        <f>"38492022042217295034085"</f>
        <v>38492022042217295034085</v>
      </c>
      <c r="C631" s="8" t="s">
        <v>14</v>
      </c>
      <c r="D631" s="8" t="str">
        <f>"王若杉"</f>
        <v>王若杉</v>
      </c>
      <c r="E631" s="8" t="str">
        <f aca="true" t="shared" si="62" ref="E631:E639">"女"</f>
        <v>女</v>
      </c>
    </row>
    <row r="632" spans="1:5" ht="30" customHeight="1">
      <c r="A632" s="8">
        <v>629</v>
      </c>
      <c r="B632" s="8" t="str">
        <f>"38492022042219121634377"</f>
        <v>38492022042219121634377</v>
      </c>
      <c r="C632" s="8" t="s">
        <v>14</v>
      </c>
      <c r="D632" s="8" t="str">
        <f>"云钧"</f>
        <v>云钧</v>
      </c>
      <c r="E632" s="8" t="str">
        <f t="shared" si="62"/>
        <v>女</v>
      </c>
    </row>
    <row r="633" spans="1:5" ht="30" customHeight="1">
      <c r="A633" s="8">
        <v>630</v>
      </c>
      <c r="B633" s="8" t="str">
        <f>"38492022042219290134406"</f>
        <v>38492022042219290134406</v>
      </c>
      <c r="C633" s="8" t="s">
        <v>14</v>
      </c>
      <c r="D633" s="8" t="str">
        <f>"羊洪滩"</f>
        <v>羊洪滩</v>
      </c>
      <c r="E633" s="8" t="str">
        <f t="shared" si="62"/>
        <v>女</v>
      </c>
    </row>
    <row r="634" spans="1:5" ht="30" customHeight="1">
      <c r="A634" s="8">
        <v>631</v>
      </c>
      <c r="B634" s="8" t="str">
        <f>"38492022042220415634545"</f>
        <v>38492022042220415634545</v>
      </c>
      <c r="C634" s="8" t="s">
        <v>14</v>
      </c>
      <c r="D634" s="8" t="str">
        <f>"符小蝶"</f>
        <v>符小蝶</v>
      </c>
      <c r="E634" s="8" t="str">
        <f t="shared" si="62"/>
        <v>女</v>
      </c>
    </row>
    <row r="635" spans="1:5" ht="30" customHeight="1">
      <c r="A635" s="8">
        <v>632</v>
      </c>
      <c r="B635" s="8" t="str">
        <f>"38492022042221005534581"</f>
        <v>38492022042221005534581</v>
      </c>
      <c r="C635" s="8" t="s">
        <v>14</v>
      </c>
      <c r="D635" s="8" t="str">
        <f>"肖明燕"</f>
        <v>肖明燕</v>
      </c>
      <c r="E635" s="8" t="str">
        <f t="shared" si="62"/>
        <v>女</v>
      </c>
    </row>
    <row r="636" spans="1:5" ht="30" customHeight="1">
      <c r="A636" s="8">
        <v>633</v>
      </c>
      <c r="B636" s="8" t="str">
        <f>"38492022042221544434683"</f>
        <v>38492022042221544434683</v>
      </c>
      <c r="C636" s="8" t="s">
        <v>14</v>
      </c>
      <c r="D636" s="8" t="str">
        <f>"王英怀"</f>
        <v>王英怀</v>
      </c>
      <c r="E636" s="8" t="str">
        <f t="shared" si="62"/>
        <v>女</v>
      </c>
    </row>
    <row r="637" spans="1:5" ht="30" customHeight="1">
      <c r="A637" s="8">
        <v>634</v>
      </c>
      <c r="B637" s="8" t="str">
        <f>"38492022042223243334814"</f>
        <v>38492022042223243334814</v>
      </c>
      <c r="C637" s="8" t="s">
        <v>14</v>
      </c>
      <c r="D637" s="8" t="str">
        <f>"符月芬"</f>
        <v>符月芬</v>
      </c>
      <c r="E637" s="8" t="str">
        <f t="shared" si="62"/>
        <v>女</v>
      </c>
    </row>
    <row r="638" spans="1:5" ht="30" customHeight="1">
      <c r="A638" s="8">
        <v>635</v>
      </c>
      <c r="B638" s="8" t="str">
        <f>"38492022042223565834836"</f>
        <v>38492022042223565834836</v>
      </c>
      <c r="C638" s="8" t="s">
        <v>14</v>
      </c>
      <c r="D638" s="8" t="str">
        <f>"符禄庭"</f>
        <v>符禄庭</v>
      </c>
      <c r="E638" s="8" t="str">
        <f t="shared" si="62"/>
        <v>女</v>
      </c>
    </row>
    <row r="639" spans="1:5" ht="30" customHeight="1">
      <c r="A639" s="8">
        <v>636</v>
      </c>
      <c r="B639" s="8" t="str">
        <f>"38492022042309101234932"</f>
        <v>38492022042309101234932</v>
      </c>
      <c r="C639" s="8" t="s">
        <v>14</v>
      </c>
      <c r="D639" s="8" t="str">
        <f>"符丽珠"</f>
        <v>符丽珠</v>
      </c>
      <c r="E639" s="8" t="str">
        <f t="shared" si="62"/>
        <v>女</v>
      </c>
    </row>
    <row r="640" spans="1:5" ht="30" customHeight="1">
      <c r="A640" s="8">
        <v>637</v>
      </c>
      <c r="B640" s="8" t="str">
        <f>"38492022042309294834956"</f>
        <v>38492022042309294834956</v>
      </c>
      <c r="C640" s="8" t="s">
        <v>14</v>
      </c>
      <c r="D640" s="8" t="str">
        <f>"符继波"</f>
        <v>符继波</v>
      </c>
      <c r="E640" s="8" t="str">
        <f>"男"</f>
        <v>男</v>
      </c>
    </row>
    <row r="641" spans="1:5" ht="30" customHeight="1">
      <c r="A641" s="8">
        <v>638</v>
      </c>
      <c r="B641" s="8" t="str">
        <f>"38492022042310583435075"</f>
        <v>38492022042310583435075</v>
      </c>
      <c r="C641" s="8" t="s">
        <v>14</v>
      </c>
      <c r="D641" s="8" t="str">
        <f>"吴阳丽"</f>
        <v>吴阳丽</v>
      </c>
      <c r="E641" s="8" t="str">
        <f>"女"</f>
        <v>女</v>
      </c>
    </row>
    <row r="642" spans="1:5" ht="30" customHeight="1">
      <c r="A642" s="8">
        <v>639</v>
      </c>
      <c r="B642" s="8" t="str">
        <f>"38492022042311065735084"</f>
        <v>38492022042311065735084</v>
      </c>
      <c r="C642" s="8" t="s">
        <v>14</v>
      </c>
      <c r="D642" s="8" t="str">
        <f>"符玲娥"</f>
        <v>符玲娥</v>
      </c>
      <c r="E642" s="8" t="str">
        <f>"女"</f>
        <v>女</v>
      </c>
    </row>
    <row r="643" spans="1:5" ht="30" customHeight="1">
      <c r="A643" s="8">
        <v>640</v>
      </c>
      <c r="B643" s="8" t="str">
        <f>"38492022042313150335253"</f>
        <v>38492022042313150335253</v>
      </c>
      <c r="C643" s="8" t="s">
        <v>14</v>
      </c>
      <c r="D643" s="8" t="str">
        <f>"唐春君"</f>
        <v>唐春君</v>
      </c>
      <c r="E643" s="8" t="str">
        <f>"女"</f>
        <v>女</v>
      </c>
    </row>
    <row r="644" spans="1:5" ht="30" customHeight="1">
      <c r="A644" s="8">
        <v>641</v>
      </c>
      <c r="B644" s="8" t="str">
        <f>"38492022042313321235272"</f>
        <v>38492022042313321235272</v>
      </c>
      <c r="C644" s="8" t="s">
        <v>14</v>
      </c>
      <c r="D644" s="8" t="str">
        <f>"符丽芳"</f>
        <v>符丽芳</v>
      </c>
      <c r="E644" s="8" t="str">
        <f>"女"</f>
        <v>女</v>
      </c>
    </row>
    <row r="645" spans="1:5" ht="30" customHeight="1">
      <c r="A645" s="8">
        <v>642</v>
      </c>
      <c r="B645" s="8" t="str">
        <f>"38492022042313465135286"</f>
        <v>38492022042313465135286</v>
      </c>
      <c r="C645" s="8" t="s">
        <v>14</v>
      </c>
      <c r="D645" s="8" t="str">
        <f>"王康宏"</f>
        <v>王康宏</v>
      </c>
      <c r="E645" s="8" t="str">
        <f>"男"</f>
        <v>男</v>
      </c>
    </row>
    <row r="646" spans="1:5" ht="30" customHeight="1">
      <c r="A646" s="8">
        <v>643</v>
      </c>
      <c r="B646" s="8" t="str">
        <f>"38492022042313553735300"</f>
        <v>38492022042313553735300</v>
      </c>
      <c r="C646" s="8" t="s">
        <v>14</v>
      </c>
      <c r="D646" s="8" t="str">
        <f>"符洪柳"</f>
        <v>符洪柳</v>
      </c>
      <c r="E646" s="8" t="str">
        <f>"女"</f>
        <v>女</v>
      </c>
    </row>
    <row r="647" spans="1:5" ht="30" customHeight="1">
      <c r="A647" s="8">
        <v>644</v>
      </c>
      <c r="B647" s="8" t="str">
        <f>"38492022042313563235301"</f>
        <v>38492022042313563235301</v>
      </c>
      <c r="C647" s="8" t="s">
        <v>14</v>
      </c>
      <c r="D647" s="8" t="str">
        <f>"王家菱"</f>
        <v>王家菱</v>
      </c>
      <c r="E647" s="8" t="str">
        <f>"女"</f>
        <v>女</v>
      </c>
    </row>
    <row r="648" spans="1:5" ht="30" customHeight="1">
      <c r="A648" s="8">
        <v>645</v>
      </c>
      <c r="B648" s="8" t="str">
        <f>"38492022042314382635356"</f>
        <v>38492022042314382635356</v>
      </c>
      <c r="C648" s="8" t="s">
        <v>14</v>
      </c>
      <c r="D648" s="8" t="str">
        <f>"符淑云"</f>
        <v>符淑云</v>
      </c>
      <c r="E648" s="8" t="str">
        <f>"女"</f>
        <v>女</v>
      </c>
    </row>
    <row r="649" spans="1:5" ht="30" customHeight="1">
      <c r="A649" s="8">
        <v>646</v>
      </c>
      <c r="B649" s="8" t="str">
        <f>"38492022042316054235489"</f>
        <v>38492022042316054235489</v>
      </c>
      <c r="C649" s="8" t="s">
        <v>14</v>
      </c>
      <c r="D649" s="8" t="str">
        <f>"陈华凯"</f>
        <v>陈华凯</v>
      </c>
      <c r="E649" s="8" t="str">
        <f>"男"</f>
        <v>男</v>
      </c>
    </row>
    <row r="650" spans="1:5" ht="30" customHeight="1">
      <c r="A650" s="8">
        <v>647</v>
      </c>
      <c r="B650" s="8" t="str">
        <f>"38492022042316381635525"</f>
        <v>38492022042316381635525</v>
      </c>
      <c r="C650" s="8" t="s">
        <v>14</v>
      </c>
      <c r="D650" s="8" t="str">
        <f>"王娇梅"</f>
        <v>王娇梅</v>
      </c>
      <c r="E650" s="8" t="str">
        <f>"女"</f>
        <v>女</v>
      </c>
    </row>
    <row r="651" spans="1:5" ht="30" customHeight="1">
      <c r="A651" s="8">
        <v>648</v>
      </c>
      <c r="B651" s="8" t="str">
        <f>"38492022042317243835594"</f>
        <v>38492022042317243835594</v>
      </c>
      <c r="C651" s="8" t="s">
        <v>14</v>
      </c>
      <c r="D651" s="8" t="str">
        <f>"刘玉娇"</f>
        <v>刘玉娇</v>
      </c>
      <c r="E651" s="8" t="str">
        <f>"女"</f>
        <v>女</v>
      </c>
    </row>
    <row r="652" spans="1:5" ht="30" customHeight="1">
      <c r="A652" s="8">
        <v>649</v>
      </c>
      <c r="B652" s="8" t="str">
        <f>"38492022042319225635694"</f>
        <v>38492022042319225635694</v>
      </c>
      <c r="C652" s="8" t="s">
        <v>14</v>
      </c>
      <c r="D652" s="8" t="str">
        <f>"黎锴"</f>
        <v>黎锴</v>
      </c>
      <c r="E652" s="8" t="str">
        <f>"男"</f>
        <v>男</v>
      </c>
    </row>
    <row r="653" spans="1:5" ht="30" customHeight="1">
      <c r="A653" s="8">
        <v>650</v>
      </c>
      <c r="B653" s="8" t="str">
        <f>"38492022042320161435757"</f>
        <v>38492022042320161435757</v>
      </c>
      <c r="C653" s="8" t="s">
        <v>14</v>
      </c>
      <c r="D653" s="8" t="str">
        <f>"董小妹"</f>
        <v>董小妹</v>
      </c>
      <c r="E653" s="8" t="str">
        <f>"女"</f>
        <v>女</v>
      </c>
    </row>
    <row r="654" spans="1:5" ht="30" customHeight="1">
      <c r="A654" s="8">
        <v>651</v>
      </c>
      <c r="B654" s="8" t="str">
        <f>"38492022042320173235759"</f>
        <v>38492022042320173235759</v>
      </c>
      <c r="C654" s="8" t="s">
        <v>14</v>
      </c>
      <c r="D654" s="8" t="str">
        <f>"羊思思"</f>
        <v>羊思思</v>
      </c>
      <c r="E654" s="8" t="str">
        <f>"女"</f>
        <v>女</v>
      </c>
    </row>
    <row r="655" spans="1:5" ht="30" customHeight="1">
      <c r="A655" s="8">
        <v>652</v>
      </c>
      <c r="B655" s="8" t="str">
        <f>"38492022042321143935854"</f>
        <v>38492022042321143935854</v>
      </c>
      <c r="C655" s="8" t="s">
        <v>14</v>
      </c>
      <c r="D655" s="8" t="str">
        <f>"羊汉怡"</f>
        <v>羊汉怡</v>
      </c>
      <c r="E655" s="8" t="str">
        <f>"女"</f>
        <v>女</v>
      </c>
    </row>
    <row r="656" spans="1:5" ht="30" customHeight="1">
      <c r="A656" s="8">
        <v>653</v>
      </c>
      <c r="B656" s="8" t="str">
        <f>"38492022042321253035874"</f>
        <v>38492022042321253035874</v>
      </c>
      <c r="C656" s="8" t="s">
        <v>14</v>
      </c>
      <c r="D656" s="8" t="str">
        <f>"林明秀"</f>
        <v>林明秀</v>
      </c>
      <c r="E656" s="8" t="str">
        <f>"男"</f>
        <v>男</v>
      </c>
    </row>
    <row r="657" spans="1:5" ht="30" customHeight="1">
      <c r="A657" s="8">
        <v>654</v>
      </c>
      <c r="B657" s="8" t="str">
        <f>"38492022042321425335912"</f>
        <v>38492022042321425335912</v>
      </c>
      <c r="C657" s="8" t="s">
        <v>14</v>
      </c>
      <c r="D657" s="8" t="str">
        <f>"王惠玲"</f>
        <v>王惠玲</v>
      </c>
      <c r="E657" s="8" t="str">
        <f>"女"</f>
        <v>女</v>
      </c>
    </row>
    <row r="658" spans="1:5" ht="30" customHeight="1">
      <c r="A658" s="8">
        <v>655</v>
      </c>
      <c r="B658" s="8" t="str">
        <f>"38492022042321585635934"</f>
        <v>38492022042321585635934</v>
      </c>
      <c r="C658" s="8" t="s">
        <v>14</v>
      </c>
      <c r="D658" s="8" t="str">
        <f>"王晓丹"</f>
        <v>王晓丹</v>
      </c>
      <c r="E658" s="8" t="str">
        <f>"女"</f>
        <v>女</v>
      </c>
    </row>
    <row r="659" spans="1:5" ht="30" customHeight="1">
      <c r="A659" s="8">
        <v>656</v>
      </c>
      <c r="B659" s="8" t="str">
        <f>"38492022042408195136171"</f>
        <v>38492022042408195136171</v>
      </c>
      <c r="C659" s="8" t="s">
        <v>14</v>
      </c>
      <c r="D659" s="8" t="str">
        <f>"符夏梅"</f>
        <v>符夏梅</v>
      </c>
      <c r="E659" s="8" t="str">
        <f>"女"</f>
        <v>女</v>
      </c>
    </row>
    <row r="660" spans="1:5" ht="30" customHeight="1">
      <c r="A660" s="8">
        <v>657</v>
      </c>
      <c r="B660" s="8" t="str">
        <f>"38492022042408475436215"</f>
        <v>38492022042408475436215</v>
      </c>
      <c r="C660" s="8" t="s">
        <v>14</v>
      </c>
      <c r="D660" s="8" t="str">
        <f>"符小芳"</f>
        <v>符小芳</v>
      </c>
      <c r="E660" s="8" t="str">
        <f>"女"</f>
        <v>女</v>
      </c>
    </row>
    <row r="661" spans="1:5" ht="30" customHeight="1">
      <c r="A661" s="8">
        <v>658</v>
      </c>
      <c r="B661" s="8" t="str">
        <f>"38492022042408504036221"</f>
        <v>38492022042408504036221</v>
      </c>
      <c r="C661" s="8" t="s">
        <v>14</v>
      </c>
      <c r="D661" s="8" t="str">
        <f>"曾维浩"</f>
        <v>曾维浩</v>
      </c>
      <c r="E661" s="8" t="str">
        <f>"男"</f>
        <v>男</v>
      </c>
    </row>
    <row r="662" spans="1:5" ht="30" customHeight="1">
      <c r="A662" s="8">
        <v>659</v>
      </c>
      <c r="B662" s="8" t="str">
        <f>"38492022042408504936222"</f>
        <v>38492022042408504936222</v>
      </c>
      <c r="C662" s="8" t="s">
        <v>14</v>
      </c>
      <c r="D662" s="8" t="str">
        <f>"林呈"</f>
        <v>林呈</v>
      </c>
      <c r="E662" s="8" t="str">
        <f>"男"</f>
        <v>男</v>
      </c>
    </row>
    <row r="663" spans="1:5" ht="30" customHeight="1">
      <c r="A663" s="8">
        <v>660</v>
      </c>
      <c r="B663" s="8" t="str">
        <f>"38492022042408535436226"</f>
        <v>38492022042408535436226</v>
      </c>
      <c r="C663" s="8" t="s">
        <v>14</v>
      </c>
      <c r="D663" s="8" t="str">
        <f>"何勇杰"</f>
        <v>何勇杰</v>
      </c>
      <c r="E663" s="8" t="str">
        <f>"男"</f>
        <v>男</v>
      </c>
    </row>
    <row r="664" spans="1:5" ht="30" customHeight="1">
      <c r="A664" s="8">
        <v>661</v>
      </c>
      <c r="B664" s="8" t="str">
        <f>"38492022042409115036265"</f>
        <v>38492022042409115036265</v>
      </c>
      <c r="C664" s="8" t="s">
        <v>14</v>
      </c>
      <c r="D664" s="8" t="str">
        <f>"麦彩依"</f>
        <v>麦彩依</v>
      </c>
      <c r="E664" s="8" t="str">
        <f aca="true" t="shared" si="63" ref="E664:E670">"女"</f>
        <v>女</v>
      </c>
    </row>
    <row r="665" spans="1:5" ht="30" customHeight="1">
      <c r="A665" s="8">
        <v>662</v>
      </c>
      <c r="B665" s="8" t="str">
        <f>"38492022042409120036266"</f>
        <v>38492022042409120036266</v>
      </c>
      <c r="C665" s="8" t="s">
        <v>14</v>
      </c>
      <c r="D665" s="8" t="str">
        <f>"曾翠妹"</f>
        <v>曾翠妹</v>
      </c>
      <c r="E665" s="8" t="str">
        <f t="shared" si="63"/>
        <v>女</v>
      </c>
    </row>
    <row r="666" spans="1:5" ht="30" customHeight="1">
      <c r="A666" s="8">
        <v>663</v>
      </c>
      <c r="B666" s="8" t="str">
        <f>"38492022042409201536285"</f>
        <v>38492022042409201536285</v>
      </c>
      <c r="C666" s="8" t="s">
        <v>14</v>
      </c>
      <c r="D666" s="8" t="str">
        <f>"刘晓欢"</f>
        <v>刘晓欢</v>
      </c>
      <c r="E666" s="8" t="str">
        <f t="shared" si="63"/>
        <v>女</v>
      </c>
    </row>
    <row r="667" spans="1:5" ht="30" customHeight="1">
      <c r="A667" s="8">
        <v>664</v>
      </c>
      <c r="B667" s="8" t="str">
        <f>"38492022042409230536290"</f>
        <v>38492022042409230536290</v>
      </c>
      <c r="C667" s="8" t="s">
        <v>14</v>
      </c>
      <c r="D667" s="8" t="str">
        <f>"王娇樱"</f>
        <v>王娇樱</v>
      </c>
      <c r="E667" s="8" t="str">
        <f t="shared" si="63"/>
        <v>女</v>
      </c>
    </row>
    <row r="668" spans="1:5" ht="30" customHeight="1">
      <c r="A668" s="8">
        <v>665</v>
      </c>
      <c r="B668" s="8" t="str">
        <f>"38492022042409374836326"</f>
        <v>38492022042409374836326</v>
      </c>
      <c r="C668" s="8" t="s">
        <v>14</v>
      </c>
      <c r="D668" s="8" t="str">
        <f>"符纲敏"</f>
        <v>符纲敏</v>
      </c>
      <c r="E668" s="8" t="str">
        <f t="shared" si="63"/>
        <v>女</v>
      </c>
    </row>
    <row r="669" spans="1:5" ht="30" customHeight="1">
      <c r="A669" s="8">
        <v>666</v>
      </c>
      <c r="B669" s="8" t="str">
        <f>"38492022042409573536362"</f>
        <v>38492022042409573536362</v>
      </c>
      <c r="C669" s="8" t="s">
        <v>14</v>
      </c>
      <c r="D669" s="8" t="str">
        <f>"黄淑娟"</f>
        <v>黄淑娟</v>
      </c>
      <c r="E669" s="8" t="str">
        <f t="shared" si="63"/>
        <v>女</v>
      </c>
    </row>
    <row r="670" spans="1:5" ht="30" customHeight="1">
      <c r="A670" s="8">
        <v>667</v>
      </c>
      <c r="B670" s="8" t="str">
        <f>"38492022042410102836390"</f>
        <v>38492022042410102836390</v>
      </c>
      <c r="C670" s="8" t="s">
        <v>14</v>
      </c>
      <c r="D670" s="8" t="str">
        <f>"吴芝玲"</f>
        <v>吴芝玲</v>
      </c>
      <c r="E670" s="8" t="str">
        <f t="shared" si="63"/>
        <v>女</v>
      </c>
    </row>
    <row r="671" spans="1:5" ht="30" customHeight="1">
      <c r="A671" s="8">
        <v>668</v>
      </c>
      <c r="B671" s="8" t="str">
        <f>"38492022042410285136424"</f>
        <v>38492022042410285136424</v>
      </c>
      <c r="C671" s="8" t="s">
        <v>14</v>
      </c>
      <c r="D671" s="8" t="str">
        <f>"钟杰林"</f>
        <v>钟杰林</v>
      </c>
      <c r="E671" s="8" t="str">
        <f>"男"</f>
        <v>男</v>
      </c>
    </row>
    <row r="672" spans="1:5" ht="30" customHeight="1">
      <c r="A672" s="8">
        <v>669</v>
      </c>
      <c r="B672" s="8" t="str">
        <f>"38492022042410465936457"</f>
        <v>38492022042410465936457</v>
      </c>
      <c r="C672" s="8" t="s">
        <v>14</v>
      </c>
      <c r="D672" s="8" t="str">
        <f>"符亚珠"</f>
        <v>符亚珠</v>
      </c>
      <c r="E672" s="8" t="str">
        <f aca="true" t="shared" si="64" ref="E672:E677">"女"</f>
        <v>女</v>
      </c>
    </row>
    <row r="673" spans="1:5" ht="30" customHeight="1">
      <c r="A673" s="8">
        <v>670</v>
      </c>
      <c r="B673" s="8" t="str">
        <f>"38492022042410573536481"</f>
        <v>38492022042410573536481</v>
      </c>
      <c r="C673" s="8" t="s">
        <v>14</v>
      </c>
      <c r="D673" s="8" t="str">
        <f>"王朱红玉"</f>
        <v>王朱红玉</v>
      </c>
      <c r="E673" s="8" t="str">
        <f t="shared" si="64"/>
        <v>女</v>
      </c>
    </row>
    <row r="674" spans="1:5" ht="30" customHeight="1">
      <c r="A674" s="8">
        <v>671</v>
      </c>
      <c r="B674" s="8" t="str">
        <f>"38492022042411182736517"</f>
        <v>38492022042411182736517</v>
      </c>
      <c r="C674" s="8" t="s">
        <v>14</v>
      </c>
      <c r="D674" s="8" t="str">
        <f>"王欣颖"</f>
        <v>王欣颖</v>
      </c>
      <c r="E674" s="8" t="str">
        <f t="shared" si="64"/>
        <v>女</v>
      </c>
    </row>
    <row r="675" spans="1:5" ht="30" customHeight="1">
      <c r="A675" s="8">
        <v>672</v>
      </c>
      <c r="B675" s="8" t="str">
        <f>"38492022042411332636546"</f>
        <v>38492022042411332636546</v>
      </c>
      <c r="C675" s="8" t="s">
        <v>14</v>
      </c>
      <c r="D675" s="8" t="str">
        <f>"唐玉婷"</f>
        <v>唐玉婷</v>
      </c>
      <c r="E675" s="8" t="str">
        <f t="shared" si="64"/>
        <v>女</v>
      </c>
    </row>
    <row r="676" spans="1:5" ht="30" customHeight="1">
      <c r="A676" s="8">
        <v>673</v>
      </c>
      <c r="B676" s="8" t="str">
        <f>"38492022042411404136566"</f>
        <v>38492022042411404136566</v>
      </c>
      <c r="C676" s="8" t="s">
        <v>14</v>
      </c>
      <c r="D676" s="8" t="str">
        <f>"符怡思"</f>
        <v>符怡思</v>
      </c>
      <c r="E676" s="8" t="str">
        <f t="shared" si="64"/>
        <v>女</v>
      </c>
    </row>
    <row r="677" spans="1:5" ht="30" customHeight="1">
      <c r="A677" s="8">
        <v>674</v>
      </c>
      <c r="B677" s="8" t="str">
        <f>"38492022042412021536600"</f>
        <v>38492022042412021536600</v>
      </c>
      <c r="C677" s="8" t="s">
        <v>14</v>
      </c>
      <c r="D677" s="8" t="str">
        <f>"王慧丹"</f>
        <v>王慧丹</v>
      </c>
      <c r="E677" s="8" t="str">
        <f t="shared" si="64"/>
        <v>女</v>
      </c>
    </row>
    <row r="678" spans="1:5" ht="30" customHeight="1">
      <c r="A678" s="8">
        <v>675</v>
      </c>
      <c r="B678" s="8" t="str">
        <f>"38492022042413445936761"</f>
        <v>38492022042413445936761</v>
      </c>
      <c r="C678" s="8" t="s">
        <v>14</v>
      </c>
      <c r="D678" s="8" t="str">
        <f>"王英俊"</f>
        <v>王英俊</v>
      </c>
      <c r="E678" s="8" t="str">
        <f>"男"</f>
        <v>男</v>
      </c>
    </row>
    <row r="679" spans="1:5" ht="30" customHeight="1">
      <c r="A679" s="8">
        <v>676</v>
      </c>
      <c r="B679" s="8" t="str">
        <f>"38492022042414335636807"</f>
        <v>38492022042414335636807</v>
      </c>
      <c r="C679" s="8" t="s">
        <v>14</v>
      </c>
      <c r="D679" s="8" t="str">
        <f>"符宁"</f>
        <v>符宁</v>
      </c>
      <c r="E679" s="8" t="str">
        <f>"男"</f>
        <v>男</v>
      </c>
    </row>
    <row r="680" spans="1:5" ht="30" customHeight="1">
      <c r="A680" s="8">
        <v>677</v>
      </c>
      <c r="B680" s="8" t="str">
        <f>"38492022042414481636835"</f>
        <v>38492022042414481636835</v>
      </c>
      <c r="C680" s="8" t="s">
        <v>14</v>
      </c>
      <c r="D680" s="8" t="str">
        <f>"符海恋"</f>
        <v>符海恋</v>
      </c>
      <c r="E680" s="8" t="str">
        <f>"女"</f>
        <v>女</v>
      </c>
    </row>
    <row r="681" spans="1:5" ht="30" customHeight="1">
      <c r="A681" s="8">
        <v>678</v>
      </c>
      <c r="B681" s="8" t="str">
        <f>"38492022042415061336865"</f>
        <v>38492022042415061336865</v>
      </c>
      <c r="C681" s="8" t="s">
        <v>14</v>
      </c>
      <c r="D681" s="8" t="str">
        <f>"肖泽城"</f>
        <v>肖泽城</v>
      </c>
      <c r="E681" s="8" t="str">
        <f>"男"</f>
        <v>男</v>
      </c>
    </row>
    <row r="682" spans="1:5" ht="30" customHeight="1">
      <c r="A682" s="8">
        <v>679</v>
      </c>
      <c r="B682" s="8" t="str">
        <f>"38492022042415121736881"</f>
        <v>38492022042415121736881</v>
      </c>
      <c r="C682" s="8" t="s">
        <v>14</v>
      </c>
      <c r="D682" s="8" t="str">
        <f>"符警"</f>
        <v>符警</v>
      </c>
      <c r="E682" s="8" t="str">
        <f>"女"</f>
        <v>女</v>
      </c>
    </row>
    <row r="683" spans="1:5" ht="30" customHeight="1">
      <c r="A683" s="8">
        <v>680</v>
      </c>
      <c r="B683" s="8" t="str">
        <f>"38492022042416135737025"</f>
        <v>38492022042416135737025</v>
      </c>
      <c r="C683" s="8" t="s">
        <v>14</v>
      </c>
      <c r="D683" s="8" t="str">
        <f>"许森煜"</f>
        <v>许森煜</v>
      </c>
      <c r="E683" s="8" t="str">
        <f>"男"</f>
        <v>男</v>
      </c>
    </row>
    <row r="684" spans="1:5" ht="30" customHeight="1">
      <c r="A684" s="8">
        <v>681</v>
      </c>
      <c r="B684" s="8" t="str">
        <f>"38492022042416272937052"</f>
        <v>38492022042416272937052</v>
      </c>
      <c r="C684" s="8" t="s">
        <v>14</v>
      </c>
      <c r="D684" s="8" t="str">
        <f>"马素妹"</f>
        <v>马素妹</v>
      </c>
      <c r="E684" s="8" t="str">
        <f>"女"</f>
        <v>女</v>
      </c>
    </row>
    <row r="685" spans="1:5" ht="30" customHeight="1">
      <c r="A685" s="8">
        <v>682</v>
      </c>
      <c r="B685" s="8" t="str">
        <f>"38492022042418321137278"</f>
        <v>38492022042418321137278</v>
      </c>
      <c r="C685" s="8" t="s">
        <v>14</v>
      </c>
      <c r="D685" s="8" t="str">
        <f>"王伟冰"</f>
        <v>王伟冰</v>
      </c>
      <c r="E685" s="8" t="str">
        <f>"男"</f>
        <v>男</v>
      </c>
    </row>
    <row r="686" spans="1:5" ht="30" customHeight="1">
      <c r="A686" s="8">
        <v>683</v>
      </c>
      <c r="B686" s="8" t="str">
        <f>"38492022042418502737309"</f>
        <v>38492022042418502737309</v>
      </c>
      <c r="C686" s="8" t="s">
        <v>14</v>
      </c>
      <c r="D686" s="8" t="str">
        <f>"符丽婷"</f>
        <v>符丽婷</v>
      </c>
      <c r="E686" s="8" t="str">
        <f>"女"</f>
        <v>女</v>
      </c>
    </row>
    <row r="687" spans="1:5" ht="30" customHeight="1">
      <c r="A687" s="8">
        <v>684</v>
      </c>
      <c r="B687" s="8" t="str">
        <f>"38492022042419252337350"</f>
        <v>38492022042419252337350</v>
      </c>
      <c r="C687" s="8" t="s">
        <v>14</v>
      </c>
      <c r="D687" s="8" t="str">
        <f>"张帅帅"</f>
        <v>张帅帅</v>
      </c>
      <c r="E687" s="8" t="str">
        <f>"男"</f>
        <v>男</v>
      </c>
    </row>
    <row r="688" spans="1:5" ht="30" customHeight="1">
      <c r="A688" s="8">
        <v>685</v>
      </c>
      <c r="B688" s="8" t="str">
        <f>"38492022042419364037366"</f>
        <v>38492022042419364037366</v>
      </c>
      <c r="C688" s="8" t="s">
        <v>14</v>
      </c>
      <c r="D688" s="8" t="str">
        <f>"王振捷"</f>
        <v>王振捷</v>
      </c>
      <c r="E688" s="8" t="str">
        <f>"男"</f>
        <v>男</v>
      </c>
    </row>
    <row r="689" spans="1:5" ht="30" customHeight="1">
      <c r="A689" s="8">
        <v>686</v>
      </c>
      <c r="B689" s="8" t="str">
        <f>"38492022042419535437386"</f>
        <v>38492022042419535437386</v>
      </c>
      <c r="C689" s="8" t="s">
        <v>14</v>
      </c>
      <c r="D689" s="8" t="str">
        <f>"吴英伦"</f>
        <v>吴英伦</v>
      </c>
      <c r="E689" s="8" t="str">
        <f>"男"</f>
        <v>男</v>
      </c>
    </row>
    <row r="690" spans="1:5" ht="30" customHeight="1">
      <c r="A690" s="8">
        <v>687</v>
      </c>
      <c r="B690" s="8" t="str">
        <f>"38492022042420005337397"</f>
        <v>38492022042420005337397</v>
      </c>
      <c r="C690" s="8" t="s">
        <v>14</v>
      </c>
      <c r="D690" s="8" t="str">
        <f>"符宝"</f>
        <v>符宝</v>
      </c>
      <c r="E690" s="8" t="str">
        <f>"女"</f>
        <v>女</v>
      </c>
    </row>
    <row r="691" spans="1:5" ht="30" customHeight="1">
      <c r="A691" s="8">
        <v>688</v>
      </c>
      <c r="B691" s="8" t="str">
        <f>"38492022042420100437409"</f>
        <v>38492022042420100437409</v>
      </c>
      <c r="C691" s="8" t="s">
        <v>14</v>
      </c>
      <c r="D691" s="8" t="str">
        <f>"杨庆利"</f>
        <v>杨庆利</v>
      </c>
      <c r="E691" s="8" t="str">
        <f>"男"</f>
        <v>男</v>
      </c>
    </row>
    <row r="692" spans="1:5" ht="30" customHeight="1">
      <c r="A692" s="8">
        <v>689</v>
      </c>
      <c r="B692" s="8" t="str">
        <f>"38492022042420402337464"</f>
        <v>38492022042420402337464</v>
      </c>
      <c r="C692" s="8" t="s">
        <v>14</v>
      </c>
      <c r="D692" s="8" t="str">
        <f>"符淑娜"</f>
        <v>符淑娜</v>
      </c>
      <c r="E692" s="8" t="str">
        <f>"女"</f>
        <v>女</v>
      </c>
    </row>
    <row r="693" spans="1:5" ht="30" customHeight="1">
      <c r="A693" s="8">
        <v>690</v>
      </c>
      <c r="B693" s="8" t="str">
        <f>"38492022042420463637475"</f>
        <v>38492022042420463637475</v>
      </c>
      <c r="C693" s="8" t="s">
        <v>14</v>
      </c>
      <c r="D693" s="8" t="str">
        <f>"郑玉遂"</f>
        <v>郑玉遂</v>
      </c>
      <c r="E693" s="8" t="str">
        <f>"女"</f>
        <v>女</v>
      </c>
    </row>
    <row r="694" spans="1:5" ht="30" customHeight="1">
      <c r="A694" s="8">
        <v>691</v>
      </c>
      <c r="B694" s="8" t="str">
        <f>"38492022042422575037689"</f>
        <v>38492022042422575037689</v>
      </c>
      <c r="C694" s="8" t="s">
        <v>14</v>
      </c>
      <c r="D694" s="8" t="str">
        <f>"符珑璐"</f>
        <v>符珑璐</v>
      </c>
      <c r="E694" s="8" t="str">
        <f>"女"</f>
        <v>女</v>
      </c>
    </row>
    <row r="695" spans="1:5" ht="30" customHeight="1">
      <c r="A695" s="8">
        <v>692</v>
      </c>
      <c r="B695" s="8" t="str">
        <f>"38492022042423551137747"</f>
        <v>38492022042423551137747</v>
      </c>
      <c r="C695" s="8" t="s">
        <v>14</v>
      </c>
      <c r="D695" s="8" t="str">
        <f>"符明"</f>
        <v>符明</v>
      </c>
      <c r="E695" s="8" t="str">
        <f>"男"</f>
        <v>男</v>
      </c>
    </row>
    <row r="696" spans="1:5" ht="30" customHeight="1">
      <c r="A696" s="8">
        <v>693</v>
      </c>
      <c r="B696" s="8" t="str">
        <f>"38492022042508244137818"</f>
        <v>38492022042508244137818</v>
      </c>
      <c r="C696" s="8" t="s">
        <v>14</v>
      </c>
      <c r="D696" s="8" t="str">
        <f>"孙晓玉"</f>
        <v>孙晓玉</v>
      </c>
      <c r="E696" s="8" t="str">
        <f>"女"</f>
        <v>女</v>
      </c>
    </row>
    <row r="697" spans="1:5" ht="30" customHeight="1">
      <c r="A697" s="8">
        <v>694</v>
      </c>
      <c r="B697" s="8" t="str">
        <f>"38492022042508254937819"</f>
        <v>38492022042508254937819</v>
      </c>
      <c r="C697" s="8" t="s">
        <v>14</v>
      </c>
      <c r="D697" s="8" t="str">
        <f>"黄卉依"</f>
        <v>黄卉依</v>
      </c>
      <c r="E697" s="8" t="str">
        <f>"女"</f>
        <v>女</v>
      </c>
    </row>
    <row r="698" spans="1:5" ht="30" customHeight="1">
      <c r="A698" s="8">
        <v>695</v>
      </c>
      <c r="B698" s="8" t="str">
        <f>"38492022042508373537831"</f>
        <v>38492022042508373537831</v>
      </c>
      <c r="C698" s="8" t="s">
        <v>14</v>
      </c>
      <c r="D698" s="8" t="str">
        <f>"陈文龙"</f>
        <v>陈文龙</v>
      </c>
      <c r="E698" s="8" t="str">
        <f>"男"</f>
        <v>男</v>
      </c>
    </row>
    <row r="699" spans="1:5" ht="30" customHeight="1">
      <c r="A699" s="8">
        <v>696</v>
      </c>
      <c r="B699" s="8" t="str">
        <f>"38492022042509295237889"</f>
        <v>38492022042509295237889</v>
      </c>
      <c r="C699" s="8" t="s">
        <v>14</v>
      </c>
      <c r="D699" s="8" t="str">
        <f>"符佳"</f>
        <v>符佳</v>
      </c>
      <c r="E699" s="8" t="str">
        <f>"女"</f>
        <v>女</v>
      </c>
    </row>
    <row r="700" spans="1:5" ht="30" customHeight="1">
      <c r="A700" s="8">
        <v>697</v>
      </c>
      <c r="B700" s="8" t="str">
        <f>"38492022042509313237892"</f>
        <v>38492022042509313237892</v>
      </c>
      <c r="C700" s="8" t="s">
        <v>14</v>
      </c>
      <c r="D700" s="8" t="str">
        <f>"符明慧"</f>
        <v>符明慧</v>
      </c>
      <c r="E700" s="8" t="str">
        <f>"女"</f>
        <v>女</v>
      </c>
    </row>
    <row r="701" spans="1:5" ht="30" customHeight="1">
      <c r="A701" s="8">
        <v>698</v>
      </c>
      <c r="B701" s="8" t="str">
        <f>"38492022042509561337932"</f>
        <v>38492022042509561337932</v>
      </c>
      <c r="C701" s="8" t="s">
        <v>14</v>
      </c>
      <c r="D701" s="8" t="str">
        <f>"温晓佳"</f>
        <v>温晓佳</v>
      </c>
      <c r="E701" s="8" t="str">
        <f>"男"</f>
        <v>男</v>
      </c>
    </row>
    <row r="702" spans="1:5" ht="30" customHeight="1">
      <c r="A702" s="8">
        <v>699</v>
      </c>
      <c r="B702" s="8" t="str">
        <f>"38492022042509583737941"</f>
        <v>38492022042509583737941</v>
      </c>
      <c r="C702" s="8" t="s">
        <v>14</v>
      </c>
      <c r="D702" s="8" t="str">
        <f>"符春梦"</f>
        <v>符春梦</v>
      </c>
      <c r="E702" s="8" t="str">
        <f>"女"</f>
        <v>女</v>
      </c>
    </row>
    <row r="703" spans="1:5" ht="30" customHeight="1">
      <c r="A703" s="8">
        <v>700</v>
      </c>
      <c r="B703" s="8" t="str">
        <f>"38492022042510012537946"</f>
        <v>38492022042510012537946</v>
      </c>
      <c r="C703" s="8" t="s">
        <v>14</v>
      </c>
      <c r="D703" s="8" t="str">
        <f>"王丽茜"</f>
        <v>王丽茜</v>
      </c>
      <c r="E703" s="8" t="str">
        <f>"女"</f>
        <v>女</v>
      </c>
    </row>
    <row r="704" spans="1:5" ht="30" customHeight="1">
      <c r="A704" s="8">
        <v>701</v>
      </c>
      <c r="B704" s="8" t="str">
        <f>"38492022042510292637996"</f>
        <v>38492022042510292637996</v>
      </c>
      <c r="C704" s="8" t="s">
        <v>14</v>
      </c>
      <c r="D704" s="8" t="str">
        <f>"叶慧婷"</f>
        <v>叶慧婷</v>
      </c>
      <c r="E704" s="8" t="str">
        <f>"女"</f>
        <v>女</v>
      </c>
    </row>
    <row r="705" spans="1:5" ht="30" customHeight="1">
      <c r="A705" s="8">
        <v>702</v>
      </c>
      <c r="B705" s="8" t="str">
        <f>"38492022042510323938003"</f>
        <v>38492022042510323938003</v>
      </c>
      <c r="C705" s="8" t="s">
        <v>14</v>
      </c>
      <c r="D705" s="8" t="str">
        <f>"田秋雨"</f>
        <v>田秋雨</v>
      </c>
      <c r="E705" s="8" t="str">
        <f>"女"</f>
        <v>女</v>
      </c>
    </row>
    <row r="706" spans="1:5" ht="30" customHeight="1">
      <c r="A706" s="8">
        <v>703</v>
      </c>
      <c r="B706" s="8" t="str">
        <f>"38492022042510411438024"</f>
        <v>38492022042510411438024</v>
      </c>
      <c r="C706" s="8" t="s">
        <v>14</v>
      </c>
      <c r="D706" s="8" t="str">
        <f>"董文伟"</f>
        <v>董文伟</v>
      </c>
      <c r="E706" s="8" t="str">
        <f>"男"</f>
        <v>男</v>
      </c>
    </row>
    <row r="707" spans="1:5" ht="30" customHeight="1">
      <c r="A707" s="8">
        <v>704</v>
      </c>
      <c r="B707" s="8" t="str">
        <f>"38492022042514492938305"</f>
        <v>38492022042514492938305</v>
      </c>
      <c r="C707" s="8" t="s">
        <v>14</v>
      </c>
      <c r="D707" s="8" t="str">
        <f>"林师阳"</f>
        <v>林师阳</v>
      </c>
      <c r="E707" s="8" t="str">
        <f>"男"</f>
        <v>男</v>
      </c>
    </row>
    <row r="708" spans="1:5" ht="30" customHeight="1">
      <c r="A708" s="8">
        <v>705</v>
      </c>
      <c r="B708" s="8" t="str">
        <f>"38492022042515090338341"</f>
        <v>38492022042515090338341</v>
      </c>
      <c r="C708" s="8" t="s">
        <v>14</v>
      </c>
      <c r="D708" s="8" t="str">
        <f>"符世侦"</f>
        <v>符世侦</v>
      </c>
      <c r="E708" s="8" t="str">
        <f>"男"</f>
        <v>男</v>
      </c>
    </row>
    <row r="709" spans="1:5" ht="30" customHeight="1">
      <c r="A709" s="8">
        <v>706</v>
      </c>
      <c r="B709" s="8" t="str">
        <f>"38492022042515391738405"</f>
        <v>38492022042515391738405</v>
      </c>
      <c r="C709" s="8" t="s">
        <v>14</v>
      </c>
      <c r="D709" s="8" t="str">
        <f>"黄淑婵"</f>
        <v>黄淑婵</v>
      </c>
      <c r="E709" s="8" t="str">
        <f>"女"</f>
        <v>女</v>
      </c>
    </row>
    <row r="710" spans="1:5" ht="30" customHeight="1">
      <c r="A710" s="8">
        <v>707</v>
      </c>
      <c r="B710" s="8" t="str">
        <f>"38492022042515440738419"</f>
        <v>38492022042515440738419</v>
      </c>
      <c r="C710" s="8" t="s">
        <v>14</v>
      </c>
      <c r="D710" s="8" t="str">
        <f>"王明萌"</f>
        <v>王明萌</v>
      </c>
      <c r="E710" s="8" t="str">
        <f>"女"</f>
        <v>女</v>
      </c>
    </row>
    <row r="711" spans="1:5" ht="30" customHeight="1">
      <c r="A711" s="8">
        <v>708</v>
      </c>
      <c r="B711" s="8" t="str">
        <f>"38492022042516053138456"</f>
        <v>38492022042516053138456</v>
      </c>
      <c r="C711" s="8" t="s">
        <v>14</v>
      </c>
      <c r="D711" s="8" t="str">
        <f>"王家志"</f>
        <v>王家志</v>
      </c>
      <c r="E711" s="8" t="str">
        <f>"男"</f>
        <v>男</v>
      </c>
    </row>
    <row r="712" spans="1:5" ht="30" customHeight="1">
      <c r="A712" s="8">
        <v>709</v>
      </c>
      <c r="B712" s="8" t="str">
        <f>"38492022042516493038513"</f>
        <v>38492022042516493038513</v>
      </c>
      <c r="C712" s="8" t="s">
        <v>14</v>
      </c>
      <c r="D712" s="8" t="str">
        <f>"符有珍"</f>
        <v>符有珍</v>
      </c>
      <c r="E712" s="8" t="str">
        <f>"女"</f>
        <v>女</v>
      </c>
    </row>
    <row r="713" spans="1:5" ht="30" customHeight="1">
      <c r="A713" s="8">
        <v>710</v>
      </c>
      <c r="B713" s="8" t="str">
        <f>"38492022042517262638578"</f>
        <v>38492022042517262638578</v>
      </c>
      <c r="C713" s="8" t="s">
        <v>14</v>
      </c>
      <c r="D713" s="8" t="str">
        <f>"何莉仙"</f>
        <v>何莉仙</v>
      </c>
      <c r="E713" s="8" t="str">
        <f>"女"</f>
        <v>女</v>
      </c>
    </row>
    <row r="714" spans="1:5" ht="30" customHeight="1">
      <c r="A714" s="8">
        <v>711</v>
      </c>
      <c r="B714" s="8" t="str">
        <f>"38492022042517301138582"</f>
        <v>38492022042517301138582</v>
      </c>
      <c r="C714" s="8" t="s">
        <v>14</v>
      </c>
      <c r="D714" s="8" t="str">
        <f>"高亚妹"</f>
        <v>高亚妹</v>
      </c>
      <c r="E714" s="8" t="str">
        <f>"女"</f>
        <v>女</v>
      </c>
    </row>
    <row r="715" spans="1:5" ht="30" customHeight="1">
      <c r="A715" s="8">
        <v>712</v>
      </c>
      <c r="B715" s="8" t="str">
        <f>"38492022042518504738669"</f>
        <v>38492022042518504738669</v>
      </c>
      <c r="C715" s="8" t="s">
        <v>14</v>
      </c>
      <c r="D715" s="8" t="str">
        <f>"王维思"</f>
        <v>王维思</v>
      </c>
      <c r="E715" s="8" t="str">
        <f>"男"</f>
        <v>男</v>
      </c>
    </row>
    <row r="716" spans="1:5" ht="30" customHeight="1">
      <c r="A716" s="8">
        <v>713</v>
      </c>
      <c r="B716" s="8" t="str">
        <f>"38492022042519574338736"</f>
        <v>38492022042519574338736</v>
      </c>
      <c r="C716" s="8" t="s">
        <v>14</v>
      </c>
      <c r="D716" s="8" t="str">
        <f>"王程"</f>
        <v>王程</v>
      </c>
      <c r="E716" s="8" t="str">
        <f>"男"</f>
        <v>男</v>
      </c>
    </row>
    <row r="717" spans="1:5" ht="30" customHeight="1">
      <c r="A717" s="8">
        <v>714</v>
      </c>
      <c r="B717" s="8" t="str">
        <f>"38492022042520074538750"</f>
        <v>38492022042520074538750</v>
      </c>
      <c r="C717" s="8" t="s">
        <v>14</v>
      </c>
      <c r="D717" s="8" t="str">
        <f>"林碧婷"</f>
        <v>林碧婷</v>
      </c>
      <c r="E717" s="8" t="str">
        <f aca="true" t="shared" si="65" ref="E717:E722">"女"</f>
        <v>女</v>
      </c>
    </row>
    <row r="718" spans="1:5" ht="30" customHeight="1">
      <c r="A718" s="8">
        <v>715</v>
      </c>
      <c r="B718" s="8" t="str">
        <f>"38492022042520535238816"</f>
        <v>38492022042520535238816</v>
      </c>
      <c r="C718" s="8" t="s">
        <v>14</v>
      </c>
      <c r="D718" s="8" t="str">
        <f>"张旭"</f>
        <v>张旭</v>
      </c>
      <c r="E718" s="8" t="str">
        <f t="shared" si="65"/>
        <v>女</v>
      </c>
    </row>
    <row r="719" spans="1:5" ht="30" customHeight="1">
      <c r="A719" s="8">
        <v>716</v>
      </c>
      <c r="B719" s="8" t="str">
        <f>"38492022042521260438852"</f>
        <v>38492022042521260438852</v>
      </c>
      <c r="C719" s="8" t="s">
        <v>14</v>
      </c>
      <c r="D719" s="8" t="str">
        <f>"罗智泳"</f>
        <v>罗智泳</v>
      </c>
      <c r="E719" s="8" t="str">
        <f t="shared" si="65"/>
        <v>女</v>
      </c>
    </row>
    <row r="720" spans="1:5" ht="30" customHeight="1">
      <c r="A720" s="8">
        <v>717</v>
      </c>
      <c r="B720" s="8" t="str">
        <f>"38492022042522521738984"</f>
        <v>38492022042522521738984</v>
      </c>
      <c r="C720" s="8" t="s">
        <v>14</v>
      </c>
      <c r="D720" s="8" t="str">
        <f>"符志茹"</f>
        <v>符志茹</v>
      </c>
      <c r="E720" s="8" t="str">
        <f t="shared" si="65"/>
        <v>女</v>
      </c>
    </row>
    <row r="721" spans="1:5" ht="30" customHeight="1">
      <c r="A721" s="8">
        <v>718</v>
      </c>
      <c r="B721" s="8" t="str">
        <f>"38492022042523195639014"</f>
        <v>38492022042523195639014</v>
      </c>
      <c r="C721" s="8" t="s">
        <v>14</v>
      </c>
      <c r="D721" s="8" t="str">
        <f>"曾盈盈"</f>
        <v>曾盈盈</v>
      </c>
      <c r="E721" s="8" t="str">
        <f t="shared" si="65"/>
        <v>女</v>
      </c>
    </row>
    <row r="722" spans="1:5" ht="30" customHeight="1">
      <c r="A722" s="8">
        <v>719</v>
      </c>
      <c r="B722" s="8" t="str">
        <f>"38492022042601225439088"</f>
        <v>38492022042601225439088</v>
      </c>
      <c r="C722" s="8" t="s">
        <v>14</v>
      </c>
      <c r="D722" s="8" t="str">
        <f>"林雪丽"</f>
        <v>林雪丽</v>
      </c>
      <c r="E722" s="8" t="str">
        <f t="shared" si="65"/>
        <v>女</v>
      </c>
    </row>
    <row r="723" spans="1:5" ht="30" customHeight="1">
      <c r="A723" s="8">
        <v>720</v>
      </c>
      <c r="B723" s="8" t="str">
        <f>"38492022042608184739128"</f>
        <v>38492022042608184739128</v>
      </c>
      <c r="C723" s="8" t="s">
        <v>14</v>
      </c>
      <c r="D723" s="8" t="str">
        <f>"符伟峻"</f>
        <v>符伟峻</v>
      </c>
      <c r="E723" s="8" t="str">
        <f>"男"</f>
        <v>男</v>
      </c>
    </row>
    <row r="724" spans="1:5" ht="30" customHeight="1">
      <c r="A724" s="8">
        <v>721</v>
      </c>
      <c r="B724" s="8" t="str">
        <f>"38492022042609081439178"</f>
        <v>38492022042609081439178</v>
      </c>
      <c r="C724" s="8" t="s">
        <v>14</v>
      </c>
      <c r="D724" s="8" t="str">
        <f>"符虹怡"</f>
        <v>符虹怡</v>
      </c>
      <c r="E724" s="8" t="str">
        <f>"女"</f>
        <v>女</v>
      </c>
    </row>
    <row r="725" spans="1:5" ht="30" customHeight="1">
      <c r="A725" s="8">
        <v>722</v>
      </c>
      <c r="B725" s="8" t="str">
        <f>"38492022042610114539274"</f>
        <v>38492022042610114539274</v>
      </c>
      <c r="C725" s="8" t="s">
        <v>14</v>
      </c>
      <c r="D725" s="8" t="str">
        <f>"符丽悦"</f>
        <v>符丽悦</v>
      </c>
      <c r="E725" s="8" t="str">
        <f>"女"</f>
        <v>女</v>
      </c>
    </row>
    <row r="726" spans="1:5" ht="30" customHeight="1">
      <c r="A726" s="8">
        <v>723</v>
      </c>
      <c r="B726" s="8" t="str">
        <f>"38492022042610292639303"</f>
        <v>38492022042610292639303</v>
      </c>
      <c r="C726" s="8" t="s">
        <v>14</v>
      </c>
      <c r="D726" s="8" t="str">
        <f>"符艳敏"</f>
        <v>符艳敏</v>
      </c>
      <c r="E726" s="8" t="str">
        <f>"女"</f>
        <v>女</v>
      </c>
    </row>
    <row r="727" spans="1:5" ht="30" customHeight="1">
      <c r="A727" s="8">
        <v>724</v>
      </c>
      <c r="B727" s="8" t="str">
        <f>"38492022042610493439336"</f>
        <v>38492022042610493439336</v>
      </c>
      <c r="C727" s="8" t="s">
        <v>14</v>
      </c>
      <c r="D727" s="8" t="str">
        <f>"符佳婧"</f>
        <v>符佳婧</v>
      </c>
      <c r="E727" s="8" t="str">
        <f>"女"</f>
        <v>女</v>
      </c>
    </row>
    <row r="728" spans="1:5" ht="30" customHeight="1">
      <c r="A728" s="8">
        <v>725</v>
      </c>
      <c r="B728" s="8" t="str">
        <f>"38492022042610555439344"</f>
        <v>38492022042610555439344</v>
      </c>
      <c r="C728" s="8" t="s">
        <v>14</v>
      </c>
      <c r="D728" s="8" t="str">
        <f>"王明勋"</f>
        <v>王明勋</v>
      </c>
      <c r="E728" s="8" t="str">
        <f>"男"</f>
        <v>男</v>
      </c>
    </row>
    <row r="729" spans="1:5" ht="30" customHeight="1">
      <c r="A729" s="8">
        <v>726</v>
      </c>
      <c r="B729" s="8" t="str">
        <f>"38492022042611365639404"</f>
        <v>38492022042611365639404</v>
      </c>
      <c r="C729" s="8" t="s">
        <v>14</v>
      </c>
      <c r="D729" s="8" t="str">
        <f>"陈垂妹"</f>
        <v>陈垂妹</v>
      </c>
      <c r="E729" s="8" t="str">
        <f aca="true" t="shared" si="66" ref="E729:E736">"女"</f>
        <v>女</v>
      </c>
    </row>
    <row r="730" spans="1:5" ht="30" customHeight="1">
      <c r="A730" s="8">
        <v>727</v>
      </c>
      <c r="B730" s="8" t="str">
        <f>"38492022042611570339429"</f>
        <v>38492022042611570339429</v>
      </c>
      <c r="C730" s="8" t="s">
        <v>14</v>
      </c>
      <c r="D730" s="8" t="str">
        <f>"陈培格"</f>
        <v>陈培格</v>
      </c>
      <c r="E730" s="8" t="str">
        <f t="shared" si="66"/>
        <v>女</v>
      </c>
    </row>
    <row r="731" spans="1:5" ht="30" customHeight="1">
      <c r="A731" s="8">
        <v>728</v>
      </c>
      <c r="B731" s="8" t="str">
        <f>"38492022042612085339446"</f>
        <v>38492022042612085339446</v>
      </c>
      <c r="C731" s="8" t="s">
        <v>14</v>
      </c>
      <c r="D731" s="8" t="str">
        <f>"孙春蓉"</f>
        <v>孙春蓉</v>
      </c>
      <c r="E731" s="8" t="str">
        <f t="shared" si="66"/>
        <v>女</v>
      </c>
    </row>
    <row r="732" spans="1:5" ht="30" customHeight="1">
      <c r="A732" s="8">
        <v>729</v>
      </c>
      <c r="B732" s="8" t="str">
        <f>"38492022042612401139488"</f>
        <v>38492022042612401139488</v>
      </c>
      <c r="C732" s="8" t="s">
        <v>14</v>
      </c>
      <c r="D732" s="8" t="str">
        <f>"符馨匀"</f>
        <v>符馨匀</v>
      </c>
      <c r="E732" s="8" t="str">
        <f t="shared" si="66"/>
        <v>女</v>
      </c>
    </row>
    <row r="733" spans="1:5" ht="30" customHeight="1">
      <c r="A733" s="8">
        <v>730</v>
      </c>
      <c r="B733" s="8" t="str">
        <f>"38492022042615532739737"</f>
        <v>38492022042615532739737</v>
      </c>
      <c r="C733" s="8" t="s">
        <v>14</v>
      </c>
      <c r="D733" s="8" t="str">
        <f>"王娴颖"</f>
        <v>王娴颖</v>
      </c>
      <c r="E733" s="8" t="str">
        <f t="shared" si="66"/>
        <v>女</v>
      </c>
    </row>
    <row r="734" spans="1:5" ht="30" customHeight="1">
      <c r="A734" s="8">
        <v>731</v>
      </c>
      <c r="B734" s="8" t="str">
        <f>"38492022042616274739806"</f>
        <v>38492022042616274739806</v>
      </c>
      <c r="C734" s="8" t="s">
        <v>14</v>
      </c>
      <c r="D734" s="8" t="str">
        <f>"符茜"</f>
        <v>符茜</v>
      </c>
      <c r="E734" s="8" t="str">
        <f t="shared" si="66"/>
        <v>女</v>
      </c>
    </row>
    <row r="735" spans="1:5" ht="30" customHeight="1">
      <c r="A735" s="8">
        <v>732</v>
      </c>
      <c r="B735" s="8" t="str">
        <f>"38492022042619184540043"</f>
        <v>38492022042619184540043</v>
      </c>
      <c r="C735" s="8" t="s">
        <v>14</v>
      </c>
      <c r="D735" s="8" t="str">
        <f>"符小丽"</f>
        <v>符小丽</v>
      </c>
      <c r="E735" s="8" t="str">
        <f t="shared" si="66"/>
        <v>女</v>
      </c>
    </row>
    <row r="736" spans="1:5" ht="30" customHeight="1">
      <c r="A736" s="8">
        <v>733</v>
      </c>
      <c r="B736" s="8" t="str">
        <f>"38492022042622085940310"</f>
        <v>38492022042622085940310</v>
      </c>
      <c r="C736" s="8" t="s">
        <v>14</v>
      </c>
      <c r="D736" s="8" t="str">
        <f>"吴晓慧"</f>
        <v>吴晓慧</v>
      </c>
      <c r="E736" s="8" t="str">
        <f t="shared" si="66"/>
        <v>女</v>
      </c>
    </row>
    <row r="737" spans="1:5" ht="30" customHeight="1">
      <c r="A737" s="8">
        <v>734</v>
      </c>
      <c r="B737" s="8" t="str">
        <f>"38492022042623542040481"</f>
        <v>38492022042623542040481</v>
      </c>
      <c r="C737" s="8" t="s">
        <v>14</v>
      </c>
      <c r="D737" s="8" t="str">
        <f>"欧阳乾威"</f>
        <v>欧阳乾威</v>
      </c>
      <c r="E737" s="8" t="str">
        <f>"男"</f>
        <v>男</v>
      </c>
    </row>
    <row r="738" spans="1:5" ht="30" customHeight="1">
      <c r="A738" s="8">
        <v>735</v>
      </c>
      <c r="B738" s="8" t="str">
        <f>"38492022042700001240489"</f>
        <v>38492022042700001240489</v>
      </c>
      <c r="C738" s="8" t="s">
        <v>14</v>
      </c>
      <c r="D738" s="8" t="str">
        <f>"符照冰"</f>
        <v>符照冰</v>
      </c>
      <c r="E738" s="8" t="str">
        <f>"女"</f>
        <v>女</v>
      </c>
    </row>
    <row r="739" spans="1:5" ht="30" customHeight="1">
      <c r="A739" s="8">
        <v>736</v>
      </c>
      <c r="B739" s="8" t="str">
        <f>"38492022042700094540497"</f>
        <v>38492022042700094540497</v>
      </c>
      <c r="C739" s="8" t="s">
        <v>14</v>
      </c>
      <c r="D739" s="8" t="str">
        <f>"许林静"</f>
        <v>许林静</v>
      </c>
      <c r="E739" s="8" t="str">
        <f>"女"</f>
        <v>女</v>
      </c>
    </row>
    <row r="740" spans="1:5" ht="30" customHeight="1">
      <c r="A740" s="8">
        <v>737</v>
      </c>
      <c r="B740" s="8" t="str">
        <f>"38492022042708362140609"</f>
        <v>38492022042708362140609</v>
      </c>
      <c r="C740" s="8" t="s">
        <v>14</v>
      </c>
      <c r="D740" s="8" t="str">
        <f>"符慧严"</f>
        <v>符慧严</v>
      </c>
      <c r="E740" s="8" t="str">
        <f>"女"</f>
        <v>女</v>
      </c>
    </row>
    <row r="741" spans="1:5" ht="30" customHeight="1">
      <c r="A741" s="8">
        <v>738</v>
      </c>
      <c r="B741" s="8" t="str">
        <f>"38492022042709082440785"</f>
        <v>38492022042709082440785</v>
      </c>
      <c r="C741" s="8" t="s">
        <v>14</v>
      </c>
      <c r="D741" s="8" t="str">
        <f>"陈慧敏"</f>
        <v>陈慧敏</v>
      </c>
      <c r="E741" s="8" t="str">
        <f>"女"</f>
        <v>女</v>
      </c>
    </row>
    <row r="742" spans="1:5" ht="30" customHeight="1">
      <c r="A742" s="8">
        <v>739</v>
      </c>
      <c r="B742" s="8" t="str">
        <f>"38492022042710203141651"</f>
        <v>38492022042710203141651</v>
      </c>
      <c r="C742" s="8" t="s">
        <v>14</v>
      </c>
      <c r="D742" s="8" t="str">
        <f>"高桂珊"</f>
        <v>高桂珊</v>
      </c>
      <c r="E742" s="8" t="str">
        <f>"女"</f>
        <v>女</v>
      </c>
    </row>
    <row r="743" spans="1:5" ht="30" customHeight="1">
      <c r="A743" s="8">
        <v>740</v>
      </c>
      <c r="B743" s="8" t="str">
        <f>"38492022042710274041726"</f>
        <v>38492022042710274041726</v>
      </c>
      <c r="C743" s="8" t="s">
        <v>14</v>
      </c>
      <c r="D743" s="8" t="str">
        <f>"林涛"</f>
        <v>林涛</v>
      </c>
      <c r="E743" s="8" t="str">
        <f>"男"</f>
        <v>男</v>
      </c>
    </row>
    <row r="744" spans="1:5" ht="30" customHeight="1">
      <c r="A744" s="8">
        <v>741</v>
      </c>
      <c r="B744" s="8" t="str">
        <f>"38492022042710594842080"</f>
        <v>38492022042710594842080</v>
      </c>
      <c r="C744" s="8" t="s">
        <v>14</v>
      </c>
      <c r="D744" s="8" t="str">
        <f>"王小珏"</f>
        <v>王小珏</v>
      </c>
      <c r="E744" s="8" t="str">
        <f>"女"</f>
        <v>女</v>
      </c>
    </row>
    <row r="745" spans="1:5" ht="30" customHeight="1">
      <c r="A745" s="8">
        <v>742</v>
      </c>
      <c r="B745" s="8" t="str">
        <f>"38492022042711191342250"</f>
        <v>38492022042711191342250</v>
      </c>
      <c r="C745" s="8" t="s">
        <v>14</v>
      </c>
      <c r="D745" s="8" t="str">
        <f>"马俊成"</f>
        <v>马俊成</v>
      </c>
      <c r="E745" s="8" t="str">
        <f>"男"</f>
        <v>男</v>
      </c>
    </row>
    <row r="746" spans="1:5" ht="30" customHeight="1">
      <c r="A746" s="8">
        <v>743</v>
      </c>
      <c r="B746" s="8" t="str">
        <f>"38492022042712284442711"</f>
        <v>38492022042712284442711</v>
      </c>
      <c r="C746" s="8" t="s">
        <v>14</v>
      </c>
      <c r="D746" s="8" t="str">
        <f>"符露琳"</f>
        <v>符露琳</v>
      </c>
      <c r="E746" s="8" t="str">
        <f>"女"</f>
        <v>女</v>
      </c>
    </row>
    <row r="747" spans="1:5" ht="30" customHeight="1">
      <c r="A747" s="8">
        <v>744</v>
      </c>
      <c r="B747" s="8" t="str">
        <f>"38492022042712524542883"</f>
        <v>38492022042712524542883</v>
      </c>
      <c r="C747" s="8" t="s">
        <v>14</v>
      </c>
      <c r="D747" s="8" t="str">
        <f>"符栋"</f>
        <v>符栋</v>
      </c>
      <c r="E747" s="8" t="str">
        <f>"男"</f>
        <v>男</v>
      </c>
    </row>
    <row r="748" spans="1:5" ht="30" customHeight="1">
      <c r="A748" s="8">
        <v>745</v>
      </c>
      <c r="B748" s="8" t="str">
        <f>"38492022042714001343280"</f>
        <v>38492022042714001343280</v>
      </c>
      <c r="C748" s="8" t="s">
        <v>14</v>
      </c>
      <c r="D748" s="8" t="str">
        <f>"何倩敏"</f>
        <v>何倩敏</v>
      </c>
      <c r="E748" s="8" t="str">
        <f>"女"</f>
        <v>女</v>
      </c>
    </row>
    <row r="749" spans="1:5" ht="30" customHeight="1">
      <c r="A749" s="8">
        <v>746</v>
      </c>
      <c r="B749" s="8" t="str">
        <f>"38492022042715520843973"</f>
        <v>38492022042715520843973</v>
      </c>
      <c r="C749" s="8" t="s">
        <v>14</v>
      </c>
      <c r="D749" s="8" t="str">
        <f>"钟宝"</f>
        <v>钟宝</v>
      </c>
      <c r="E749" s="8" t="str">
        <f>"男"</f>
        <v>男</v>
      </c>
    </row>
    <row r="750" spans="1:5" ht="30" customHeight="1">
      <c r="A750" s="8">
        <v>747</v>
      </c>
      <c r="B750" s="8" t="str">
        <f>"38492022042716473844290"</f>
        <v>38492022042716473844290</v>
      </c>
      <c r="C750" s="8" t="s">
        <v>14</v>
      </c>
      <c r="D750" s="8" t="str">
        <f>"钟秋霞"</f>
        <v>钟秋霞</v>
      </c>
      <c r="E750" s="8" t="str">
        <f>"女"</f>
        <v>女</v>
      </c>
    </row>
    <row r="751" spans="1:5" ht="30" customHeight="1">
      <c r="A751" s="8">
        <v>748</v>
      </c>
      <c r="B751" s="8" t="str">
        <f>"38492022042109223925153"</f>
        <v>38492022042109223925153</v>
      </c>
      <c r="C751" s="8" t="s">
        <v>15</v>
      </c>
      <c r="D751" s="8" t="str">
        <f>"吴玮"</f>
        <v>吴玮</v>
      </c>
      <c r="E751" s="8" t="str">
        <f>"男"</f>
        <v>男</v>
      </c>
    </row>
    <row r="752" spans="1:5" ht="30" customHeight="1">
      <c r="A752" s="8">
        <v>749</v>
      </c>
      <c r="B752" s="8" t="str">
        <f>"38492022042110100125752"</f>
        <v>38492022042110100125752</v>
      </c>
      <c r="C752" s="8" t="s">
        <v>15</v>
      </c>
      <c r="D752" s="8" t="str">
        <f>"赖子平"</f>
        <v>赖子平</v>
      </c>
      <c r="E752" s="8" t="str">
        <f>"男"</f>
        <v>男</v>
      </c>
    </row>
    <row r="753" spans="1:5" ht="30" customHeight="1">
      <c r="A753" s="8">
        <v>750</v>
      </c>
      <c r="B753" s="8" t="str">
        <f>"38492022042111383526731"</f>
        <v>38492022042111383526731</v>
      </c>
      <c r="C753" s="8" t="s">
        <v>15</v>
      </c>
      <c r="D753" s="8" t="str">
        <f>"赵彪"</f>
        <v>赵彪</v>
      </c>
      <c r="E753" s="8" t="str">
        <f>"男"</f>
        <v>男</v>
      </c>
    </row>
    <row r="754" spans="1:5" ht="30" customHeight="1">
      <c r="A754" s="8">
        <v>751</v>
      </c>
      <c r="B754" s="8" t="str">
        <f>"38492022042115540528419"</f>
        <v>38492022042115540528419</v>
      </c>
      <c r="C754" s="8" t="s">
        <v>15</v>
      </c>
      <c r="D754" s="8" t="str">
        <f>"黄海杰"</f>
        <v>黄海杰</v>
      </c>
      <c r="E754" s="8" t="str">
        <f>"男"</f>
        <v>男</v>
      </c>
    </row>
    <row r="755" spans="1:5" ht="30" customHeight="1">
      <c r="A755" s="8">
        <v>752</v>
      </c>
      <c r="B755" s="8" t="str">
        <f>"38492022042117294829040"</f>
        <v>38492022042117294829040</v>
      </c>
      <c r="C755" s="8" t="s">
        <v>15</v>
      </c>
      <c r="D755" s="8" t="str">
        <f>"符欣怡"</f>
        <v>符欣怡</v>
      </c>
      <c r="E755" s="8" t="str">
        <f>"女"</f>
        <v>女</v>
      </c>
    </row>
    <row r="756" spans="1:5" ht="30" customHeight="1">
      <c r="A756" s="8">
        <v>753</v>
      </c>
      <c r="B756" s="8" t="str">
        <f>"38492022042119401229638"</f>
        <v>38492022042119401229638</v>
      </c>
      <c r="C756" s="8" t="s">
        <v>15</v>
      </c>
      <c r="D756" s="8" t="str">
        <f>"吉秋云"</f>
        <v>吉秋云</v>
      </c>
      <c r="E756" s="8" t="str">
        <f>"女"</f>
        <v>女</v>
      </c>
    </row>
    <row r="757" spans="1:5" ht="30" customHeight="1">
      <c r="A757" s="8">
        <v>754</v>
      </c>
      <c r="B757" s="8" t="str">
        <f>"38492022042121100430097"</f>
        <v>38492022042121100430097</v>
      </c>
      <c r="C757" s="8" t="s">
        <v>15</v>
      </c>
      <c r="D757" s="8" t="str">
        <f>"吴小于"</f>
        <v>吴小于</v>
      </c>
      <c r="E757" s="8" t="str">
        <f>"女"</f>
        <v>女</v>
      </c>
    </row>
    <row r="758" spans="1:5" ht="30" customHeight="1">
      <c r="A758" s="8">
        <v>755</v>
      </c>
      <c r="B758" s="8" t="str">
        <f>"38492022042122485830589"</f>
        <v>38492022042122485830589</v>
      </c>
      <c r="C758" s="8" t="s">
        <v>15</v>
      </c>
      <c r="D758" s="8" t="str">
        <f>"庄艳"</f>
        <v>庄艳</v>
      </c>
      <c r="E758" s="8" t="str">
        <f>"女"</f>
        <v>女</v>
      </c>
    </row>
    <row r="759" spans="1:5" ht="30" customHeight="1">
      <c r="A759" s="8">
        <v>756</v>
      </c>
      <c r="B759" s="8" t="str">
        <f>"38492022042209214331224"</f>
        <v>38492022042209214331224</v>
      </c>
      <c r="C759" s="8" t="s">
        <v>15</v>
      </c>
      <c r="D759" s="8" t="str">
        <f>"吴元涛"</f>
        <v>吴元涛</v>
      </c>
      <c r="E759" s="8" t="str">
        <f>"男"</f>
        <v>男</v>
      </c>
    </row>
    <row r="760" spans="1:5" ht="30" customHeight="1">
      <c r="A760" s="8">
        <v>757</v>
      </c>
      <c r="B760" s="8" t="str">
        <f>"38492022042210164031546"</f>
        <v>38492022042210164031546</v>
      </c>
      <c r="C760" s="8" t="s">
        <v>15</v>
      </c>
      <c r="D760" s="8" t="str">
        <f>"李振宇"</f>
        <v>李振宇</v>
      </c>
      <c r="E760" s="8" t="str">
        <f>"男"</f>
        <v>男</v>
      </c>
    </row>
    <row r="761" spans="1:5" ht="30" customHeight="1">
      <c r="A761" s="8">
        <v>758</v>
      </c>
      <c r="B761" s="8" t="str">
        <f>"38492022042409354036323"</f>
        <v>38492022042409354036323</v>
      </c>
      <c r="C761" s="8" t="s">
        <v>15</v>
      </c>
      <c r="D761" s="8" t="str">
        <f>"符秋虹"</f>
        <v>符秋虹</v>
      </c>
      <c r="E761" s="8" t="str">
        <f>"女"</f>
        <v>女</v>
      </c>
    </row>
    <row r="762" spans="1:5" ht="30" customHeight="1">
      <c r="A762" s="8">
        <v>759</v>
      </c>
      <c r="B762" s="8" t="str">
        <f>"38492022042411195536520"</f>
        <v>38492022042411195536520</v>
      </c>
      <c r="C762" s="8" t="s">
        <v>15</v>
      </c>
      <c r="D762" s="8" t="str">
        <f>"羊品雯"</f>
        <v>羊品雯</v>
      </c>
      <c r="E762" s="8" t="str">
        <f>"女"</f>
        <v>女</v>
      </c>
    </row>
    <row r="763" spans="1:5" ht="30" customHeight="1">
      <c r="A763" s="8">
        <v>760</v>
      </c>
      <c r="B763" s="8" t="str">
        <f>"38492022042412212336626"</f>
        <v>38492022042412212336626</v>
      </c>
      <c r="C763" s="8" t="s">
        <v>15</v>
      </c>
      <c r="D763" s="8" t="str">
        <f>"周莹莹"</f>
        <v>周莹莹</v>
      </c>
      <c r="E763" s="8" t="str">
        <f>"女"</f>
        <v>女</v>
      </c>
    </row>
    <row r="764" spans="1:5" ht="30" customHeight="1">
      <c r="A764" s="8">
        <v>761</v>
      </c>
      <c r="B764" s="8" t="str">
        <f>"38492022042415563136989"</f>
        <v>38492022042415563136989</v>
      </c>
      <c r="C764" s="8" t="s">
        <v>15</v>
      </c>
      <c r="D764" s="8" t="str">
        <f>"符震"</f>
        <v>符震</v>
      </c>
      <c r="E764" s="8" t="str">
        <f>"男"</f>
        <v>男</v>
      </c>
    </row>
    <row r="765" spans="1:5" ht="30" customHeight="1">
      <c r="A765" s="8">
        <v>762</v>
      </c>
      <c r="B765" s="8" t="str">
        <f>"38492022042419525537383"</f>
        <v>38492022042419525537383</v>
      </c>
      <c r="C765" s="8" t="s">
        <v>15</v>
      </c>
      <c r="D765" s="8" t="str">
        <f>"王章钧"</f>
        <v>王章钧</v>
      </c>
      <c r="E765" s="8" t="str">
        <f>"男"</f>
        <v>男</v>
      </c>
    </row>
    <row r="766" spans="1:5" ht="30" customHeight="1">
      <c r="A766" s="8">
        <v>763</v>
      </c>
      <c r="B766" s="8" t="str">
        <f>"38492022042420170137421"</f>
        <v>38492022042420170137421</v>
      </c>
      <c r="C766" s="8" t="s">
        <v>15</v>
      </c>
      <c r="D766" s="8" t="str">
        <f>"周湛人"</f>
        <v>周湛人</v>
      </c>
      <c r="E766" s="8" t="str">
        <f>"男"</f>
        <v>男</v>
      </c>
    </row>
    <row r="767" spans="1:5" ht="30" customHeight="1">
      <c r="A767" s="8">
        <v>764</v>
      </c>
      <c r="B767" s="8" t="str">
        <f>"38492022042500373537771"</f>
        <v>38492022042500373537771</v>
      </c>
      <c r="C767" s="8" t="s">
        <v>15</v>
      </c>
      <c r="D767" s="8" t="str">
        <f>"羊如虎"</f>
        <v>羊如虎</v>
      </c>
      <c r="E767" s="8" t="str">
        <f>"男"</f>
        <v>男</v>
      </c>
    </row>
    <row r="768" spans="1:5" ht="30" customHeight="1">
      <c r="A768" s="8">
        <v>765</v>
      </c>
      <c r="B768" s="8" t="str">
        <f>"38492022042510062037957"</f>
        <v>38492022042510062037957</v>
      </c>
      <c r="C768" s="8" t="s">
        <v>15</v>
      </c>
      <c r="D768" s="8" t="str">
        <f>"王微"</f>
        <v>王微</v>
      </c>
      <c r="E768" s="8" t="str">
        <f>"女"</f>
        <v>女</v>
      </c>
    </row>
    <row r="769" spans="1:5" ht="30" customHeight="1">
      <c r="A769" s="8">
        <v>766</v>
      </c>
      <c r="B769" s="8" t="str">
        <f>"38492022042510482438041"</f>
        <v>38492022042510482438041</v>
      </c>
      <c r="C769" s="8" t="s">
        <v>15</v>
      </c>
      <c r="D769" s="8" t="str">
        <f>"符金敏"</f>
        <v>符金敏</v>
      </c>
      <c r="E769" s="8" t="str">
        <f>"女"</f>
        <v>女</v>
      </c>
    </row>
    <row r="770" spans="1:5" ht="30" customHeight="1">
      <c r="A770" s="8">
        <v>767</v>
      </c>
      <c r="B770" s="8" t="str">
        <f>"38492022042520421638798"</f>
        <v>38492022042520421638798</v>
      </c>
      <c r="C770" s="8" t="s">
        <v>15</v>
      </c>
      <c r="D770" s="8" t="str">
        <f>"覃才星"</f>
        <v>覃才星</v>
      </c>
      <c r="E770" s="8" t="str">
        <f>"男"</f>
        <v>男</v>
      </c>
    </row>
    <row r="771" spans="1:5" ht="30" customHeight="1">
      <c r="A771" s="8">
        <v>768</v>
      </c>
      <c r="B771" s="8" t="str">
        <f>"38492022042709163740887"</f>
        <v>38492022042709163740887</v>
      </c>
      <c r="C771" s="8" t="s">
        <v>15</v>
      </c>
      <c r="D771" s="8" t="str">
        <f>"符幸云"</f>
        <v>符幸云</v>
      </c>
      <c r="E771" s="8" t="str">
        <f>"女"</f>
        <v>女</v>
      </c>
    </row>
    <row r="772" spans="1:5" ht="30" customHeight="1">
      <c r="A772" s="8">
        <v>769</v>
      </c>
      <c r="B772" s="8" t="str">
        <f>"38492022042109063524964"</f>
        <v>38492022042109063524964</v>
      </c>
      <c r="C772" s="8" t="s">
        <v>16</v>
      </c>
      <c r="D772" s="8" t="str">
        <f>"王也"</f>
        <v>王也</v>
      </c>
      <c r="E772" s="8" t="str">
        <f>"男"</f>
        <v>男</v>
      </c>
    </row>
    <row r="773" spans="1:5" ht="30" customHeight="1">
      <c r="A773" s="8">
        <v>770</v>
      </c>
      <c r="B773" s="8" t="str">
        <f>"38492022042110213125894"</f>
        <v>38492022042110213125894</v>
      </c>
      <c r="C773" s="8" t="s">
        <v>16</v>
      </c>
      <c r="D773" s="8" t="str">
        <f>"符海媚"</f>
        <v>符海媚</v>
      </c>
      <c r="E773" s="8" t="str">
        <f>"女"</f>
        <v>女</v>
      </c>
    </row>
    <row r="774" spans="1:5" ht="30" customHeight="1">
      <c r="A774" s="8">
        <v>771</v>
      </c>
      <c r="B774" s="8" t="str">
        <f>"38492022042110273525981"</f>
        <v>38492022042110273525981</v>
      </c>
      <c r="C774" s="8" t="s">
        <v>16</v>
      </c>
      <c r="D774" s="8" t="str">
        <f>"吴万惠"</f>
        <v>吴万惠</v>
      </c>
      <c r="E774" s="8" t="str">
        <f>"女"</f>
        <v>女</v>
      </c>
    </row>
    <row r="775" spans="1:5" ht="30" customHeight="1">
      <c r="A775" s="8">
        <v>772</v>
      </c>
      <c r="B775" s="8" t="str">
        <f>"38492022042112223027036"</f>
        <v>38492022042112223027036</v>
      </c>
      <c r="C775" s="8" t="s">
        <v>16</v>
      </c>
      <c r="D775" s="8" t="str">
        <f>"王雪营"</f>
        <v>王雪营</v>
      </c>
      <c r="E775" s="8" t="str">
        <f>"女"</f>
        <v>女</v>
      </c>
    </row>
    <row r="776" spans="1:5" ht="30" customHeight="1">
      <c r="A776" s="8">
        <v>773</v>
      </c>
      <c r="B776" s="8" t="str">
        <f>"38492022042114532927907"</f>
        <v>38492022042114532927907</v>
      </c>
      <c r="C776" s="8" t="s">
        <v>16</v>
      </c>
      <c r="D776" s="8" t="str">
        <f>"郭芬菲"</f>
        <v>郭芬菲</v>
      </c>
      <c r="E776" s="8" t="str">
        <f>"女"</f>
        <v>女</v>
      </c>
    </row>
    <row r="777" spans="1:5" ht="30" customHeight="1">
      <c r="A777" s="8">
        <v>774</v>
      </c>
      <c r="B777" s="8" t="str">
        <f>"38492022042120370929911"</f>
        <v>38492022042120370929911</v>
      </c>
      <c r="C777" s="8" t="s">
        <v>16</v>
      </c>
      <c r="D777" s="8" t="str">
        <f>"陈奕蓉"</f>
        <v>陈奕蓉</v>
      </c>
      <c r="E777" s="8" t="str">
        <f>"女"</f>
        <v>女</v>
      </c>
    </row>
    <row r="778" spans="1:5" ht="30" customHeight="1">
      <c r="A778" s="8">
        <v>775</v>
      </c>
      <c r="B778" s="8" t="str">
        <f>"38492022042122035730380"</f>
        <v>38492022042122035730380</v>
      </c>
      <c r="C778" s="8" t="s">
        <v>16</v>
      </c>
      <c r="D778" s="8" t="str">
        <f>"黄河润"</f>
        <v>黄河润</v>
      </c>
      <c r="E778" s="8" t="str">
        <f>"男"</f>
        <v>男</v>
      </c>
    </row>
    <row r="779" spans="1:5" ht="30" customHeight="1">
      <c r="A779" s="8">
        <v>776</v>
      </c>
      <c r="B779" s="8" t="str">
        <f>"38492022042122045130386"</f>
        <v>38492022042122045130386</v>
      </c>
      <c r="C779" s="8" t="s">
        <v>16</v>
      </c>
      <c r="D779" s="8" t="str">
        <f>"符逢林"</f>
        <v>符逢林</v>
      </c>
      <c r="E779" s="8" t="str">
        <f>"男"</f>
        <v>男</v>
      </c>
    </row>
    <row r="780" spans="1:5" ht="30" customHeight="1">
      <c r="A780" s="8">
        <v>777</v>
      </c>
      <c r="B780" s="8" t="str">
        <f>"38492022042216350133759"</f>
        <v>38492022042216350133759</v>
      </c>
      <c r="C780" s="8" t="s">
        <v>16</v>
      </c>
      <c r="D780" s="8" t="str">
        <f>"符月梅"</f>
        <v>符月梅</v>
      </c>
      <c r="E780" s="8" t="str">
        <f>"女"</f>
        <v>女</v>
      </c>
    </row>
    <row r="781" spans="1:5" ht="30" customHeight="1">
      <c r="A781" s="8">
        <v>778</v>
      </c>
      <c r="B781" s="8" t="str">
        <f>"38492022042219035934354"</f>
        <v>38492022042219035934354</v>
      </c>
      <c r="C781" s="8" t="s">
        <v>16</v>
      </c>
      <c r="D781" s="8" t="str">
        <f>"罗毓"</f>
        <v>罗毓</v>
      </c>
      <c r="E781" s="8" t="str">
        <f>"男"</f>
        <v>男</v>
      </c>
    </row>
    <row r="782" spans="1:5" ht="30" customHeight="1">
      <c r="A782" s="8">
        <v>779</v>
      </c>
      <c r="B782" s="8" t="str">
        <f>"38492022042408431736208"</f>
        <v>38492022042408431736208</v>
      </c>
      <c r="C782" s="8" t="s">
        <v>16</v>
      </c>
      <c r="D782" s="8" t="str">
        <f>"林开灿"</f>
        <v>林开灿</v>
      </c>
      <c r="E782" s="8" t="str">
        <f>"男"</f>
        <v>男</v>
      </c>
    </row>
    <row r="783" spans="1:5" ht="30" customHeight="1">
      <c r="A783" s="8">
        <v>780</v>
      </c>
      <c r="B783" s="8" t="str">
        <f>"38492022042408555936231"</f>
        <v>38492022042408555936231</v>
      </c>
      <c r="C783" s="8" t="s">
        <v>16</v>
      </c>
      <c r="D783" s="8" t="str">
        <f>"何于玲"</f>
        <v>何于玲</v>
      </c>
      <c r="E783" s="8" t="str">
        <f aca="true" t="shared" si="67" ref="E783:E789">"女"</f>
        <v>女</v>
      </c>
    </row>
    <row r="784" spans="1:5" ht="30" customHeight="1">
      <c r="A784" s="8">
        <v>781</v>
      </c>
      <c r="B784" s="8" t="str">
        <f>"38492022042417171837164"</f>
        <v>38492022042417171837164</v>
      </c>
      <c r="C784" s="8" t="s">
        <v>16</v>
      </c>
      <c r="D784" s="8" t="str">
        <f>"刘青兰"</f>
        <v>刘青兰</v>
      </c>
      <c r="E784" s="8" t="str">
        <f t="shared" si="67"/>
        <v>女</v>
      </c>
    </row>
    <row r="785" spans="1:5" ht="30" customHeight="1">
      <c r="A785" s="8">
        <v>782</v>
      </c>
      <c r="B785" s="8" t="str">
        <f>"38492022042510131537966"</f>
        <v>38492022042510131537966</v>
      </c>
      <c r="C785" s="8" t="s">
        <v>16</v>
      </c>
      <c r="D785" s="8" t="str">
        <f>"唐玉娟"</f>
        <v>唐玉娟</v>
      </c>
      <c r="E785" s="8" t="str">
        <f t="shared" si="67"/>
        <v>女</v>
      </c>
    </row>
    <row r="786" spans="1:5" ht="30" customHeight="1">
      <c r="A786" s="8">
        <v>783</v>
      </c>
      <c r="B786" s="8" t="str">
        <f>"38492022042511062038081"</f>
        <v>38492022042511062038081</v>
      </c>
      <c r="C786" s="8" t="s">
        <v>16</v>
      </c>
      <c r="D786" s="8" t="str">
        <f>"陈应美"</f>
        <v>陈应美</v>
      </c>
      <c r="E786" s="8" t="str">
        <f t="shared" si="67"/>
        <v>女</v>
      </c>
    </row>
    <row r="787" spans="1:5" ht="30" customHeight="1">
      <c r="A787" s="8">
        <v>784</v>
      </c>
      <c r="B787" s="8" t="str">
        <f>"38492022042519171138704"</f>
        <v>38492022042519171138704</v>
      </c>
      <c r="C787" s="8" t="s">
        <v>16</v>
      </c>
      <c r="D787" s="8" t="str">
        <f>"麦丽萍"</f>
        <v>麦丽萍</v>
      </c>
      <c r="E787" s="8" t="str">
        <f t="shared" si="67"/>
        <v>女</v>
      </c>
    </row>
    <row r="788" spans="1:5" ht="30" customHeight="1">
      <c r="A788" s="8">
        <v>785</v>
      </c>
      <c r="B788" s="8" t="str">
        <f>"38492022042609035739172"</f>
        <v>38492022042609035739172</v>
      </c>
      <c r="C788" s="8" t="s">
        <v>16</v>
      </c>
      <c r="D788" s="8" t="str">
        <f>"符秋益"</f>
        <v>符秋益</v>
      </c>
      <c r="E788" s="8" t="str">
        <f t="shared" si="67"/>
        <v>女</v>
      </c>
    </row>
    <row r="789" spans="1:5" ht="30" customHeight="1">
      <c r="A789" s="8">
        <v>786</v>
      </c>
      <c r="B789" s="8" t="str">
        <f>"38492022042615524539736"</f>
        <v>38492022042615524539736</v>
      </c>
      <c r="C789" s="8" t="s">
        <v>16</v>
      </c>
      <c r="D789" s="8" t="str">
        <f>"刘兆怡"</f>
        <v>刘兆怡</v>
      </c>
      <c r="E789" s="8" t="str">
        <f t="shared" si="67"/>
        <v>女</v>
      </c>
    </row>
    <row r="790" spans="1:5" ht="30" customHeight="1">
      <c r="A790" s="8">
        <v>787</v>
      </c>
      <c r="B790" s="8" t="str">
        <f>"38492022042618514540013"</f>
        <v>38492022042618514540013</v>
      </c>
      <c r="C790" s="8" t="s">
        <v>16</v>
      </c>
      <c r="D790" s="8" t="str">
        <f>"王升山"</f>
        <v>王升山</v>
      </c>
      <c r="E790" s="8" t="str">
        <f>"男"</f>
        <v>男</v>
      </c>
    </row>
    <row r="791" spans="1:5" ht="30" customHeight="1">
      <c r="A791" s="8">
        <v>788</v>
      </c>
      <c r="B791" s="8" t="str">
        <f>"38492022042109012424894"</f>
        <v>38492022042109012424894</v>
      </c>
      <c r="C791" s="8" t="s">
        <v>17</v>
      </c>
      <c r="D791" s="8" t="str">
        <f>"陈龙杰"</f>
        <v>陈龙杰</v>
      </c>
      <c r="E791" s="8" t="str">
        <f>"男"</f>
        <v>男</v>
      </c>
    </row>
    <row r="792" spans="1:5" ht="30" customHeight="1">
      <c r="A792" s="8">
        <v>789</v>
      </c>
      <c r="B792" s="8" t="str">
        <f>"38492022042109122525035"</f>
        <v>38492022042109122525035</v>
      </c>
      <c r="C792" s="8" t="s">
        <v>17</v>
      </c>
      <c r="D792" s="8" t="str">
        <f>"叶豪"</f>
        <v>叶豪</v>
      </c>
      <c r="E792" s="8" t="str">
        <f>"男"</f>
        <v>男</v>
      </c>
    </row>
    <row r="793" spans="1:5" ht="30" customHeight="1">
      <c r="A793" s="8">
        <v>790</v>
      </c>
      <c r="B793" s="8" t="str">
        <f>"38492022042109140725057"</f>
        <v>38492022042109140725057</v>
      </c>
      <c r="C793" s="8" t="s">
        <v>17</v>
      </c>
      <c r="D793" s="8" t="str">
        <f>"文云妃"</f>
        <v>文云妃</v>
      </c>
      <c r="E793" s="8" t="str">
        <f>"女"</f>
        <v>女</v>
      </c>
    </row>
    <row r="794" spans="1:5" ht="30" customHeight="1">
      <c r="A794" s="8">
        <v>791</v>
      </c>
      <c r="B794" s="8" t="str">
        <f>"38492022042109213325138"</f>
        <v>38492022042109213325138</v>
      </c>
      <c r="C794" s="8" t="s">
        <v>17</v>
      </c>
      <c r="D794" s="8" t="str">
        <f>"梁红"</f>
        <v>梁红</v>
      </c>
      <c r="E794" s="8" t="str">
        <f>"女"</f>
        <v>女</v>
      </c>
    </row>
    <row r="795" spans="1:5" ht="30" customHeight="1">
      <c r="A795" s="8">
        <v>792</v>
      </c>
      <c r="B795" s="8" t="str">
        <f>"38492022042109322425268"</f>
        <v>38492022042109322425268</v>
      </c>
      <c r="C795" s="8" t="s">
        <v>17</v>
      </c>
      <c r="D795" s="8" t="str">
        <f>"马杏格"</f>
        <v>马杏格</v>
      </c>
      <c r="E795" s="8" t="str">
        <f>"女"</f>
        <v>女</v>
      </c>
    </row>
    <row r="796" spans="1:5" ht="30" customHeight="1">
      <c r="A796" s="8">
        <v>793</v>
      </c>
      <c r="B796" s="8" t="str">
        <f>"38492022042109422225396"</f>
        <v>38492022042109422225396</v>
      </c>
      <c r="C796" s="8" t="s">
        <v>17</v>
      </c>
      <c r="D796" s="8" t="str">
        <f>"米嘉奇"</f>
        <v>米嘉奇</v>
      </c>
      <c r="E796" s="8" t="str">
        <f>"女"</f>
        <v>女</v>
      </c>
    </row>
    <row r="797" spans="1:5" ht="30" customHeight="1">
      <c r="A797" s="8">
        <v>794</v>
      </c>
      <c r="B797" s="8" t="str">
        <f>"38492022042109463425442"</f>
        <v>38492022042109463425442</v>
      </c>
      <c r="C797" s="8" t="s">
        <v>17</v>
      </c>
      <c r="D797" s="8" t="str">
        <f>"苏华鑫"</f>
        <v>苏华鑫</v>
      </c>
      <c r="E797" s="8" t="str">
        <f>"男"</f>
        <v>男</v>
      </c>
    </row>
    <row r="798" spans="1:5" ht="30" customHeight="1">
      <c r="A798" s="8">
        <v>795</v>
      </c>
      <c r="B798" s="8" t="str">
        <f>"38492022042110010425652"</f>
        <v>38492022042110010425652</v>
      </c>
      <c r="C798" s="8" t="s">
        <v>17</v>
      </c>
      <c r="D798" s="8" t="str">
        <f>"符智能"</f>
        <v>符智能</v>
      </c>
      <c r="E798" s="8" t="str">
        <f>"男"</f>
        <v>男</v>
      </c>
    </row>
    <row r="799" spans="1:5" ht="30" customHeight="1">
      <c r="A799" s="8">
        <v>796</v>
      </c>
      <c r="B799" s="8" t="str">
        <f>"38492022042110325226054"</f>
        <v>38492022042110325226054</v>
      </c>
      <c r="C799" s="8" t="s">
        <v>17</v>
      </c>
      <c r="D799" s="8" t="str">
        <f>"符敬涛"</f>
        <v>符敬涛</v>
      </c>
      <c r="E799" s="8" t="str">
        <f>"男"</f>
        <v>男</v>
      </c>
    </row>
    <row r="800" spans="1:5" ht="30" customHeight="1">
      <c r="A800" s="8">
        <v>797</v>
      </c>
      <c r="B800" s="8" t="str">
        <f>"38492022042110362126090"</f>
        <v>38492022042110362126090</v>
      </c>
      <c r="C800" s="8" t="s">
        <v>17</v>
      </c>
      <c r="D800" s="8" t="str">
        <f>"王俊越"</f>
        <v>王俊越</v>
      </c>
      <c r="E800" s="8" t="str">
        <f>"男"</f>
        <v>男</v>
      </c>
    </row>
    <row r="801" spans="1:5" ht="30" customHeight="1">
      <c r="A801" s="8">
        <v>798</v>
      </c>
      <c r="B801" s="8" t="str">
        <f>"38492022042110391826122"</f>
        <v>38492022042110391826122</v>
      </c>
      <c r="C801" s="8" t="s">
        <v>17</v>
      </c>
      <c r="D801" s="8" t="str">
        <f>"周海启"</f>
        <v>周海启</v>
      </c>
      <c r="E801" s="8" t="str">
        <f>"女"</f>
        <v>女</v>
      </c>
    </row>
    <row r="802" spans="1:5" ht="30" customHeight="1">
      <c r="A802" s="8">
        <v>799</v>
      </c>
      <c r="B802" s="8" t="str">
        <f>"38492022042110451326196"</f>
        <v>38492022042110451326196</v>
      </c>
      <c r="C802" s="8" t="s">
        <v>17</v>
      </c>
      <c r="D802" s="8" t="str">
        <f>"符美玲"</f>
        <v>符美玲</v>
      </c>
      <c r="E802" s="8" t="str">
        <f>"女"</f>
        <v>女</v>
      </c>
    </row>
    <row r="803" spans="1:5" ht="30" customHeight="1">
      <c r="A803" s="8">
        <v>800</v>
      </c>
      <c r="B803" s="8" t="str">
        <f>"38492022042110453226201"</f>
        <v>38492022042110453226201</v>
      </c>
      <c r="C803" s="8" t="s">
        <v>17</v>
      </c>
      <c r="D803" s="8" t="str">
        <f>"黄鸿康"</f>
        <v>黄鸿康</v>
      </c>
      <c r="E803" s="8" t="str">
        <f>"男"</f>
        <v>男</v>
      </c>
    </row>
    <row r="804" spans="1:5" ht="30" customHeight="1">
      <c r="A804" s="8">
        <v>801</v>
      </c>
      <c r="B804" s="8" t="str">
        <f>"38492022042110460226208"</f>
        <v>38492022042110460226208</v>
      </c>
      <c r="C804" s="8" t="s">
        <v>17</v>
      </c>
      <c r="D804" s="8" t="str">
        <f>"符瑞女"</f>
        <v>符瑞女</v>
      </c>
      <c r="E804" s="8" t="str">
        <f>"女"</f>
        <v>女</v>
      </c>
    </row>
    <row r="805" spans="1:5" ht="30" customHeight="1">
      <c r="A805" s="8">
        <v>802</v>
      </c>
      <c r="B805" s="8" t="str">
        <f>"38492022042110475226231"</f>
        <v>38492022042110475226231</v>
      </c>
      <c r="C805" s="8" t="s">
        <v>17</v>
      </c>
      <c r="D805" s="8" t="str">
        <f>"符卓祥"</f>
        <v>符卓祥</v>
      </c>
      <c r="E805" s="8" t="str">
        <f>"女"</f>
        <v>女</v>
      </c>
    </row>
    <row r="806" spans="1:5" ht="30" customHeight="1">
      <c r="A806" s="8">
        <v>803</v>
      </c>
      <c r="B806" s="8" t="str">
        <f>"38492022042110505826273"</f>
        <v>38492022042110505826273</v>
      </c>
      <c r="C806" s="8" t="s">
        <v>17</v>
      </c>
      <c r="D806" s="8" t="str">
        <f>"符佳佳"</f>
        <v>符佳佳</v>
      </c>
      <c r="E806" s="8" t="str">
        <f>"女"</f>
        <v>女</v>
      </c>
    </row>
    <row r="807" spans="1:5" ht="30" customHeight="1">
      <c r="A807" s="8">
        <v>804</v>
      </c>
      <c r="B807" s="8" t="str">
        <f>"38492022042110590426363"</f>
        <v>38492022042110590426363</v>
      </c>
      <c r="C807" s="8" t="s">
        <v>17</v>
      </c>
      <c r="D807" s="8" t="str">
        <f>"王雪雯"</f>
        <v>王雪雯</v>
      </c>
      <c r="E807" s="8" t="str">
        <f>"女"</f>
        <v>女</v>
      </c>
    </row>
    <row r="808" spans="1:5" ht="30" customHeight="1">
      <c r="A808" s="8">
        <v>805</v>
      </c>
      <c r="B808" s="8" t="str">
        <f>"38492022042111014326390"</f>
        <v>38492022042111014326390</v>
      </c>
      <c r="C808" s="8" t="s">
        <v>17</v>
      </c>
      <c r="D808" s="8" t="str">
        <f>"符景笔"</f>
        <v>符景笔</v>
      </c>
      <c r="E808" s="8" t="str">
        <f>"男"</f>
        <v>男</v>
      </c>
    </row>
    <row r="809" spans="1:5" ht="30" customHeight="1">
      <c r="A809" s="8">
        <v>806</v>
      </c>
      <c r="B809" s="8" t="str">
        <f>"38492022042111021526395"</f>
        <v>38492022042111021526395</v>
      </c>
      <c r="C809" s="8" t="s">
        <v>17</v>
      </c>
      <c r="D809" s="8" t="str">
        <f>"符月丹"</f>
        <v>符月丹</v>
      </c>
      <c r="E809" s="8" t="str">
        <f>"女"</f>
        <v>女</v>
      </c>
    </row>
    <row r="810" spans="1:5" ht="30" customHeight="1">
      <c r="A810" s="8">
        <v>807</v>
      </c>
      <c r="B810" s="8" t="str">
        <f>"38492022042111051926424"</f>
        <v>38492022042111051926424</v>
      </c>
      <c r="C810" s="8" t="s">
        <v>17</v>
      </c>
      <c r="D810" s="8" t="str">
        <f>"符若平"</f>
        <v>符若平</v>
      </c>
      <c r="E810" s="8" t="str">
        <f>"女"</f>
        <v>女</v>
      </c>
    </row>
    <row r="811" spans="1:5" ht="30" customHeight="1">
      <c r="A811" s="8">
        <v>808</v>
      </c>
      <c r="B811" s="8" t="str">
        <f>"38492022042111181126540"</f>
        <v>38492022042111181126540</v>
      </c>
      <c r="C811" s="8" t="s">
        <v>17</v>
      </c>
      <c r="D811" s="8" t="str">
        <f>"王慧可"</f>
        <v>王慧可</v>
      </c>
      <c r="E811" s="8" t="str">
        <f>"女"</f>
        <v>女</v>
      </c>
    </row>
    <row r="812" spans="1:5" ht="30" customHeight="1">
      <c r="A812" s="8">
        <v>809</v>
      </c>
      <c r="B812" s="8" t="str">
        <f>"38492022042111325526661"</f>
        <v>38492022042111325526661</v>
      </c>
      <c r="C812" s="8" t="s">
        <v>17</v>
      </c>
      <c r="D812" s="8" t="str">
        <f>"王兴劲"</f>
        <v>王兴劲</v>
      </c>
      <c r="E812" s="8" t="str">
        <f>"男"</f>
        <v>男</v>
      </c>
    </row>
    <row r="813" spans="1:5" ht="30" customHeight="1">
      <c r="A813" s="8">
        <v>810</v>
      </c>
      <c r="B813" s="8" t="str">
        <f>"38492022042111534726857"</f>
        <v>38492022042111534726857</v>
      </c>
      <c r="C813" s="8" t="s">
        <v>17</v>
      </c>
      <c r="D813" s="8" t="str">
        <f>"符东升"</f>
        <v>符东升</v>
      </c>
      <c r="E813" s="8" t="str">
        <f>"男"</f>
        <v>男</v>
      </c>
    </row>
    <row r="814" spans="1:5" ht="30" customHeight="1">
      <c r="A814" s="8">
        <v>811</v>
      </c>
      <c r="B814" s="8" t="str">
        <f>"38492022042112303727100"</f>
        <v>38492022042112303727100</v>
      </c>
      <c r="C814" s="8" t="s">
        <v>17</v>
      </c>
      <c r="D814" s="8" t="str">
        <f>"刘珊珊"</f>
        <v>刘珊珊</v>
      </c>
      <c r="E814" s="8" t="str">
        <f aca="true" t="shared" si="68" ref="E814:E821">"女"</f>
        <v>女</v>
      </c>
    </row>
    <row r="815" spans="1:5" ht="30" customHeight="1">
      <c r="A815" s="8">
        <v>812</v>
      </c>
      <c r="B815" s="8" t="str">
        <f>"38492022042112574027264"</f>
        <v>38492022042112574027264</v>
      </c>
      <c r="C815" s="8" t="s">
        <v>17</v>
      </c>
      <c r="D815" s="8" t="str">
        <f>"符敏欣"</f>
        <v>符敏欣</v>
      </c>
      <c r="E815" s="8" t="str">
        <f t="shared" si="68"/>
        <v>女</v>
      </c>
    </row>
    <row r="816" spans="1:5" ht="30" customHeight="1">
      <c r="A816" s="8">
        <v>813</v>
      </c>
      <c r="B816" s="8" t="str">
        <f>"38492022042113054627323"</f>
        <v>38492022042113054627323</v>
      </c>
      <c r="C816" s="8" t="s">
        <v>17</v>
      </c>
      <c r="D816" s="8" t="str">
        <f>"李科静"</f>
        <v>李科静</v>
      </c>
      <c r="E816" s="8" t="str">
        <f t="shared" si="68"/>
        <v>女</v>
      </c>
    </row>
    <row r="817" spans="1:5" ht="30" customHeight="1">
      <c r="A817" s="8">
        <v>814</v>
      </c>
      <c r="B817" s="8" t="str">
        <f>"38492022042113572127544"</f>
        <v>38492022042113572127544</v>
      </c>
      <c r="C817" s="8" t="s">
        <v>17</v>
      </c>
      <c r="D817" s="8" t="str">
        <f>"苏琪琦"</f>
        <v>苏琪琦</v>
      </c>
      <c r="E817" s="8" t="str">
        <f t="shared" si="68"/>
        <v>女</v>
      </c>
    </row>
    <row r="818" spans="1:5" ht="30" customHeight="1">
      <c r="A818" s="8">
        <v>815</v>
      </c>
      <c r="B818" s="8" t="str">
        <f>"38492022042116043128476"</f>
        <v>38492022042116043128476</v>
      </c>
      <c r="C818" s="8" t="s">
        <v>17</v>
      </c>
      <c r="D818" s="8" t="str">
        <f>"符红霞"</f>
        <v>符红霞</v>
      </c>
      <c r="E818" s="8" t="str">
        <f t="shared" si="68"/>
        <v>女</v>
      </c>
    </row>
    <row r="819" spans="1:5" ht="30" customHeight="1">
      <c r="A819" s="8">
        <v>816</v>
      </c>
      <c r="B819" s="8" t="str">
        <f>"38492022042116512828800"</f>
        <v>38492022042116512828800</v>
      </c>
      <c r="C819" s="8" t="s">
        <v>17</v>
      </c>
      <c r="D819" s="8" t="str">
        <f>"邢娇婵"</f>
        <v>邢娇婵</v>
      </c>
      <c r="E819" s="8" t="str">
        <f t="shared" si="68"/>
        <v>女</v>
      </c>
    </row>
    <row r="820" spans="1:5" ht="30" customHeight="1">
      <c r="A820" s="8">
        <v>817</v>
      </c>
      <c r="B820" s="8" t="str">
        <f>"38492022042117033628873"</f>
        <v>38492022042117033628873</v>
      </c>
      <c r="C820" s="8" t="s">
        <v>17</v>
      </c>
      <c r="D820" s="8" t="str">
        <f>"郭雨薇"</f>
        <v>郭雨薇</v>
      </c>
      <c r="E820" s="8" t="str">
        <f t="shared" si="68"/>
        <v>女</v>
      </c>
    </row>
    <row r="821" spans="1:5" ht="30" customHeight="1">
      <c r="A821" s="8">
        <v>818</v>
      </c>
      <c r="B821" s="8" t="str">
        <f>"38492022042118561329431"</f>
        <v>38492022042118561329431</v>
      </c>
      <c r="C821" s="8" t="s">
        <v>17</v>
      </c>
      <c r="D821" s="8" t="str">
        <f>"符韶萱"</f>
        <v>符韶萱</v>
      </c>
      <c r="E821" s="8" t="str">
        <f t="shared" si="68"/>
        <v>女</v>
      </c>
    </row>
    <row r="822" spans="1:5" ht="30" customHeight="1">
      <c r="A822" s="8">
        <v>819</v>
      </c>
      <c r="B822" s="8" t="str">
        <f>"38492022042118574129436"</f>
        <v>38492022042118574129436</v>
      </c>
      <c r="C822" s="8" t="s">
        <v>17</v>
      </c>
      <c r="D822" s="8" t="str">
        <f>"莫岳东"</f>
        <v>莫岳东</v>
      </c>
      <c r="E822" s="8" t="str">
        <f>"男"</f>
        <v>男</v>
      </c>
    </row>
    <row r="823" spans="1:5" ht="30" customHeight="1">
      <c r="A823" s="8">
        <v>820</v>
      </c>
      <c r="B823" s="8" t="str">
        <f>"38492022042118575229437"</f>
        <v>38492022042118575229437</v>
      </c>
      <c r="C823" s="8" t="s">
        <v>17</v>
      </c>
      <c r="D823" s="8" t="str">
        <f>"薛娇"</f>
        <v>薛娇</v>
      </c>
      <c r="E823" s="8" t="str">
        <f>"女"</f>
        <v>女</v>
      </c>
    </row>
    <row r="824" spans="1:5" ht="30" customHeight="1">
      <c r="A824" s="8">
        <v>821</v>
      </c>
      <c r="B824" s="8" t="str">
        <f>"38492022042119372729624"</f>
        <v>38492022042119372729624</v>
      </c>
      <c r="C824" s="8" t="s">
        <v>17</v>
      </c>
      <c r="D824" s="8" t="str">
        <f>"邢芝"</f>
        <v>邢芝</v>
      </c>
      <c r="E824" s="8" t="str">
        <f>"女"</f>
        <v>女</v>
      </c>
    </row>
    <row r="825" spans="1:5" ht="30" customHeight="1">
      <c r="A825" s="8">
        <v>822</v>
      </c>
      <c r="B825" s="8" t="str">
        <f>"38492022042119383129628"</f>
        <v>38492022042119383129628</v>
      </c>
      <c r="C825" s="8" t="s">
        <v>17</v>
      </c>
      <c r="D825" s="8" t="str">
        <f>"刘小情"</f>
        <v>刘小情</v>
      </c>
      <c r="E825" s="8" t="str">
        <f>"女"</f>
        <v>女</v>
      </c>
    </row>
    <row r="826" spans="1:5" ht="30" customHeight="1">
      <c r="A826" s="8">
        <v>823</v>
      </c>
      <c r="B826" s="8" t="str">
        <f>"38492022042120005429712"</f>
        <v>38492022042120005429712</v>
      </c>
      <c r="C826" s="8" t="s">
        <v>17</v>
      </c>
      <c r="D826" s="8" t="str">
        <f>"黄兹文"</f>
        <v>黄兹文</v>
      </c>
      <c r="E826" s="8" t="str">
        <f>"男"</f>
        <v>男</v>
      </c>
    </row>
    <row r="827" spans="1:5" ht="30" customHeight="1">
      <c r="A827" s="8">
        <v>824</v>
      </c>
      <c r="B827" s="8" t="str">
        <f>"38492022042120220429819"</f>
        <v>38492022042120220429819</v>
      </c>
      <c r="C827" s="8" t="s">
        <v>17</v>
      </c>
      <c r="D827" s="8" t="str">
        <f>"欧国兴"</f>
        <v>欧国兴</v>
      </c>
      <c r="E827" s="8" t="str">
        <f>"男"</f>
        <v>男</v>
      </c>
    </row>
    <row r="828" spans="1:5" ht="30" customHeight="1">
      <c r="A828" s="8">
        <v>825</v>
      </c>
      <c r="B828" s="8" t="str">
        <f>"38492022042120492929988"</f>
        <v>38492022042120492929988</v>
      </c>
      <c r="C828" s="8" t="s">
        <v>17</v>
      </c>
      <c r="D828" s="8" t="str">
        <f>"符丹"</f>
        <v>符丹</v>
      </c>
      <c r="E828" s="8" t="str">
        <f>"女"</f>
        <v>女</v>
      </c>
    </row>
    <row r="829" spans="1:5" ht="30" customHeight="1">
      <c r="A829" s="8">
        <v>826</v>
      </c>
      <c r="B829" s="8" t="str">
        <f>"38492022042121091330091"</f>
        <v>38492022042121091330091</v>
      </c>
      <c r="C829" s="8" t="s">
        <v>17</v>
      </c>
      <c r="D829" s="8" t="str">
        <f>"周丽晶"</f>
        <v>周丽晶</v>
      </c>
      <c r="E829" s="8" t="str">
        <f>"女"</f>
        <v>女</v>
      </c>
    </row>
    <row r="830" spans="1:5" ht="30" customHeight="1">
      <c r="A830" s="8">
        <v>827</v>
      </c>
      <c r="B830" s="8" t="str">
        <f>"38492022042122100830415"</f>
        <v>38492022042122100830415</v>
      </c>
      <c r="C830" s="8" t="s">
        <v>17</v>
      </c>
      <c r="D830" s="8" t="str">
        <f>"曾子婕"</f>
        <v>曾子婕</v>
      </c>
      <c r="E830" s="8" t="str">
        <f>"女"</f>
        <v>女</v>
      </c>
    </row>
    <row r="831" spans="1:5" ht="30" customHeight="1">
      <c r="A831" s="8">
        <v>828</v>
      </c>
      <c r="B831" s="8" t="str">
        <f>"38492022042122133830432"</f>
        <v>38492022042122133830432</v>
      </c>
      <c r="C831" s="8" t="s">
        <v>17</v>
      </c>
      <c r="D831" s="8" t="str">
        <f>"庞信参"</f>
        <v>庞信参</v>
      </c>
      <c r="E831" s="8" t="str">
        <f>"男"</f>
        <v>男</v>
      </c>
    </row>
    <row r="832" spans="1:5" ht="30" customHeight="1">
      <c r="A832" s="8">
        <v>829</v>
      </c>
      <c r="B832" s="8" t="str">
        <f>"38492022042207292330913"</f>
        <v>38492022042207292330913</v>
      </c>
      <c r="C832" s="8" t="s">
        <v>17</v>
      </c>
      <c r="D832" s="8" t="str">
        <f>"胡彩虹"</f>
        <v>胡彩虹</v>
      </c>
      <c r="E832" s="8" t="str">
        <f>"女"</f>
        <v>女</v>
      </c>
    </row>
    <row r="833" spans="1:5" ht="30" customHeight="1">
      <c r="A833" s="8">
        <v>830</v>
      </c>
      <c r="B833" s="8" t="str">
        <f>"38492022042208571131107"</f>
        <v>38492022042208571131107</v>
      </c>
      <c r="C833" s="8" t="s">
        <v>17</v>
      </c>
      <c r="D833" s="8" t="str">
        <f>"张陈忠"</f>
        <v>张陈忠</v>
      </c>
      <c r="E833" s="8" t="str">
        <f>"男"</f>
        <v>男</v>
      </c>
    </row>
    <row r="834" spans="1:5" ht="30" customHeight="1">
      <c r="A834" s="8">
        <v>831</v>
      </c>
      <c r="B834" s="8" t="str">
        <f>"38492022042210163331544"</f>
        <v>38492022042210163331544</v>
      </c>
      <c r="C834" s="8" t="s">
        <v>17</v>
      </c>
      <c r="D834" s="8" t="str">
        <f>"符露莹"</f>
        <v>符露莹</v>
      </c>
      <c r="E834" s="8" t="str">
        <f>"女"</f>
        <v>女</v>
      </c>
    </row>
    <row r="835" spans="1:5" ht="30" customHeight="1">
      <c r="A835" s="8">
        <v>832</v>
      </c>
      <c r="B835" s="8" t="str">
        <f>"38492022042210281931625"</f>
        <v>38492022042210281931625</v>
      </c>
      <c r="C835" s="8" t="s">
        <v>17</v>
      </c>
      <c r="D835" s="8" t="str">
        <f>"胡井龙"</f>
        <v>胡井龙</v>
      </c>
      <c r="E835" s="8" t="str">
        <f>"男"</f>
        <v>男</v>
      </c>
    </row>
    <row r="836" spans="1:5" ht="30" customHeight="1">
      <c r="A836" s="8">
        <v>833</v>
      </c>
      <c r="B836" s="8" t="str">
        <f>"38492022042210330631650"</f>
        <v>38492022042210330631650</v>
      </c>
      <c r="C836" s="8" t="s">
        <v>17</v>
      </c>
      <c r="D836" s="8" t="str">
        <f>"羊品认"</f>
        <v>羊品认</v>
      </c>
      <c r="E836" s="8" t="str">
        <f>"男"</f>
        <v>男</v>
      </c>
    </row>
    <row r="837" spans="1:5" ht="30" customHeight="1">
      <c r="A837" s="8">
        <v>834</v>
      </c>
      <c r="B837" s="8" t="str">
        <f>"38492022042210355431667"</f>
        <v>38492022042210355431667</v>
      </c>
      <c r="C837" s="8" t="s">
        <v>17</v>
      </c>
      <c r="D837" s="8" t="str">
        <f>"李雨纯"</f>
        <v>李雨纯</v>
      </c>
      <c r="E837" s="8" t="str">
        <f>"女"</f>
        <v>女</v>
      </c>
    </row>
    <row r="838" spans="1:5" ht="30" customHeight="1">
      <c r="A838" s="8">
        <v>835</v>
      </c>
      <c r="B838" s="8" t="str">
        <f>"38492022042210421431704"</f>
        <v>38492022042210421431704</v>
      </c>
      <c r="C838" s="8" t="s">
        <v>17</v>
      </c>
      <c r="D838" s="8" t="str">
        <f>"符碧南"</f>
        <v>符碧南</v>
      </c>
      <c r="E838" s="8" t="str">
        <f>"女"</f>
        <v>女</v>
      </c>
    </row>
    <row r="839" spans="1:5" ht="30" customHeight="1">
      <c r="A839" s="8">
        <v>836</v>
      </c>
      <c r="B839" s="8" t="str">
        <f>"38492022042212192232527"</f>
        <v>38492022042212192232527</v>
      </c>
      <c r="C839" s="8" t="s">
        <v>17</v>
      </c>
      <c r="D839" s="8" t="str">
        <f>"李鸿英"</f>
        <v>李鸿英</v>
      </c>
      <c r="E839" s="8" t="str">
        <f>"女"</f>
        <v>女</v>
      </c>
    </row>
    <row r="840" spans="1:5" ht="30" customHeight="1">
      <c r="A840" s="8">
        <v>837</v>
      </c>
      <c r="B840" s="8" t="str">
        <f>"38492022042213335232820"</f>
        <v>38492022042213335232820</v>
      </c>
      <c r="C840" s="8" t="s">
        <v>17</v>
      </c>
      <c r="D840" s="8" t="str">
        <f>"符莲珠"</f>
        <v>符莲珠</v>
      </c>
      <c r="E840" s="8" t="str">
        <f>"女"</f>
        <v>女</v>
      </c>
    </row>
    <row r="841" spans="1:5" ht="30" customHeight="1">
      <c r="A841" s="8">
        <v>838</v>
      </c>
      <c r="B841" s="8" t="str">
        <f>"38492022042214105432934"</f>
        <v>38492022042214105432934</v>
      </c>
      <c r="C841" s="8" t="s">
        <v>17</v>
      </c>
      <c r="D841" s="8" t="str">
        <f>"郑周艳"</f>
        <v>郑周艳</v>
      </c>
      <c r="E841" s="8" t="str">
        <f>"女"</f>
        <v>女</v>
      </c>
    </row>
    <row r="842" spans="1:5" ht="30" customHeight="1">
      <c r="A842" s="8">
        <v>839</v>
      </c>
      <c r="B842" s="8" t="str">
        <f>"38492022042214545233135"</f>
        <v>38492022042214545233135</v>
      </c>
      <c r="C842" s="8" t="s">
        <v>17</v>
      </c>
      <c r="D842" s="8" t="str">
        <f>"符缘怀"</f>
        <v>符缘怀</v>
      </c>
      <c r="E842" s="8" t="str">
        <f>"男"</f>
        <v>男</v>
      </c>
    </row>
    <row r="843" spans="1:5" ht="30" customHeight="1">
      <c r="A843" s="8">
        <v>840</v>
      </c>
      <c r="B843" s="8" t="str">
        <f>"38492022042215273333331"</f>
        <v>38492022042215273333331</v>
      </c>
      <c r="C843" s="8" t="s">
        <v>17</v>
      </c>
      <c r="D843" s="8" t="str">
        <f>"叶文飞"</f>
        <v>叶文飞</v>
      </c>
      <c r="E843" s="8" t="str">
        <f>"男"</f>
        <v>男</v>
      </c>
    </row>
    <row r="844" spans="1:5" ht="30" customHeight="1">
      <c r="A844" s="8">
        <v>841</v>
      </c>
      <c r="B844" s="8" t="str">
        <f>"38492022042216073033587"</f>
        <v>38492022042216073033587</v>
      </c>
      <c r="C844" s="8" t="s">
        <v>17</v>
      </c>
      <c r="D844" s="8" t="str">
        <f>"陈瑞红"</f>
        <v>陈瑞红</v>
      </c>
      <c r="E844" s="8" t="str">
        <f>"女"</f>
        <v>女</v>
      </c>
    </row>
    <row r="845" spans="1:5" ht="30" customHeight="1">
      <c r="A845" s="8">
        <v>842</v>
      </c>
      <c r="B845" s="8" t="str">
        <f>"38492022042219350434424"</f>
        <v>38492022042219350434424</v>
      </c>
      <c r="C845" s="8" t="s">
        <v>17</v>
      </c>
      <c r="D845" s="8" t="str">
        <f>"董海崴"</f>
        <v>董海崴</v>
      </c>
      <c r="E845" s="8" t="str">
        <f>"男"</f>
        <v>男</v>
      </c>
    </row>
    <row r="846" spans="1:5" ht="30" customHeight="1">
      <c r="A846" s="8">
        <v>843</v>
      </c>
      <c r="B846" s="8" t="str">
        <f>"38492022042219510934457"</f>
        <v>38492022042219510934457</v>
      </c>
      <c r="C846" s="8" t="s">
        <v>17</v>
      </c>
      <c r="D846" s="8" t="str">
        <f>"林中环"</f>
        <v>林中环</v>
      </c>
      <c r="E846" s="8" t="str">
        <f>"女"</f>
        <v>女</v>
      </c>
    </row>
    <row r="847" spans="1:5" ht="30" customHeight="1">
      <c r="A847" s="8">
        <v>844</v>
      </c>
      <c r="B847" s="8" t="str">
        <f>"38492022042220144234495"</f>
        <v>38492022042220144234495</v>
      </c>
      <c r="C847" s="8" t="s">
        <v>17</v>
      </c>
      <c r="D847" s="8" t="str">
        <f>"符苏苹"</f>
        <v>符苏苹</v>
      </c>
      <c r="E847" s="8" t="str">
        <f>"女"</f>
        <v>女</v>
      </c>
    </row>
    <row r="848" spans="1:5" ht="30" customHeight="1">
      <c r="A848" s="8">
        <v>845</v>
      </c>
      <c r="B848" s="8" t="str">
        <f>"38492022042220270434512"</f>
        <v>38492022042220270434512</v>
      </c>
      <c r="C848" s="8" t="s">
        <v>17</v>
      </c>
      <c r="D848" s="8" t="str">
        <f>"符丽凤"</f>
        <v>符丽凤</v>
      </c>
      <c r="E848" s="8" t="str">
        <f>"女"</f>
        <v>女</v>
      </c>
    </row>
    <row r="849" spans="1:5" ht="30" customHeight="1">
      <c r="A849" s="8">
        <v>846</v>
      </c>
      <c r="B849" s="8" t="str">
        <f>"38492022042222000434696"</f>
        <v>38492022042222000434696</v>
      </c>
      <c r="C849" s="8" t="s">
        <v>17</v>
      </c>
      <c r="D849" s="8" t="str">
        <f>"杨偲"</f>
        <v>杨偲</v>
      </c>
      <c r="E849" s="8" t="str">
        <f>"男"</f>
        <v>男</v>
      </c>
    </row>
    <row r="850" spans="1:5" ht="30" customHeight="1">
      <c r="A850" s="8">
        <v>847</v>
      </c>
      <c r="B850" s="8" t="str">
        <f>"38492022042300353034851"</f>
        <v>38492022042300353034851</v>
      </c>
      <c r="C850" s="8" t="s">
        <v>17</v>
      </c>
      <c r="D850" s="8" t="str">
        <f>"陈玉成"</f>
        <v>陈玉成</v>
      </c>
      <c r="E850" s="8" t="str">
        <f>"女"</f>
        <v>女</v>
      </c>
    </row>
    <row r="851" spans="1:5" ht="30" customHeight="1">
      <c r="A851" s="8">
        <v>848</v>
      </c>
      <c r="B851" s="8" t="str">
        <f>"38492022042311144835100"</f>
        <v>38492022042311144835100</v>
      </c>
      <c r="C851" s="8" t="s">
        <v>17</v>
      </c>
      <c r="D851" s="8" t="str">
        <f>"罗赫"</f>
        <v>罗赫</v>
      </c>
      <c r="E851" s="8" t="str">
        <f>"男"</f>
        <v>男</v>
      </c>
    </row>
    <row r="852" spans="1:5" ht="30" customHeight="1">
      <c r="A852" s="8">
        <v>849</v>
      </c>
      <c r="B852" s="8" t="str">
        <f>"38492022042312152335187"</f>
        <v>38492022042312152335187</v>
      </c>
      <c r="C852" s="8" t="s">
        <v>17</v>
      </c>
      <c r="D852" s="8" t="str">
        <f>"刘姝馨"</f>
        <v>刘姝馨</v>
      </c>
      <c r="E852" s="8" t="str">
        <f>"女"</f>
        <v>女</v>
      </c>
    </row>
    <row r="853" spans="1:5" ht="30" customHeight="1">
      <c r="A853" s="8">
        <v>850</v>
      </c>
      <c r="B853" s="8" t="str">
        <f>"38492022042314271135344"</f>
        <v>38492022042314271135344</v>
      </c>
      <c r="C853" s="8" t="s">
        <v>17</v>
      </c>
      <c r="D853" s="8" t="str">
        <f>"王皎"</f>
        <v>王皎</v>
      </c>
      <c r="E853" s="8" t="str">
        <f>"女"</f>
        <v>女</v>
      </c>
    </row>
    <row r="854" spans="1:5" ht="30" customHeight="1">
      <c r="A854" s="8">
        <v>851</v>
      </c>
      <c r="B854" s="8" t="str">
        <f>"38492022042314435735360"</f>
        <v>38492022042314435735360</v>
      </c>
      <c r="C854" s="8" t="s">
        <v>17</v>
      </c>
      <c r="D854" s="8" t="str">
        <f>"纪明画"</f>
        <v>纪明画</v>
      </c>
      <c r="E854" s="8" t="str">
        <f>"女"</f>
        <v>女</v>
      </c>
    </row>
    <row r="855" spans="1:5" ht="30" customHeight="1">
      <c r="A855" s="8">
        <v>852</v>
      </c>
      <c r="B855" s="8" t="str">
        <f>"38492022042316113135495"</f>
        <v>38492022042316113135495</v>
      </c>
      <c r="C855" s="8" t="s">
        <v>17</v>
      </c>
      <c r="D855" s="8" t="str">
        <f>"符仁忠"</f>
        <v>符仁忠</v>
      </c>
      <c r="E855" s="8" t="str">
        <f>"男"</f>
        <v>男</v>
      </c>
    </row>
    <row r="856" spans="1:5" ht="30" customHeight="1">
      <c r="A856" s="8">
        <v>853</v>
      </c>
      <c r="B856" s="8" t="str">
        <f>"38492022042318194435642"</f>
        <v>38492022042318194435642</v>
      </c>
      <c r="C856" s="8" t="s">
        <v>17</v>
      </c>
      <c r="D856" s="8" t="str">
        <f>"严美玉"</f>
        <v>严美玉</v>
      </c>
      <c r="E856" s="8" t="str">
        <f aca="true" t="shared" si="69" ref="E856:E868">"女"</f>
        <v>女</v>
      </c>
    </row>
    <row r="857" spans="1:5" ht="30" customHeight="1">
      <c r="A857" s="8">
        <v>854</v>
      </c>
      <c r="B857" s="8" t="str">
        <f>"38492022042322335135992"</f>
        <v>38492022042322335135992</v>
      </c>
      <c r="C857" s="8" t="s">
        <v>17</v>
      </c>
      <c r="D857" s="8" t="str">
        <f>"李锶婷"</f>
        <v>李锶婷</v>
      </c>
      <c r="E857" s="8" t="str">
        <f t="shared" si="69"/>
        <v>女</v>
      </c>
    </row>
    <row r="858" spans="1:5" ht="30" customHeight="1">
      <c r="A858" s="8">
        <v>855</v>
      </c>
      <c r="B858" s="8" t="str">
        <f>"38492022042323070736058"</f>
        <v>38492022042323070736058</v>
      </c>
      <c r="C858" s="8" t="s">
        <v>17</v>
      </c>
      <c r="D858" s="8" t="str">
        <f>"刘鑫蕾"</f>
        <v>刘鑫蕾</v>
      </c>
      <c r="E858" s="8" t="str">
        <f t="shared" si="69"/>
        <v>女</v>
      </c>
    </row>
    <row r="859" spans="1:5" ht="30" customHeight="1">
      <c r="A859" s="8">
        <v>856</v>
      </c>
      <c r="B859" s="8" t="str">
        <f>"38492022042323141536068"</f>
        <v>38492022042323141536068</v>
      </c>
      <c r="C859" s="8" t="s">
        <v>17</v>
      </c>
      <c r="D859" s="8" t="str">
        <f>"文晓银"</f>
        <v>文晓银</v>
      </c>
      <c r="E859" s="8" t="str">
        <f t="shared" si="69"/>
        <v>女</v>
      </c>
    </row>
    <row r="860" spans="1:5" ht="30" customHeight="1">
      <c r="A860" s="8">
        <v>857</v>
      </c>
      <c r="B860" s="8" t="str">
        <f>"38492022042323434936092"</f>
        <v>38492022042323434936092</v>
      </c>
      <c r="C860" s="8" t="s">
        <v>17</v>
      </c>
      <c r="D860" s="8" t="str">
        <f>"钟紫锌"</f>
        <v>钟紫锌</v>
      </c>
      <c r="E860" s="8" t="str">
        <f t="shared" si="69"/>
        <v>女</v>
      </c>
    </row>
    <row r="861" spans="1:5" ht="30" customHeight="1">
      <c r="A861" s="8">
        <v>858</v>
      </c>
      <c r="B861" s="8" t="str">
        <f>"38492022042323535636102"</f>
        <v>38492022042323535636102</v>
      </c>
      <c r="C861" s="8" t="s">
        <v>17</v>
      </c>
      <c r="D861" s="8" t="str">
        <f>"符慧崖"</f>
        <v>符慧崖</v>
      </c>
      <c r="E861" s="8" t="str">
        <f t="shared" si="69"/>
        <v>女</v>
      </c>
    </row>
    <row r="862" spans="1:5" ht="30" customHeight="1">
      <c r="A862" s="8">
        <v>859</v>
      </c>
      <c r="B862" s="8" t="str">
        <f>"38492022042409070336250"</f>
        <v>38492022042409070336250</v>
      </c>
      <c r="C862" s="8" t="s">
        <v>17</v>
      </c>
      <c r="D862" s="8" t="str">
        <f>"符朝浩"</f>
        <v>符朝浩</v>
      </c>
      <c r="E862" s="8" t="str">
        <f t="shared" si="69"/>
        <v>女</v>
      </c>
    </row>
    <row r="863" spans="1:5" ht="30" customHeight="1">
      <c r="A863" s="8">
        <v>860</v>
      </c>
      <c r="B863" s="8" t="str">
        <f>"38492022042410492036463"</f>
        <v>38492022042410492036463</v>
      </c>
      <c r="C863" s="8" t="s">
        <v>17</v>
      </c>
      <c r="D863" s="8" t="str">
        <f>"李展钰"</f>
        <v>李展钰</v>
      </c>
      <c r="E863" s="8" t="str">
        <f t="shared" si="69"/>
        <v>女</v>
      </c>
    </row>
    <row r="864" spans="1:5" ht="30" customHeight="1">
      <c r="A864" s="8">
        <v>861</v>
      </c>
      <c r="B864" s="8" t="str">
        <f>"38492022042412095436611"</f>
        <v>38492022042412095436611</v>
      </c>
      <c r="C864" s="8" t="s">
        <v>17</v>
      </c>
      <c r="D864" s="8" t="str">
        <f>"王怡婕"</f>
        <v>王怡婕</v>
      </c>
      <c r="E864" s="8" t="str">
        <f t="shared" si="69"/>
        <v>女</v>
      </c>
    </row>
    <row r="865" spans="1:5" ht="30" customHeight="1">
      <c r="A865" s="8">
        <v>862</v>
      </c>
      <c r="B865" s="8" t="str">
        <f>"38492022042415585336996"</f>
        <v>38492022042415585336996</v>
      </c>
      <c r="C865" s="8" t="s">
        <v>17</v>
      </c>
      <c r="D865" s="8" t="str">
        <f>"王晓明"</f>
        <v>王晓明</v>
      </c>
      <c r="E865" s="8" t="str">
        <f t="shared" si="69"/>
        <v>女</v>
      </c>
    </row>
    <row r="866" spans="1:5" ht="30" customHeight="1">
      <c r="A866" s="8">
        <v>863</v>
      </c>
      <c r="B866" s="8" t="str">
        <f>"38492022042416350537076"</f>
        <v>38492022042416350537076</v>
      </c>
      <c r="C866" s="8" t="s">
        <v>17</v>
      </c>
      <c r="D866" s="8" t="str">
        <f>"苏睿"</f>
        <v>苏睿</v>
      </c>
      <c r="E866" s="8" t="str">
        <f t="shared" si="69"/>
        <v>女</v>
      </c>
    </row>
    <row r="867" spans="1:5" ht="30" customHeight="1">
      <c r="A867" s="8">
        <v>864</v>
      </c>
      <c r="B867" s="8" t="str">
        <f>"38492022042417152937160"</f>
        <v>38492022042417152937160</v>
      </c>
      <c r="C867" s="8" t="s">
        <v>17</v>
      </c>
      <c r="D867" s="8" t="str">
        <f>"崔育莹"</f>
        <v>崔育莹</v>
      </c>
      <c r="E867" s="8" t="str">
        <f t="shared" si="69"/>
        <v>女</v>
      </c>
    </row>
    <row r="868" spans="1:5" ht="30" customHeight="1">
      <c r="A868" s="8">
        <v>865</v>
      </c>
      <c r="B868" s="8" t="str">
        <f>"38492022042417381337188"</f>
        <v>38492022042417381337188</v>
      </c>
      <c r="C868" s="8" t="s">
        <v>17</v>
      </c>
      <c r="D868" s="8" t="str">
        <f>"蔡雯雯"</f>
        <v>蔡雯雯</v>
      </c>
      <c r="E868" s="8" t="str">
        <f t="shared" si="69"/>
        <v>女</v>
      </c>
    </row>
    <row r="869" spans="1:5" ht="30" customHeight="1">
      <c r="A869" s="8">
        <v>866</v>
      </c>
      <c r="B869" s="8" t="str">
        <f>"38492022042420131537415"</f>
        <v>38492022042420131537415</v>
      </c>
      <c r="C869" s="8" t="s">
        <v>17</v>
      </c>
      <c r="D869" s="8" t="str">
        <f>"陈宥霖"</f>
        <v>陈宥霖</v>
      </c>
      <c r="E869" s="8" t="str">
        <f>"男"</f>
        <v>男</v>
      </c>
    </row>
    <row r="870" spans="1:5" ht="30" customHeight="1">
      <c r="A870" s="8">
        <v>867</v>
      </c>
      <c r="B870" s="8" t="str">
        <f>"38492022042421275637554"</f>
        <v>38492022042421275637554</v>
      </c>
      <c r="C870" s="8" t="s">
        <v>17</v>
      </c>
      <c r="D870" s="8" t="str">
        <f>"林雨欣"</f>
        <v>林雨欣</v>
      </c>
      <c r="E870" s="8" t="str">
        <f>"女"</f>
        <v>女</v>
      </c>
    </row>
    <row r="871" spans="1:5" ht="30" customHeight="1">
      <c r="A871" s="8">
        <v>868</v>
      </c>
      <c r="B871" s="8" t="str">
        <f>"38492022042500211437766"</f>
        <v>38492022042500211437766</v>
      </c>
      <c r="C871" s="8" t="s">
        <v>17</v>
      </c>
      <c r="D871" s="8" t="str">
        <f>"文丽舟"</f>
        <v>文丽舟</v>
      </c>
      <c r="E871" s="8" t="str">
        <f>"女"</f>
        <v>女</v>
      </c>
    </row>
    <row r="872" spans="1:5" ht="30" customHeight="1">
      <c r="A872" s="8">
        <v>869</v>
      </c>
      <c r="B872" s="8" t="str">
        <f>"38492022042509541437929"</f>
        <v>38492022042509541437929</v>
      </c>
      <c r="C872" s="8" t="s">
        <v>17</v>
      </c>
      <c r="D872" s="8" t="str">
        <f>" 麦正堂"</f>
        <v> 麦正堂</v>
      </c>
      <c r="E872" s="8" t="str">
        <f>"男"</f>
        <v>男</v>
      </c>
    </row>
    <row r="873" spans="1:5" ht="30" customHeight="1">
      <c r="A873" s="8">
        <v>870</v>
      </c>
      <c r="B873" s="8" t="str">
        <f>"38492022042510485438044"</f>
        <v>38492022042510485438044</v>
      </c>
      <c r="C873" s="8" t="s">
        <v>17</v>
      </c>
      <c r="D873" s="8" t="str">
        <f>"胡晓鸽"</f>
        <v>胡晓鸽</v>
      </c>
      <c r="E873" s="8" t="str">
        <f>"男"</f>
        <v>男</v>
      </c>
    </row>
    <row r="874" spans="1:5" ht="30" customHeight="1">
      <c r="A874" s="8">
        <v>871</v>
      </c>
      <c r="B874" s="8" t="str">
        <f>"38492022042515494738434"</f>
        <v>38492022042515494738434</v>
      </c>
      <c r="C874" s="8" t="s">
        <v>17</v>
      </c>
      <c r="D874" s="8" t="str">
        <f>"王秋杏"</f>
        <v>王秋杏</v>
      </c>
      <c r="E874" s="8" t="str">
        <f>"女"</f>
        <v>女</v>
      </c>
    </row>
    <row r="875" spans="1:5" ht="30" customHeight="1">
      <c r="A875" s="8">
        <v>872</v>
      </c>
      <c r="B875" s="8" t="str">
        <f>"38492022042516464138505"</f>
        <v>38492022042516464138505</v>
      </c>
      <c r="C875" s="8" t="s">
        <v>17</v>
      </c>
      <c r="D875" s="8" t="str">
        <f>"王宗坤"</f>
        <v>王宗坤</v>
      </c>
      <c r="E875" s="8" t="str">
        <f>"女"</f>
        <v>女</v>
      </c>
    </row>
    <row r="876" spans="1:5" ht="30" customHeight="1">
      <c r="A876" s="8">
        <v>873</v>
      </c>
      <c r="B876" s="8" t="str">
        <f>"38492022042517015038539"</f>
        <v>38492022042517015038539</v>
      </c>
      <c r="C876" s="8" t="s">
        <v>17</v>
      </c>
      <c r="D876" s="8" t="str">
        <f>"陈主洋"</f>
        <v>陈主洋</v>
      </c>
      <c r="E876" s="8" t="str">
        <f>"男"</f>
        <v>男</v>
      </c>
    </row>
    <row r="877" spans="1:5" ht="30" customHeight="1">
      <c r="A877" s="8">
        <v>874</v>
      </c>
      <c r="B877" s="8" t="str">
        <f>"38492022042517035438542"</f>
        <v>38492022042517035438542</v>
      </c>
      <c r="C877" s="8" t="s">
        <v>17</v>
      </c>
      <c r="D877" s="8" t="str">
        <f>"陈春雨"</f>
        <v>陈春雨</v>
      </c>
      <c r="E877" s="8" t="str">
        <f>"女"</f>
        <v>女</v>
      </c>
    </row>
    <row r="878" spans="1:5" ht="30" customHeight="1">
      <c r="A878" s="8">
        <v>875</v>
      </c>
      <c r="B878" s="8" t="str">
        <f>"38492022042517361738587"</f>
        <v>38492022042517361738587</v>
      </c>
      <c r="C878" s="8" t="s">
        <v>17</v>
      </c>
      <c r="D878" s="8" t="str">
        <f>"夏高理"</f>
        <v>夏高理</v>
      </c>
      <c r="E878" s="8" t="str">
        <f>"男"</f>
        <v>男</v>
      </c>
    </row>
    <row r="879" spans="1:5" ht="30" customHeight="1">
      <c r="A879" s="8">
        <v>876</v>
      </c>
      <c r="B879" s="8" t="str">
        <f>"38492022042518341238652"</f>
        <v>38492022042518341238652</v>
      </c>
      <c r="C879" s="8" t="s">
        <v>17</v>
      </c>
      <c r="D879" s="8" t="str">
        <f>"王凯欣"</f>
        <v>王凯欣</v>
      </c>
      <c r="E879" s="8" t="str">
        <f aca="true" t="shared" si="70" ref="E879:E888">"女"</f>
        <v>女</v>
      </c>
    </row>
    <row r="880" spans="1:5" ht="30" customHeight="1">
      <c r="A880" s="8">
        <v>877</v>
      </c>
      <c r="B880" s="8" t="str">
        <f>"38492022042518473938668"</f>
        <v>38492022042518473938668</v>
      </c>
      <c r="C880" s="8" t="s">
        <v>17</v>
      </c>
      <c r="D880" s="8" t="str">
        <f>"杨婷婷"</f>
        <v>杨婷婷</v>
      </c>
      <c r="E880" s="8" t="str">
        <f t="shared" si="70"/>
        <v>女</v>
      </c>
    </row>
    <row r="881" spans="1:5" ht="30" customHeight="1">
      <c r="A881" s="8">
        <v>878</v>
      </c>
      <c r="B881" s="8" t="str">
        <f>"38492022042521044838830"</f>
        <v>38492022042521044838830</v>
      </c>
      <c r="C881" s="8" t="s">
        <v>17</v>
      </c>
      <c r="D881" s="8" t="str">
        <f>"王瑛"</f>
        <v>王瑛</v>
      </c>
      <c r="E881" s="8" t="str">
        <f t="shared" si="70"/>
        <v>女</v>
      </c>
    </row>
    <row r="882" spans="1:5" ht="30" customHeight="1">
      <c r="A882" s="8">
        <v>879</v>
      </c>
      <c r="B882" s="8" t="str">
        <f>"38492022042522051538913"</f>
        <v>38492022042522051538913</v>
      </c>
      <c r="C882" s="8" t="s">
        <v>17</v>
      </c>
      <c r="D882" s="8" t="str">
        <f>"罗玲毫"</f>
        <v>罗玲毫</v>
      </c>
      <c r="E882" s="8" t="str">
        <f t="shared" si="70"/>
        <v>女</v>
      </c>
    </row>
    <row r="883" spans="1:5" ht="30" customHeight="1">
      <c r="A883" s="8">
        <v>880</v>
      </c>
      <c r="B883" s="8" t="str">
        <f>"38492022042602201739093"</f>
        <v>38492022042602201739093</v>
      </c>
      <c r="C883" s="8" t="s">
        <v>17</v>
      </c>
      <c r="D883" s="8" t="str">
        <f>"邢慧慧"</f>
        <v>邢慧慧</v>
      </c>
      <c r="E883" s="8" t="str">
        <f t="shared" si="70"/>
        <v>女</v>
      </c>
    </row>
    <row r="884" spans="1:5" ht="30" customHeight="1">
      <c r="A884" s="8">
        <v>881</v>
      </c>
      <c r="B884" s="8" t="str">
        <f>"38492022042610425239325"</f>
        <v>38492022042610425239325</v>
      </c>
      <c r="C884" s="8" t="s">
        <v>17</v>
      </c>
      <c r="D884" s="8" t="str">
        <f>"吴巧"</f>
        <v>吴巧</v>
      </c>
      <c r="E884" s="8" t="str">
        <f t="shared" si="70"/>
        <v>女</v>
      </c>
    </row>
    <row r="885" spans="1:5" ht="30" customHeight="1">
      <c r="A885" s="8">
        <v>882</v>
      </c>
      <c r="B885" s="8" t="str">
        <f>"38492022042611083839363"</f>
        <v>38492022042611083839363</v>
      </c>
      <c r="C885" s="8" t="s">
        <v>17</v>
      </c>
      <c r="D885" s="8" t="str">
        <f>"羊立腾"</f>
        <v>羊立腾</v>
      </c>
      <c r="E885" s="8" t="str">
        <f t="shared" si="70"/>
        <v>女</v>
      </c>
    </row>
    <row r="886" spans="1:5" ht="30" customHeight="1">
      <c r="A886" s="8">
        <v>883</v>
      </c>
      <c r="B886" s="8" t="str">
        <f>"38492022042611251439385"</f>
        <v>38492022042611251439385</v>
      </c>
      <c r="C886" s="8" t="s">
        <v>17</v>
      </c>
      <c r="D886" s="8" t="str">
        <f>"黄景"</f>
        <v>黄景</v>
      </c>
      <c r="E886" s="8" t="str">
        <f t="shared" si="70"/>
        <v>女</v>
      </c>
    </row>
    <row r="887" spans="1:5" ht="30" customHeight="1">
      <c r="A887" s="8">
        <v>884</v>
      </c>
      <c r="B887" s="8" t="str">
        <f>"38492022042612194539464"</f>
        <v>38492022042612194539464</v>
      </c>
      <c r="C887" s="8" t="s">
        <v>17</v>
      </c>
      <c r="D887" s="8" t="str">
        <f>"黄祖盈"</f>
        <v>黄祖盈</v>
      </c>
      <c r="E887" s="8" t="str">
        <f t="shared" si="70"/>
        <v>女</v>
      </c>
    </row>
    <row r="888" spans="1:5" ht="30" customHeight="1">
      <c r="A888" s="8">
        <v>885</v>
      </c>
      <c r="B888" s="8" t="str">
        <f>"38492022042614482039607"</f>
        <v>38492022042614482039607</v>
      </c>
      <c r="C888" s="8" t="s">
        <v>17</v>
      </c>
      <c r="D888" s="8" t="str">
        <f>"刘桂超"</f>
        <v>刘桂超</v>
      </c>
      <c r="E888" s="8" t="str">
        <f t="shared" si="70"/>
        <v>女</v>
      </c>
    </row>
    <row r="889" spans="1:5" ht="30" customHeight="1">
      <c r="A889" s="8">
        <v>886</v>
      </c>
      <c r="B889" s="8" t="str">
        <f>"38492022042615164639664"</f>
        <v>38492022042615164639664</v>
      </c>
      <c r="C889" s="8" t="s">
        <v>17</v>
      </c>
      <c r="D889" s="8" t="str">
        <f>"李成欢"</f>
        <v>李成欢</v>
      </c>
      <c r="E889" s="8" t="str">
        <f>"男"</f>
        <v>男</v>
      </c>
    </row>
    <row r="890" spans="1:5" ht="30" customHeight="1">
      <c r="A890" s="8">
        <v>887</v>
      </c>
      <c r="B890" s="8" t="str">
        <f>"38492022042617144539900"</f>
        <v>38492022042617144539900</v>
      </c>
      <c r="C890" s="8" t="s">
        <v>17</v>
      </c>
      <c r="D890" s="8" t="str">
        <f>"宋佳繁"</f>
        <v>宋佳繁</v>
      </c>
      <c r="E890" s="8" t="str">
        <f aca="true" t="shared" si="71" ref="E890:E895">"女"</f>
        <v>女</v>
      </c>
    </row>
    <row r="891" spans="1:5" ht="30" customHeight="1">
      <c r="A891" s="8">
        <v>888</v>
      </c>
      <c r="B891" s="8" t="str">
        <f>"38492022042621231940235"</f>
        <v>38492022042621231940235</v>
      </c>
      <c r="C891" s="8" t="s">
        <v>17</v>
      </c>
      <c r="D891" s="8" t="str">
        <f>"黄颖"</f>
        <v>黄颖</v>
      </c>
      <c r="E891" s="8" t="str">
        <f t="shared" si="71"/>
        <v>女</v>
      </c>
    </row>
    <row r="892" spans="1:5" ht="30" customHeight="1">
      <c r="A892" s="8">
        <v>889</v>
      </c>
      <c r="B892" s="8" t="str">
        <f>"38492022042622143840313"</f>
        <v>38492022042622143840313</v>
      </c>
      <c r="C892" s="8" t="s">
        <v>17</v>
      </c>
      <c r="D892" s="8" t="str">
        <f>"田雁飞"</f>
        <v>田雁飞</v>
      </c>
      <c r="E892" s="8" t="str">
        <f t="shared" si="71"/>
        <v>女</v>
      </c>
    </row>
    <row r="893" spans="1:5" ht="30" customHeight="1">
      <c r="A893" s="8">
        <v>890</v>
      </c>
      <c r="B893" s="8" t="str">
        <f>"38492022042622295540341"</f>
        <v>38492022042622295540341</v>
      </c>
      <c r="C893" s="8" t="s">
        <v>17</v>
      </c>
      <c r="D893" s="8" t="str">
        <f>"高秀兰"</f>
        <v>高秀兰</v>
      </c>
      <c r="E893" s="8" t="str">
        <f t="shared" si="71"/>
        <v>女</v>
      </c>
    </row>
    <row r="894" spans="1:5" ht="30" customHeight="1">
      <c r="A894" s="8">
        <v>891</v>
      </c>
      <c r="B894" s="8" t="str">
        <f>"38492022042623445440470"</f>
        <v>38492022042623445440470</v>
      </c>
      <c r="C894" s="8" t="s">
        <v>17</v>
      </c>
      <c r="D894" s="8" t="str">
        <f>"邢晓颖"</f>
        <v>邢晓颖</v>
      </c>
      <c r="E894" s="8" t="str">
        <f t="shared" si="71"/>
        <v>女</v>
      </c>
    </row>
    <row r="895" spans="1:5" ht="30" customHeight="1">
      <c r="A895" s="8">
        <v>892</v>
      </c>
      <c r="B895" s="8" t="str">
        <f>"38492022042700140540504"</f>
        <v>38492022042700140540504</v>
      </c>
      <c r="C895" s="8" t="s">
        <v>17</v>
      </c>
      <c r="D895" s="8" t="str">
        <f>"符少文"</f>
        <v>符少文</v>
      </c>
      <c r="E895" s="8" t="str">
        <f t="shared" si="71"/>
        <v>女</v>
      </c>
    </row>
    <row r="896" spans="1:5" ht="30" customHeight="1">
      <c r="A896" s="8">
        <v>893</v>
      </c>
      <c r="B896" s="8" t="str">
        <f>"38492022042700593640525"</f>
        <v>38492022042700593640525</v>
      </c>
      <c r="C896" s="8" t="s">
        <v>17</v>
      </c>
      <c r="D896" s="8" t="str">
        <f>"黄成"</f>
        <v>黄成</v>
      </c>
      <c r="E896" s="8" t="str">
        <f>"男"</f>
        <v>男</v>
      </c>
    </row>
    <row r="897" spans="1:5" ht="30" customHeight="1">
      <c r="A897" s="8">
        <v>894</v>
      </c>
      <c r="B897" s="8" t="str">
        <f>"38492022042706411140548"</f>
        <v>38492022042706411140548</v>
      </c>
      <c r="C897" s="8" t="s">
        <v>17</v>
      </c>
      <c r="D897" s="8" t="str">
        <f>"朱妙甜"</f>
        <v>朱妙甜</v>
      </c>
      <c r="E897" s="8" t="str">
        <f aca="true" t="shared" si="72" ref="E897:E904">"女"</f>
        <v>女</v>
      </c>
    </row>
    <row r="898" spans="1:5" ht="30" customHeight="1">
      <c r="A898" s="8">
        <v>895</v>
      </c>
      <c r="B898" s="8" t="str">
        <f>"38492022042711152942222"</f>
        <v>38492022042711152942222</v>
      </c>
      <c r="C898" s="8" t="s">
        <v>17</v>
      </c>
      <c r="D898" s="8" t="str">
        <f>"林敏"</f>
        <v>林敏</v>
      </c>
      <c r="E898" s="8" t="str">
        <f t="shared" si="72"/>
        <v>女</v>
      </c>
    </row>
    <row r="899" spans="1:5" ht="30" customHeight="1">
      <c r="A899" s="8">
        <v>896</v>
      </c>
      <c r="B899" s="8" t="str">
        <f>"38492022042712170642639"</f>
        <v>38492022042712170642639</v>
      </c>
      <c r="C899" s="8" t="s">
        <v>17</v>
      </c>
      <c r="D899" s="8" t="str">
        <f>"刘珊"</f>
        <v>刘珊</v>
      </c>
      <c r="E899" s="8" t="str">
        <f t="shared" si="72"/>
        <v>女</v>
      </c>
    </row>
    <row r="900" spans="1:5" ht="30" customHeight="1">
      <c r="A900" s="8">
        <v>897</v>
      </c>
      <c r="B900" s="8" t="str">
        <f>"38492022042714311143460"</f>
        <v>38492022042714311143460</v>
      </c>
      <c r="C900" s="8" t="s">
        <v>17</v>
      </c>
      <c r="D900" s="8" t="str">
        <f>"黎子慧"</f>
        <v>黎子慧</v>
      </c>
      <c r="E900" s="8" t="str">
        <f t="shared" si="72"/>
        <v>女</v>
      </c>
    </row>
    <row r="901" spans="1:5" ht="30" customHeight="1">
      <c r="A901" s="8">
        <v>898</v>
      </c>
      <c r="B901" s="8" t="str">
        <f>"38492022042715050843674"</f>
        <v>38492022042715050843674</v>
      </c>
      <c r="C901" s="8" t="s">
        <v>17</v>
      </c>
      <c r="D901" s="8" t="str">
        <f>"陈兰花"</f>
        <v>陈兰花</v>
      </c>
      <c r="E901" s="8" t="str">
        <f t="shared" si="72"/>
        <v>女</v>
      </c>
    </row>
    <row r="902" spans="1:5" ht="30" customHeight="1">
      <c r="A902" s="8">
        <v>899</v>
      </c>
      <c r="B902" s="8" t="str">
        <f>"38492022042715104943710"</f>
        <v>38492022042715104943710</v>
      </c>
      <c r="C902" s="8" t="s">
        <v>17</v>
      </c>
      <c r="D902" s="8" t="str">
        <f>"王振微"</f>
        <v>王振微</v>
      </c>
      <c r="E902" s="8" t="str">
        <f t="shared" si="72"/>
        <v>女</v>
      </c>
    </row>
    <row r="903" spans="1:5" ht="30" customHeight="1">
      <c r="A903" s="8">
        <v>900</v>
      </c>
      <c r="B903" s="8" t="str">
        <f>"38492022042715432743918"</f>
        <v>38492022042715432743918</v>
      </c>
      <c r="C903" s="8" t="s">
        <v>17</v>
      </c>
      <c r="D903" s="8" t="str">
        <f>"陈李秋"</f>
        <v>陈李秋</v>
      </c>
      <c r="E903" s="8" t="str">
        <f t="shared" si="72"/>
        <v>女</v>
      </c>
    </row>
    <row r="904" spans="1:5" ht="30" customHeight="1">
      <c r="A904" s="8">
        <v>901</v>
      </c>
      <c r="B904" s="8" t="str">
        <f>"38492022042716325744199"</f>
        <v>38492022042716325744199</v>
      </c>
      <c r="C904" s="8" t="s">
        <v>17</v>
      </c>
      <c r="D904" s="8" t="str">
        <f>"王佳嫄"</f>
        <v>王佳嫄</v>
      </c>
      <c r="E904" s="8" t="str">
        <f t="shared" si="72"/>
        <v>女</v>
      </c>
    </row>
    <row r="905" spans="1:5" ht="30" customHeight="1">
      <c r="A905" s="8">
        <v>902</v>
      </c>
      <c r="B905" s="8" t="str">
        <f>"38492022042109042324936"</f>
        <v>38492022042109042324936</v>
      </c>
      <c r="C905" s="8" t="s">
        <v>18</v>
      </c>
      <c r="D905" s="8" t="str">
        <f>"胡林润"</f>
        <v>胡林润</v>
      </c>
      <c r="E905" s="8" t="str">
        <f>"男"</f>
        <v>男</v>
      </c>
    </row>
    <row r="906" spans="1:5" ht="30" customHeight="1">
      <c r="A906" s="8">
        <v>903</v>
      </c>
      <c r="B906" s="8" t="str">
        <f>"38492022042109262125199"</f>
        <v>38492022042109262125199</v>
      </c>
      <c r="C906" s="8" t="s">
        <v>18</v>
      </c>
      <c r="D906" s="8" t="str">
        <f>"梁楠"</f>
        <v>梁楠</v>
      </c>
      <c r="E906" s="8" t="str">
        <f>"女"</f>
        <v>女</v>
      </c>
    </row>
    <row r="907" spans="1:5" ht="30" customHeight="1">
      <c r="A907" s="8">
        <v>904</v>
      </c>
      <c r="B907" s="8" t="str">
        <f>"38492022042109292725232"</f>
        <v>38492022042109292725232</v>
      </c>
      <c r="C907" s="8" t="s">
        <v>18</v>
      </c>
      <c r="D907" s="8" t="str">
        <f>"唐康"</f>
        <v>唐康</v>
      </c>
      <c r="E907" s="8" t="str">
        <f>"男"</f>
        <v>男</v>
      </c>
    </row>
    <row r="908" spans="1:5" ht="30" customHeight="1">
      <c r="A908" s="8">
        <v>905</v>
      </c>
      <c r="B908" s="8" t="str">
        <f>"38492022042109402925367"</f>
        <v>38492022042109402925367</v>
      </c>
      <c r="C908" s="8" t="s">
        <v>18</v>
      </c>
      <c r="D908" s="8" t="str">
        <f>"曾妃"</f>
        <v>曾妃</v>
      </c>
      <c r="E908" s="8" t="str">
        <f>"女"</f>
        <v>女</v>
      </c>
    </row>
    <row r="909" spans="1:5" ht="30" customHeight="1">
      <c r="A909" s="8">
        <v>906</v>
      </c>
      <c r="B909" s="8" t="str">
        <f>"38492022042109523225516"</f>
        <v>38492022042109523225516</v>
      </c>
      <c r="C909" s="8" t="s">
        <v>18</v>
      </c>
      <c r="D909" s="8" t="str">
        <f>"陈锴"</f>
        <v>陈锴</v>
      </c>
      <c r="E909" s="8" t="str">
        <f>"男"</f>
        <v>男</v>
      </c>
    </row>
    <row r="910" spans="1:5" ht="30" customHeight="1">
      <c r="A910" s="8">
        <v>907</v>
      </c>
      <c r="B910" s="8" t="str">
        <f>"38492022042109584925615"</f>
        <v>38492022042109584925615</v>
      </c>
      <c r="C910" s="8" t="s">
        <v>18</v>
      </c>
      <c r="D910" s="8" t="str">
        <f>"曾联妹"</f>
        <v>曾联妹</v>
      </c>
      <c r="E910" s="8" t="str">
        <f>"女"</f>
        <v>女</v>
      </c>
    </row>
    <row r="911" spans="1:5" ht="30" customHeight="1">
      <c r="A911" s="8">
        <v>908</v>
      </c>
      <c r="B911" s="8" t="str">
        <f>"38492022042110065825717"</f>
        <v>38492022042110065825717</v>
      </c>
      <c r="C911" s="8" t="s">
        <v>18</v>
      </c>
      <c r="D911" s="8" t="str">
        <f>"卢修楠"</f>
        <v>卢修楠</v>
      </c>
      <c r="E911" s="8" t="str">
        <f>"男"</f>
        <v>男</v>
      </c>
    </row>
    <row r="912" spans="1:5" ht="30" customHeight="1">
      <c r="A912" s="8">
        <v>909</v>
      </c>
      <c r="B912" s="8" t="str">
        <f>"38492022042110070725718"</f>
        <v>38492022042110070725718</v>
      </c>
      <c r="C912" s="8" t="s">
        <v>18</v>
      </c>
      <c r="D912" s="8" t="str">
        <f>"徐婉卿"</f>
        <v>徐婉卿</v>
      </c>
      <c r="E912" s="8" t="str">
        <f>"女"</f>
        <v>女</v>
      </c>
    </row>
    <row r="913" spans="1:5" ht="30" customHeight="1">
      <c r="A913" s="8">
        <v>910</v>
      </c>
      <c r="B913" s="8" t="str">
        <f>"38492022042110470526223"</f>
        <v>38492022042110470526223</v>
      </c>
      <c r="C913" s="8" t="s">
        <v>18</v>
      </c>
      <c r="D913" s="8" t="str">
        <f>"王丽媛"</f>
        <v>王丽媛</v>
      </c>
      <c r="E913" s="8" t="str">
        <f>"女"</f>
        <v>女</v>
      </c>
    </row>
    <row r="914" spans="1:5" ht="30" customHeight="1">
      <c r="A914" s="8">
        <v>911</v>
      </c>
      <c r="B914" s="8" t="str">
        <f>"38492022042111191926551"</f>
        <v>38492022042111191926551</v>
      </c>
      <c r="C914" s="8" t="s">
        <v>18</v>
      </c>
      <c r="D914" s="8" t="str">
        <f>"戴启斌"</f>
        <v>戴启斌</v>
      </c>
      <c r="E914" s="8" t="str">
        <f>"男"</f>
        <v>男</v>
      </c>
    </row>
    <row r="915" spans="1:5" ht="30" customHeight="1">
      <c r="A915" s="8">
        <v>912</v>
      </c>
      <c r="B915" s="8" t="str">
        <f>"38492022042112091926963"</f>
        <v>38492022042112091926963</v>
      </c>
      <c r="C915" s="8" t="s">
        <v>18</v>
      </c>
      <c r="D915" s="8" t="str">
        <f>"虞得水"</f>
        <v>虞得水</v>
      </c>
      <c r="E915" s="8" t="str">
        <f>"男"</f>
        <v>男</v>
      </c>
    </row>
    <row r="916" spans="1:5" ht="30" customHeight="1">
      <c r="A916" s="8">
        <v>913</v>
      </c>
      <c r="B916" s="8" t="str">
        <f>"38492022042115422728324"</f>
        <v>38492022042115422728324</v>
      </c>
      <c r="C916" s="8" t="s">
        <v>18</v>
      </c>
      <c r="D916" s="8" t="str">
        <f>"赵娜"</f>
        <v>赵娜</v>
      </c>
      <c r="E916" s="8" t="str">
        <f>"女"</f>
        <v>女</v>
      </c>
    </row>
    <row r="917" spans="1:5" ht="30" customHeight="1">
      <c r="A917" s="8">
        <v>914</v>
      </c>
      <c r="B917" s="8" t="str">
        <f>"38492022042116312828668"</f>
        <v>38492022042116312828668</v>
      </c>
      <c r="C917" s="8" t="s">
        <v>18</v>
      </c>
      <c r="D917" s="8" t="str">
        <f>"林瑞政"</f>
        <v>林瑞政</v>
      </c>
      <c r="E917" s="8" t="str">
        <f>"男"</f>
        <v>男</v>
      </c>
    </row>
    <row r="918" spans="1:5" ht="30" customHeight="1">
      <c r="A918" s="8">
        <v>915</v>
      </c>
      <c r="B918" s="8" t="str">
        <f>"38492022042116422928742"</f>
        <v>38492022042116422928742</v>
      </c>
      <c r="C918" s="8" t="s">
        <v>18</v>
      </c>
      <c r="D918" s="8" t="str">
        <f>"麦建祥"</f>
        <v>麦建祥</v>
      </c>
      <c r="E918" s="8" t="str">
        <f>"男"</f>
        <v>男</v>
      </c>
    </row>
    <row r="919" spans="1:5" ht="30" customHeight="1">
      <c r="A919" s="8">
        <v>916</v>
      </c>
      <c r="B919" s="8" t="str">
        <f>"38492022042116521528808"</f>
        <v>38492022042116521528808</v>
      </c>
      <c r="C919" s="8" t="s">
        <v>18</v>
      </c>
      <c r="D919" s="8" t="str">
        <f>"符洺睿"</f>
        <v>符洺睿</v>
      </c>
      <c r="E919" s="8" t="str">
        <f>"男"</f>
        <v>男</v>
      </c>
    </row>
    <row r="920" spans="1:5" ht="30" customHeight="1">
      <c r="A920" s="8">
        <v>917</v>
      </c>
      <c r="B920" s="8" t="str">
        <f>"38492022042118203829286"</f>
        <v>38492022042118203829286</v>
      </c>
      <c r="C920" s="8" t="s">
        <v>18</v>
      </c>
      <c r="D920" s="8" t="str">
        <f>"关业梓"</f>
        <v>关业梓</v>
      </c>
      <c r="E920" s="8" t="str">
        <f>"男"</f>
        <v>男</v>
      </c>
    </row>
    <row r="921" spans="1:5" ht="30" customHeight="1">
      <c r="A921" s="8">
        <v>918</v>
      </c>
      <c r="B921" s="8" t="str">
        <f>"38492022042120060329746"</f>
        <v>38492022042120060329746</v>
      </c>
      <c r="C921" s="8" t="s">
        <v>18</v>
      </c>
      <c r="D921" s="8" t="str">
        <f>"李娟"</f>
        <v>李娟</v>
      </c>
      <c r="E921" s="8" t="str">
        <f>"女"</f>
        <v>女</v>
      </c>
    </row>
    <row r="922" spans="1:5" ht="30" customHeight="1">
      <c r="A922" s="8">
        <v>919</v>
      </c>
      <c r="B922" s="8" t="str">
        <f>"38492022042123030230639"</f>
        <v>38492022042123030230639</v>
      </c>
      <c r="C922" s="8" t="s">
        <v>18</v>
      </c>
      <c r="D922" s="8" t="str">
        <f>"符玉婷"</f>
        <v>符玉婷</v>
      </c>
      <c r="E922" s="8" t="str">
        <f>"女"</f>
        <v>女</v>
      </c>
    </row>
    <row r="923" spans="1:5" ht="30" customHeight="1">
      <c r="A923" s="8">
        <v>920</v>
      </c>
      <c r="B923" s="8" t="str">
        <f>"38492022042200224030832"</f>
        <v>38492022042200224030832</v>
      </c>
      <c r="C923" s="8" t="s">
        <v>18</v>
      </c>
      <c r="D923" s="8" t="str">
        <f>"陈禧"</f>
        <v>陈禧</v>
      </c>
      <c r="E923" s="8" t="str">
        <f>"女"</f>
        <v>女</v>
      </c>
    </row>
    <row r="924" spans="1:5" ht="30" customHeight="1">
      <c r="A924" s="8">
        <v>921</v>
      </c>
      <c r="B924" s="8" t="str">
        <f>"38492022042204483230888"</f>
        <v>38492022042204483230888</v>
      </c>
      <c r="C924" s="8" t="s">
        <v>18</v>
      </c>
      <c r="D924" s="8" t="str">
        <f>"钟妮"</f>
        <v>钟妮</v>
      </c>
      <c r="E924" s="8" t="str">
        <f>"女"</f>
        <v>女</v>
      </c>
    </row>
    <row r="925" spans="1:5" ht="30" customHeight="1">
      <c r="A925" s="8">
        <v>922</v>
      </c>
      <c r="B925" s="8" t="str">
        <f>"38492022042209303631269"</f>
        <v>38492022042209303631269</v>
      </c>
      <c r="C925" s="8" t="s">
        <v>18</v>
      </c>
      <c r="D925" s="8" t="str">
        <f>"吴阳"</f>
        <v>吴阳</v>
      </c>
      <c r="E925" s="8" t="str">
        <f>"男"</f>
        <v>男</v>
      </c>
    </row>
    <row r="926" spans="1:5" ht="30" customHeight="1">
      <c r="A926" s="8">
        <v>923</v>
      </c>
      <c r="B926" s="8" t="str">
        <f>"38492022042209315431278"</f>
        <v>38492022042209315431278</v>
      </c>
      <c r="C926" s="8" t="s">
        <v>18</v>
      </c>
      <c r="D926" s="8" t="str">
        <f>"文秀改"</f>
        <v>文秀改</v>
      </c>
      <c r="E926" s="8" t="str">
        <f>"女"</f>
        <v>女</v>
      </c>
    </row>
    <row r="927" spans="1:5" ht="30" customHeight="1">
      <c r="A927" s="8">
        <v>924</v>
      </c>
      <c r="B927" s="8" t="str">
        <f>"38492022042210041731453"</f>
        <v>38492022042210041731453</v>
      </c>
      <c r="C927" s="8" t="s">
        <v>18</v>
      </c>
      <c r="D927" s="8" t="str">
        <f>"李冬红"</f>
        <v>李冬红</v>
      </c>
      <c r="E927" s="8" t="str">
        <f>"女"</f>
        <v>女</v>
      </c>
    </row>
    <row r="928" spans="1:5" ht="30" customHeight="1">
      <c r="A928" s="8">
        <v>925</v>
      </c>
      <c r="B928" s="8" t="str">
        <f>"38492022042210080931473"</f>
        <v>38492022042210080931473</v>
      </c>
      <c r="C928" s="8" t="s">
        <v>18</v>
      </c>
      <c r="D928" s="8" t="str">
        <f>"陈文雅"</f>
        <v>陈文雅</v>
      </c>
      <c r="E928" s="8" t="str">
        <f>"女"</f>
        <v>女</v>
      </c>
    </row>
    <row r="929" spans="1:5" ht="30" customHeight="1">
      <c r="A929" s="8">
        <v>926</v>
      </c>
      <c r="B929" s="8" t="str">
        <f>"38492022042210555831790"</f>
        <v>38492022042210555831790</v>
      </c>
      <c r="C929" s="8" t="s">
        <v>18</v>
      </c>
      <c r="D929" s="8" t="str">
        <f>"王婷"</f>
        <v>王婷</v>
      </c>
      <c r="E929" s="8" t="str">
        <f>"女"</f>
        <v>女</v>
      </c>
    </row>
    <row r="930" spans="1:5" ht="30" customHeight="1">
      <c r="A930" s="8">
        <v>927</v>
      </c>
      <c r="B930" s="8" t="str">
        <f>"38492022042211232732116"</f>
        <v>38492022042211232732116</v>
      </c>
      <c r="C930" s="8" t="s">
        <v>18</v>
      </c>
      <c r="D930" s="8" t="str">
        <f>"韦冰冰"</f>
        <v>韦冰冰</v>
      </c>
      <c r="E930" s="8" t="str">
        <f>"女"</f>
        <v>女</v>
      </c>
    </row>
    <row r="931" spans="1:5" ht="30" customHeight="1">
      <c r="A931" s="8">
        <v>928</v>
      </c>
      <c r="B931" s="8" t="str">
        <f>"38492022042213100932734"</f>
        <v>38492022042213100932734</v>
      </c>
      <c r="C931" s="8" t="s">
        <v>18</v>
      </c>
      <c r="D931" s="8" t="str">
        <f>"符运辉"</f>
        <v>符运辉</v>
      </c>
      <c r="E931" s="8" t="str">
        <f>"男"</f>
        <v>男</v>
      </c>
    </row>
    <row r="932" spans="1:5" ht="30" customHeight="1">
      <c r="A932" s="8">
        <v>929</v>
      </c>
      <c r="B932" s="8" t="str">
        <f>"38492022042214022332907"</f>
        <v>38492022042214022332907</v>
      </c>
      <c r="C932" s="8" t="s">
        <v>18</v>
      </c>
      <c r="D932" s="8" t="str">
        <f>"高能丽"</f>
        <v>高能丽</v>
      </c>
      <c r="E932" s="8" t="str">
        <f>"女"</f>
        <v>女</v>
      </c>
    </row>
    <row r="933" spans="1:5" ht="30" customHeight="1">
      <c r="A933" s="8">
        <v>930</v>
      </c>
      <c r="B933" s="8" t="str">
        <f>"38492022042214140832946"</f>
        <v>38492022042214140832946</v>
      </c>
      <c r="C933" s="8" t="s">
        <v>18</v>
      </c>
      <c r="D933" s="8" t="str">
        <f>"陈学随"</f>
        <v>陈学随</v>
      </c>
      <c r="E933" s="8" t="str">
        <f>"男"</f>
        <v>男</v>
      </c>
    </row>
    <row r="934" spans="1:5" ht="30" customHeight="1">
      <c r="A934" s="8">
        <v>931</v>
      </c>
      <c r="B934" s="8" t="str">
        <f>"38492022042214152732950"</f>
        <v>38492022042214152732950</v>
      </c>
      <c r="C934" s="8" t="s">
        <v>18</v>
      </c>
      <c r="D934" s="8" t="str">
        <f>"羊春燕"</f>
        <v>羊春燕</v>
      </c>
      <c r="E934" s="8" t="str">
        <f>"女"</f>
        <v>女</v>
      </c>
    </row>
    <row r="935" spans="1:5" ht="30" customHeight="1">
      <c r="A935" s="8">
        <v>932</v>
      </c>
      <c r="B935" s="8" t="str">
        <f>"38492022042214551733139"</f>
        <v>38492022042214551733139</v>
      </c>
      <c r="C935" s="8" t="s">
        <v>18</v>
      </c>
      <c r="D935" s="8" t="str">
        <f>"蔡辉龙"</f>
        <v>蔡辉龙</v>
      </c>
      <c r="E935" s="8" t="str">
        <f>"男"</f>
        <v>男</v>
      </c>
    </row>
    <row r="936" spans="1:5" ht="30" customHeight="1">
      <c r="A936" s="8">
        <v>933</v>
      </c>
      <c r="B936" s="8" t="str">
        <f>"38492022042215300833347"</f>
        <v>38492022042215300833347</v>
      </c>
      <c r="C936" s="8" t="s">
        <v>18</v>
      </c>
      <c r="D936" s="8" t="str">
        <f>"梁育瑄"</f>
        <v>梁育瑄</v>
      </c>
      <c r="E936" s="8" t="str">
        <f>"男"</f>
        <v>男</v>
      </c>
    </row>
    <row r="937" spans="1:5" ht="30" customHeight="1">
      <c r="A937" s="8">
        <v>934</v>
      </c>
      <c r="B937" s="8" t="str">
        <f>"38492022042215434533425"</f>
        <v>38492022042215434533425</v>
      </c>
      <c r="C937" s="8" t="s">
        <v>18</v>
      </c>
      <c r="D937" s="8" t="str">
        <f>"王艺斌"</f>
        <v>王艺斌</v>
      </c>
      <c r="E937" s="8" t="str">
        <f>"男"</f>
        <v>男</v>
      </c>
    </row>
    <row r="938" spans="1:5" ht="30" customHeight="1">
      <c r="A938" s="8">
        <v>935</v>
      </c>
      <c r="B938" s="8" t="str">
        <f>"38492022042218493334324"</f>
        <v>38492022042218493334324</v>
      </c>
      <c r="C938" s="8" t="s">
        <v>18</v>
      </c>
      <c r="D938" s="8" t="str">
        <f>"李莉"</f>
        <v>李莉</v>
      </c>
      <c r="E938" s="8" t="str">
        <f>"女"</f>
        <v>女</v>
      </c>
    </row>
    <row r="939" spans="1:5" ht="30" customHeight="1">
      <c r="A939" s="8">
        <v>936</v>
      </c>
      <c r="B939" s="8" t="str">
        <f>"38492022042220382934537"</f>
        <v>38492022042220382934537</v>
      </c>
      <c r="C939" s="8" t="s">
        <v>18</v>
      </c>
      <c r="D939" s="8" t="str">
        <f>"裴洪智"</f>
        <v>裴洪智</v>
      </c>
      <c r="E939" s="8" t="str">
        <f aca="true" t="shared" si="73" ref="E939:E945">"男"</f>
        <v>男</v>
      </c>
    </row>
    <row r="940" spans="1:5" ht="30" customHeight="1">
      <c r="A940" s="8">
        <v>937</v>
      </c>
      <c r="B940" s="8" t="str">
        <f>"38492022042222182534729"</f>
        <v>38492022042222182534729</v>
      </c>
      <c r="C940" s="8" t="s">
        <v>18</v>
      </c>
      <c r="D940" s="8" t="str">
        <f>"谢邦权"</f>
        <v>谢邦权</v>
      </c>
      <c r="E940" s="8" t="str">
        <f t="shared" si="73"/>
        <v>男</v>
      </c>
    </row>
    <row r="941" spans="1:5" ht="30" customHeight="1">
      <c r="A941" s="8">
        <v>938</v>
      </c>
      <c r="B941" s="8" t="str">
        <f>"38492022042222243634740"</f>
        <v>38492022042222243634740</v>
      </c>
      <c r="C941" s="8" t="s">
        <v>18</v>
      </c>
      <c r="D941" s="8" t="str">
        <f>"黄澳"</f>
        <v>黄澳</v>
      </c>
      <c r="E941" s="8" t="str">
        <f t="shared" si="73"/>
        <v>男</v>
      </c>
    </row>
    <row r="942" spans="1:5" ht="30" customHeight="1">
      <c r="A942" s="8">
        <v>939</v>
      </c>
      <c r="B942" s="8" t="str">
        <f>"38492022042300210334845"</f>
        <v>38492022042300210334845</v>
      </c>
      <c r="C942" s="8" t="s">
        <v>18</v>
      </c>
      <c r="D942" s="8" t="str">
        <f>"吴挺林"</f>
        <v>吴挺林</v>
      </c>
      <c r="E942" s="8" t="str">
        <f t="shared" si="73"/>
        <v>男</v>
      </c>
    </row>
    <row r="943" spans="1:5" ht="30" customHeight="1">
      <c r="A943" s="8">
        <v>940</v>
      </c>
      <c r="B943" s="8" t="str">
        <f>"38492022042300454634859"</f>
        <v>38492022042300454634859</v>
      </c>
      <c r="C943" s="8" t="s">
        <v>18</v>
      </c>
      <c r="D943" s="8" t="str">
        <f>"彭旭"</f>
        <v>彭旭</v>
      </c>
      <c r="E943" s="8" t="str">
        <f t="shared" si="73"/>
        <v>男</v>
      </c>
    </row>
    <row r="944" spans="1:5" ht="30" customHeight="1">
      <c r="A944" s="8">
        <v>941</v>
      </c>
      <c r="B944" s="8" t="str">
        <f>"38492022042309402834970"</f>
        <v>38492022042309402834970</v>
      </c>
      <c r="C944" s="8" t="s">
        <v>18</v>
      </c>
      <c r="D944" s="8" t="str">
        <f>"陈光彪"</f>
        <v>陈光彪</v>
      </c>
      <c r="E944" s="8" t="str">
        <f t="shared" si="73"/>
        <v>男</v>
      </c>
    </row>
    <row r="945" spans="1:5" ht="30" customHeight="1">
      <c r="A945" s="8">
        <v>942</v>
      </c>
      <c r="B945" s="8" t="str">
        <f>"38492022042311090135087"</f>
        <v>38492022042311090135087</v>
      </c>
      <c r="C945" s="8" t="s">
        <v>18</v>
      </c>
      <c r="D945" s="8" t="str">
        <f>"莫超"</f>
        <v>莫超</v>
      </c>
      <c r="E945" s="8" t="str">
        <f t="shared" si="73"/>
        <v>男</v>
      </c>
    </row>
    <row r="946" spans="1:5" ht="30" customHeight="1">
      <c r="A946" s="8">
        <v>943</v>
      </c>
      <c r="B946" s="8" t="str">
        <f>"38492022042312150235185"</f>
        <v>38492022042312150235185</v>
      </c>
      <c r="C946" s="8" t="s">
        <v>18</v>
      </c>
      <c r="D946" s="8" t="str">
        <f>"郑若珍"</f>
        <v>郑若珍</v>
      </c>
      <c r="E946" s="8" t="str">
        <f>"女"</f>
        <v>女</v>
      </c>
    </row>
    <row r="947" spans="1:5" ht="30" customHeight="1">
      <c r="A947" s="8">
        <v>944</v>
      </c>
      <c r="B947" s="8" t="str">
        <f>"38492022042315373135433"</f>
        <v>38492022042315373135433</v>
      </c>
      <c r="C947" s="8" t="s">
        <v>18</v>
      </c>
      <c r="D947" s="8" t="str">
        <f>"陈玺任"</f>
        <v>陈玺任</v>
      </c>
      <c r="E947" s="8" t="str">
        <f>"男"</f>
        <v>男</v>
      </c>
    </row>
    <row r="948" spans="1:5" ht="30" customHeight="1">
      <c r="A948" s="8">
        <v>945</v>
      </c>
      <c r="B948" s="8" t="str">
        <f>"38492022042318370335657"</f>
        <v>38492022042318370335657</v>
      </c>
      <c r="C948" s="8" t="s">
        <v>18</v>
      </c>
      <c r="D948" s="8" t="str">
        <f>"王茹"</f>
        <v>王茹</v>
      </c>
      <c r="E948" s="8" t="str">
        <f>"女"</f>
        <v>女</v>
      </c>
    </row>
    <row r="949" spans="1:5" ht="30" customHeight="1">
      <c r="A949" s="8">
        <v>946</v>
      </c>
      <c r="B949" s="8" t="str">
        <f>"38492022042319535035731"</f>
        <v>38492022042319535035731</v>
      </c>
      <c r="C949" s="8" t="s">
        <v>18</v>
      </c>
      <c r="D949" s="8" t="str">
        <f>"李基鹏"</f>
        <v>李基鹏</v>
      </c>
      <c r="E949" s="8" t="str">
        <f>"男"</f>
        <v>男</v>
      </c>
    </row>
    <row r="950" spans="1:5" ht="30" customHeight="1">
      <c r="A950" s="8">
        <v>947</v>
      </c>
      <c r="B950" s="8" t="str">
        <f>"38492022042321243435872"</f>
        <v>38492022042321243435872</v>
      </c>
      <c r="C950" s="8" t="s">
        <v>18</v>
      </c>
      <c r="D950" s="8" t="str">
        <f>"朱一琳"</f>
        <v>朱一琳</v>
      </c>
      <c r="E950" s="8" t="str">
        <f>"女"</f>
        <v>女</v>
      </c>
    </row>
    <row r="951" spans="1:5" ht="30" customHeight="1">
      <c r="A951" s="8">
        <v>948</v>
      </c>
      <c r="B951" s="8" t="str">
        <f>"38492022042322004035938"</f>
        <v>38492022042322004035938</v>
      </c>
      <c r="C951" s="8" t="s">
        <v>18</v>
      </c>
      <c r="D951" s="8" t="str">
        <f>"李芳娜"</f>
        <v>李芳娜</v>
      </c>
      <c r="E951" s="8" t="str">
        <f>"女"</f>
        <v>女</v>
      </c>
    </row>
    <row r="952" spans="1:5" ht="30" customHeight="1">
      <c r="A952" s="8">
        <v>949</v>
      </c>
      <c r="B952" s="8" t="str">
        <f>"38492022042322312335985"</f>
        <v>38492022042322312335985</v>
      </c>
      <c r="C952" s="8" t="s">
        <v>18</v>
      </c>
      <c r="D952" s="8" t="str">
        <f>"王梅妹"</f>
        <v>王梅妹</v>
      </c>
      <c r="E952" s="8" t="str">
        <f>"女"</f>
        <v>女</v>
      </c>
    </row>
    <row r="953" spans="1:5" ht="30" customHeight="1">
      <c r="A953" s="8">
        <v>950</v>
      </c>
      <c r="B953" s="8" t="str">
        <f>"38492022042409383636327"</f>
        <v>38492022042409383636327</v>
      </c>
      <c r="C953" s="8" t="s">
        <v>18</v>
      </c>
      <c r="D953" s="8" t="str">
        <f>"骆美明"</f>
        <v>骆美明</v>
      </c>
      <c r="E953" s="8" t="str">
        <f>"女"</f>
        <v>女</v>
      </c>
    </row>
    <row r="954" spans="1:5" ht="30" customHeight="1">
      <c r="A954" s="8">
        <v>951</v>
      </c>
      <c r="B954" s="8" t="str">
        <f>"38492022042409420336331"</f>
        <v>38492022042409420336331</v>
      </c>
      <c r="C954" s="8" t="s">
        <v>18</v>
      </c>
      <c r="D954" s="8" t="str">
        <f>"王卓铭"</f>
        <v>王卓铭</v>
      </c>
      <c r="E954" s="8" t="str">
        <f aca="true" t="shared" si="74" ref="E954:E959">"男"</f>
        <v>男</v>
      </c>
    </row>
    <row r="955" spans="1:5" ht="30" customHeight="1">
      <c r="A955" s="8">
        <v>952</v>
      </c>
      <c r="B955" s="8" t="str">
        <f>"38492022042411590036597"</f>
        <v>38492022042411590036597</v>
      </c>
      <c r="C955" s="8" t="s">
        <v>18</v>
      </c>
      <c r="D955" s="8" t="str">
        <f>"谢伟绩"</f>
        <v>谢伟绩</v>
      </c>
      <c r="E955" s="8" t="str">
        <f t="shared" si="74"/>
        <v>男</v>
      </c>
    </row>
    <row r="956" spans="1:5" ht="30" customHeight="1">
      <c r="A956" s="8">
        <v>953</v>
      </c>
      <c r="B956" s="8" t="str">
        <f>"38492022042415010636859"</f>
        <v>38492022042415010636859</v>
      </c>
      <c r="C956" s="8" t="s">
        <v>18</v>
      </c>
      <c r="D956" s="8" t="str">
        <f>"林唐子"</f>
        <v>林唐子</v>
      </c>
      <c r="E956" s="8" t="str">
        <f t="shared" si="74"/>
        <v>男</v>
      </c>
    </row>
    <row r="957" spans="1:5" ht="30" customHeight="1">
      <c r="A957" s="8">
        <v>954</v>
      </c>
      <c r="B957" s="8" t="str">
        <f>"38492022042415033436860"</f>
        <v>38492022042415033436860</v>
      </c>
      <c r="C957" s="8" t="s">
        <v>18</v>
      </c>
      <c r="D957" s="8" t="str">
        <f>"吉和南"</f>
        <v>吉和南</v>
      </c>
      <c r="E957" s="8" t="str">
        <f t="shared" si="74"/>
        <v>男</v>
      </c>
    </row>
    <row r="958" spans="1:5" ht="30" customHeight="1">
      <c r="A958" s="8">
        <v>955</v>
      </c>
      <c r="B958" s="8" t="str">
        <f>"38492022042415300836914"</f>
        <v>38492022042415300836914</v>
      </c>
      <c r="C958" s="8" t="s">
        <v>18</v>
      </c>
      <c r="D958" s="8" t="str">
        <f>"利声柱"</f>
        <v>利声柱</v>
      </c>
      <c r="E958" s="8" t="str">
        <f t="shared" si="74"/>
        <v>男</v>
      </c>
    </row>
    <row r="959" spans="1:5" ht="30" customHeight="1">
      <c r="A959" s="8">
        <v>956</v>
      </c>
      <c r="B959" s="8" t="str">
        <f>"38492022042422591437693"</f>
        <v>38492022042422591437693</v>
      </c>
      <c r="C959" s="8" t="s">
        <v>18</v>
      </c>
      <c r="D959" s="8" t="str">
        <f>"陈小朝"</f>
        <v>陈小朝</v>
      </c>
      <c r="E959" s="8" t="str">
        <f t="shared" si="74"/>
        <v>男</v>
      </c>
    </row>
    <row r="960" spans="1:5" ht="30" customHeight="1">
      <c r="A960" s="8">
        <v>957</v>
      </c>
      <c r="B960" s="8" t="str">
        <f>"38492022042423200137719"</f>
        <v>38492022042423200137719</v>
      </c>
      <c r="C960" s="8" t="s">
        <v>18</v>
      </c>
      <c r="D960" s="8" t="str">
        <f>"黎月桂"</f>
        <v>黎月桂</v>
      </c>
      <c r="E960" s="8" t="str">
        <f>"女"</f>
        <v>女</v>
      </c>
    </row>
    <row r="961" spans="1:5" ht="30" customHeight="1">
      <c r="A961" s="8">
        <v>958</v>
      </c>
      <c r="B961" s="8" t="str">
        <f>"38492022042509565337934"</f>
        <v>38492022042509565337934</v>
      </c>
      <c r="C961" s="8" t="s">
        <v>18</v>
      </c>
      <c r="D961" s="8" t="str">
        <f>"蔡子成"</f>
        <v>蔡子成</v>
      </c>
      <c r="E961" s="8" t="str">
        <f>"男"</f>
        <v>男</v>
      </c>
    </row>
    <row r="962" spans="1:5" ht="30" customHeight="1">
      <c r="A962" s="8">
        <v>959</v>
      </c>
      <c r="B962" s="8" t="str">
        <f>"38492022042509590937942"</f>
        <v>38492022042509590937942</v>
      </c>
      <c r="C962" s="8" t="s">
        <v>18</v>
      </c>
      <c r="D962" s="8" t="str">
        <f>"羊丽红"</f>
        <v>羊丽红</v>
      </c>
      <c r="E962" s="8" t="str">
        <f>"女"</f>
        <v>女</v>
      </c>
    </row>
    <row r="963" spans="1:5" ht="30" customHeight="1">
      <c r="A963" s="8">
        <v>960</v>
      </c>
      <c r="B963" s="8" t="str">
        <f>"38492022042513181238217"</f>
        <v>38492022042513181238217</v>
      </c>
      <c r="C963" s="8" t="s">
        <v>18</v>
      </c>
      <c r="D963" s="8" t="str">
        <f>"黄春椰"</f>
        <v>黄春椰</v>
      </c>
      <c r="E963" s="8" t="str">
        <f>"女"</f>
        <v>女</v>
      </c>
    </row>
    <row r="964" spans="1:5" ht="30" customHeight="1">
      <c r="A964" s="8">
        <v>961</v>
      </c>
      <c r="B964" s="8" t="str">
        <f>"38492022042517114038556"</f>
        <v>38492022042517114038556</v>
      </c>
      <c r="C964" s="8" t="s">
        <v>18</v>
      </c>
      <c r="D964" s="8" t="str">
        <f>"刘桂玲"</f>
        <v>刘桂玲</v>
      </c>
      <c r="E964" s="8" t="str">
        <f>"女"</f>
        <v>女</v>
      </c>
    </row>
    <row r="965" spans="1:5" ht="30" customHeight="1">
      <c r="A965" s="8">
        <v>962</v>
      </c>
      <c r="B965" s="8" t="str">
        <f>"38492022042517204838570"</f>
        <v>38492022042517204838570</v>
      </c>
      <c r="C965" s="8" t="s">
        <v>18</v>
      </c>
      <c r="D965" s="8" t="str">
        <f>"符含浓"</f>
        <v>符含浓</v>
      </c>
      <c r="E965" s="8" t="str">
        <f>"男"</f>
        <v>男</v>
      </c>
    </row>
    <row r="966" spans="1:5" ht="30" customHeight="1">
      <c r="A966" s="8">
        <v>963</v>
      </c>
      <c r="B966" s="8" t="str">
        <f>"38492022042518045138616"</f>
        <v>38492022042518045138616</v>
      </c>
      <c r="C966" s="8" t="s">
        <v>18</v>
      </c>
      <c r="D966" s="8" t="str">
        <f>"张思思"</f>
        <v>张思思</v>
      </c>
      <c r="E966" s="8" t="str">
        <f>"女"</f>
        <v>女</v>
      </c>
    </row>
    <row r="967" spans="1:5" ht="30" customHeight="1">
      <c r="A967" s="8">
        <v>964</v>
      </c>
      <c r="B967" s="8" t="str">
        <f>"38492022042520381338793"</f>
        <v>38492022042520381338793</v>
      </c>
      <c r="C967" s="8" t="s">
        <v>18</v>
      </c>
      <c r="D967" s="8" t="str">
        <f>"林小蕾"</f>
        <v>林小蕾</v>
      </c>
      <c r="E967" s="8" t="str">
        <f>"女"</f>
        <v>女</v>
      </c>
    </row>
    <row r="968" spans="1:5" ht="30" customHeight="1">
      <c r="A968" s="8">
        <v>965</v>
      </c>
      <c r="B968" s="8" t="str">
        <f>"38492022042521510638898"</f>
        <v>38492022042521510638898</v>
      </c>
      <c r="C968" s="8" t="s">
        <v>18</v>
      </c>
      <c r="D968" s="8" t="str">
        <f>"林诗远"</f>
        <v>林诗远</v>
      </c>
      <c r="E968" s="8" t="str">
        <f>"男"</f>
        <v>男</v>
      </c>
    </row>
    <row r="969" spans="1:5" ht="30" customHeight="1">
      <c r="A969" s="8">
        <v>966</v>
      </c>
      <c r="B969" s="8" t="str">
        <f>"38492022042521590438909"</f>
        <v>38492022042521590438909</v>
      </c>
      <c r="C969" s="8" t="s">
        <v>18</v>
      </c>
      <c r="D969" s="8" t="str">
        <f>"符俊鸿"</f>
        <v>符俊鸿</v>
      </c>
      <c r="E969" s="8" t="str">
        <f>"男"</f>
        <v>男</v>
      </c>
    </row>
    <row r="970" spans="1:5" ht="30" customHeight="1">
      <c r="A970" s="8">
        <v>967</v>
      </c>
      <c r="B970" s="8" t="str">
        <f>"38492022042523124439011"</f>
        <v>38492022042523124439011</v>
      </c>
      <c r="C970" s="8" t="s">
        <v>18</v>
      </c>
      <c r="D970" s="8" t="str">
        <f>"王诣洋"</f>
        <v>王诣洋</v>
      </c>
      <c r="E970" s="8" t="str">
        <f>"男"</f>
        <v>男</v>
      </c>
    </row>
    <row r="971" spans="1:5" ht="30" customHeight="1">
      <c r="A971" s="8">
        <v>968</v>
      </c>
      <c r="B971" s="8" t="str">
        <f>"38492022042523433939037"</f>
        <v>38492022042523433939037</v>
      </c>
      <c r="C971" s="8" t="s">
        <v>18</v>
      </c>
      <c r="D971" s="8" t="str">
        <f>"严凌峰"</f>
        <v>严凌峰</v>
      </c>
      <c r="E971" s="8" t="str">
        <f>"男"</f>
        <v>男</v>
      </c>
    </row>
    <row r="972" spans="1:5" ht="30" customHeight="1">
      <c r="A972" s="8">
        <v>969</v>
      </c>
      <c r="B972" s="8" t="str">
        <f>"38492022042610551539343"</f>
        <v>38492022042610551539343</v>
      </c>
      <c r="C972" s="8" t="s">
        <v>18</v>
      </c>
      <c r="D972" s="8" t="str">
        <f>"何金菊"</f>
        <v>何金菊</v>
      </c>
      <c r="E972" s="8" t="str">
        <f>"女"</f>
        <v>女</v>
      </c>
    </row>
    <row r="973" spans="1:5" ht="30" customHeight="1">
      <c r="A973" s="8">
        <v>970</v>
      </c>
      <c r="B973" s="8" t="str">
        <f>"38492022042613070239524"</f>
        <v>38492022042613070239524</v>
      </c>
      <c r="C973" s="8" t="s">
        <v>18</v>
      </c>
      <c r="D973" s="8" t="str">
        <f>"黄台威"</f>
        <v>黄台威</v>
      </c>
      <c r="E973" s="8" t="str">
        <f>"男"</f>
        <v>男</v>
      </c>
    </row>
    <row r="974" spans="1:5" ht="30" customHeight="1">
      <c r="A974" s="8">
        <v>971</v>
      </c>
      <c r="B974" s="8" t="str">
        <f>"38492022042613411339556"</f>
        <v>38492022042613411339556</v>
      </c>
      <c r="C974" s="8" t="s">
        <v>18</v>
      </c>
      <c r="D974" s="8" t="str">
        <f>"范镇荣"</f>
        <v>范镇荣</v>
      </c>
      <c r="E974" s="8" t="str">
        <f>"男"</f>
        <v>男</v>
      </c>
    </row>
    <row r="975" spans="1:5" ht="30" customHeight="1">
      <c r="A975" s="8">
        <v>972</v>
      </c>
      <c r="B975" s="8" t="str">
        <f>"38492022042614570539625"</f>
        <v>38492022042614570539625</v>
      </c>
      <c r="C975" s="8" t="s">
        <v>18</v>
      </c>
      <c r="D975" s="8" t="str">
        <f>"林铃"</f>
        <v>林铃</v>
      </c>
      <c r="E975" s="8" t="str">
        <f aca="true" t="shared" si="75" ref="E975:E980">"女"</f>
        <v>女</v>
      </c>
    </row>
    <row r="976" spans="1:5" ht="30" customHeight="1">
      <c r="A976" s="8">
        <v>973</v>
      </c>
      <c r="B976" s="8" t="str">
        <f>"38492022042615255739690"</f>
        <v>38492022042615255739690</v>
      </c>
      <c r="C976" s="8" t="s">
        <v>18</v>
      </c>
      <c r="D976" s="8" t="str">
        <f>"王海姑"</f>
        <v>王海姑</v>
      </c>
      <c r="E976" s="8" t="str">
        <f t="shared" si="75"/>
        <v>女</v>
      </c>
    </row>
    <row r="977" spans="1:5" ht="30" customHeight="1">
      <c r="A977" s="8">
        <v>974</v>
      </c>
      <c r="B977" s="8" t="str">
        <f>"38492022042615551239744"</f>
        <v>38492022042615551239744</v>
      </c>
      <c r="C977" s="8" t="s">
        <v>18</v>
      </c>
      <c r="D977" s="8" t="str">
        <f>"吴佳茹"</f>
        <v>吴佳茹</v>
      </c>
      <c r="E977" s="8" t="str">
        <f t="shared" si="75"/>
        <v>女</v>
      </c>
    </row>
    <row r="978" spans="1:5" ht="30" customHeight="1">
      <c r="A978" s="8">
        <v>975</v>
      </c>
      <c r="B978" s="8" t="str">
        <f>"38492022042709011040641"</f>
        <v>38492022042709011040641</v>
      </c>
      <c r="C978" s="8" t="s">
        <v>18</v>
      </c>
      <c r="D978" s="8" t="str">
        <f>"王梦琪"</f>
        <v>王梦琪</v>
      </c>
      <c r="E978" s="8" t="str">
        <f t="shared" si="75"/>
        <v>女</v>
      </c>
    </row>
    <row r="979" spans="1:5" ht="30" customHeight="1">
      <c r="A979" s="8">
        <v>976</v>
      </c>
      <c r="B979" s="8" t="str">
        <f>"38492022042710462741958"</f>
        <v>38492022042710462741958</v>
      </c>
      <c r="C979" s="8" t="s">
        <v>18</v>
      </c>
      <c r="D979" s="8" t="str">
        <f>"莫慧陈"</f>
        <v>莫慧陈</v>
      </c>
      <c r="E979" s="8" t="str">
        <f t="shared" si="75"/>
        <v>女</v>
      </c>
    </row>
    <row r="980" spans="1:5" ht="30" customHeight="1">
      <c r="A980" s="8">
        <v>977</v>
      </c>
      <c r="B980" s="8" t="str">
        <f>"38492022042714505843587"</f>
        <v>38492022042714505843587</v>
      </c>
      <c r="C980" s="8" t="s">
        <v>18</v>
      </c>
      <c r="D980" s="8" t="str">
        <f>"郭秀容"</f>
        <v>郭秀容</v>
      </c>
      <c r="E980" s="8" t="str">
        <f t="shared" si="75"/>
        <v>女</v>
      </c>
    </row>
    <row r="981" spans="1:5" ht="30" customHeight="1">
      <c r="A981" s="8">
        <v>978</v>
      </c>
      <c r="B981" s="8" t="str">
        <f>"38492022042715131143726"</f>
        <v>38492022042715131143726</v>
      </c>
      <c r="C981" s="8" t="s">
        <v>18</v>
      </c>
      <c r="D981" s="8" t="str">
        <f>"李春明"</f>
        <v>李春明</v>
      </c>
      <c r="E981" s="8" t="str">
        <f>"男"</f>
        <v>男</v>
      </c>
    </row>
    <row r="982" spans="1:5" ht="30" customHeight="1">
      <c r="A982" s="8">
        <v>979</v>
      </c>
      <c r="B982" s="8" t="str">
        <f>"38492022042715192543769"</f>
        <v>38492022042715192543769</v>
      </c>
      <c r="C982" s="8" t="s">
        <v>18</v>
      </c>
      <c r="D982" s="8" t="str">
        <f>"吴日萍"</f>
        <v>吴日萍</v>
      </c>
      <c r="E982" s="8" t="str">
        <f aca="true" t="shared" si="76" ref="E982:E990">"女"</f>
        <v>女</v>
      </c>
    </row>
    <row r="983" spans="1:5" ht="30" customHeight="1">
      <c r="A983" s="8">
        <v>980</v>
      </c>
      <c r="B983" s="8" t="str">
        <f>"38492022042109220125144"</f>
        <v>38492022042109220125144</v>
      </c>
      <c r="C983" s="8" t="s">
        <v>19</v>
      </c>
      <c r="D983" s="8" t="str">
        <f>"唐淑颖"</f>
        <v>唐淑颖</v>
      </c>
      <c r="E983" s="8" t="str">
        <f t="shared" si="76"/>
        <v>女</v>
      </c>
    </row>
    <row r="984" spans="1:5" ht="30" customHeight="1">
      <c r="A984" s="8">
        <v>981</v>
      </c>
      <c r="B984" s="8" t="str">
        <f>"38492022042109335525286"</f>
        <v>38492022042109335525286</v>
      </c>
      <c r="C984" s="8" t="s">
        <v>19</v>
      </c>
      <c r="D984" s="8" t="str">
        <f>"王佳佳"</f>
        <v>王佳佳</v>
      </c>
      <c r="E984" s="8" t="str">
        <f t="shared" si="76"/>
        <v>女</v>
      </c>
    </row>
    <row r="985" spans="1:5" ht="30" customHeight="1">
      <c r="A985" s="8">
        <v>982</v>
      </c>
      <c r="B985" s="8" t="str">
        <f>"38492022042109345125307"</f>
        <v>38492022042109345125307</v>
      </c>
      <c r="C985" s="8" t="s">
        <v>19</v>
      </c>
      <c r="D985" s="8" t="str">
        <f>"王小倩"</f>
        <v>王小倩</v>
      </c>
      <c r="E985" s="8" t="str">
        <f t="shared" si="76"/>
        <v>女</v>
      </c>
    </row>
    <row r="986" spans="1:5" ht="30" customHeight="1">
      <c r="A986" s="8">
        <v>983</v>
      </c>
      <c r="B986" s="8" t="str">
        <f>"38492022042110284425997"</f>
        <v>38492022042110284425997</v>
      </c>
      <c r="C986" s="8" t="s">
        <v>19</v>
      </c>
      <c r="D986" s="8" t="str">
        <f>"陈文丽"</f>
        <v>陈文丽</v>
      </c>
      <c r="E986" s="8" t="str">
        <f t="shared" si="76"/>
        <v>女</v>
      </c>
    </row>
    <row r="987" spans="1:5" ht="30" customHeight="1">
      <c r="A987" s="8">
        <v>984</v>
      </c>
      <c r="B987" s="8" t="str">
        <f>"38492022042110402726135"</f>
        <v>38492022042110402726135</v>
      </c>
      <c r="C987" s="8" t="s">
        <v>19</v>
      </c>
      <c r="D987" s="8" t="str">
        <f>"温婷婷"</f>
        <v>温婷婷</v>
      </c>
      <c r="E987" s="8" t="str">
        <f t="shared" si="76"/>
        <v>女</v>
      </c>
    </row>
    <row r="988" spans="1:5" ht="30" customHeight="1">
      <c r="A988" s="8">
        <v>985</v>
      </c>
      <c r="B988" s="8" t="str">
        <f>"38492022042110485426243"</f>
        <v>38492022042110485426243</v>
      </c>
      <c r="C988" s="8" t="s">
        <v>19</v>
      </c>
      <c r="D988" s="8" t="str">
        <f>"胡嘉"</f>
        <v>胡嘉</v>
      </c>
      <c r="E988" s="8" t="str">
        <f t="shared" si="76"/>
        <v>女</v>
      </c>
    </row>
    <row r="989" spans="1:5" ht="30" customHeight="1">
      <c r="A989" s="8">
        <v>986</v>
      </c>
      <c r="B989" s="8" t="str">
        <f>"38492022042113074527329"</f>
        <v>38492022042113074527329</v>
      </c>
      <c r="C989" s="8" t="s">
        <v>19</v>
      </c>
      <c r="D989" s="8" t="str">
        <f>"王秋月"</f>
        <v>王秋月</v>
      </c>
      <c r="E989" s="8" t="str">
        <f t="shared" si="76"/>
        <v>女</v>
      </c>
    </row>
    <row r="990" spans="1:5" ht="30" customHeight="1">
      <c r="A990" s="8">
        <v>987</v>
      </c>
      <c r="B990" s="8" t="str">
        <f>"38492022042114104227598"</f>
        <v>38492022042114104227598</v>
      </c>
      <c r="C990" s="8" t="s">
        <v>19</v>
      </c>
      <c r="D990" s="8" t="str">
        <f>"符彩形"</f>
        <v>符彩形</v>
      </c>
      <c r="E990" s="8" t="str">
        <f t="shared" si="76"/>
        <v>女</v>
      </c>
    </row>
    <row r="991" spans="1:5" ht="30" customHeight="1">
      <c r="A991" s="8">
        <v>988</v>
      </c>
      <c r="B991" s="8" t="str">
        <f>"38492022042114535727912"</f>
        <v>38492022042114535727912</v>
      </c>
      <c r="C991" s="8" t="s">
        <v>19</v>
      </c>
      <c r="D991" s="8" t="str">
        <f>"许善匀"</f>
        <v>许善匀</v>
      </c>
      <c r="E991" s="8" t="str">
        <f>"男"</f>
        <v>男</v>
      </c>
    </row>
    <row r="992" spans="1:5" ht="30" customHeight="1">
      <c r="A992" s="8">
        <v>989</v>
      </c>
      <c r="B992" s="8" t="str">
        <f>"38492022042115134628090"</f>
        <v>38492022042115134628090</v>
      </c>
      <c r="C992" s="8" t="s">
        <v>19</v>
      </c>
      <c r="D992" s="8" t="str">
        <f>"黄倩倩"</f>
        <v>黄倩倩</v>
      </c>
      <c r="E992" s="8" t="str">
        <f>"女"</f>
        <v>女</v>
      </c>
    </row>
    <row r="993" spans="1:5" ht="30" customHeight="1">
      <c r="A993" s="8">
        <v>990</v>
      </c>
      <c r="B993" s="8" t="str">
        <f>"38492022042115250828191"</f>
        <v>38492022042115250828191</v>
      </c>
      <c r="C993" s="8" t="s">
        <v>19</v>
      </c>
      <c r="D993" s="8" t="str">
        <f>"孙春慧"</f>
        <v>孙春慧</v>
      </c>
      <c r="E993" s="8" t="str">
        <f>"女"</f>
        <v>女</v>
      </c>
    </row>
    <row r="994" spans="1:5" ht="30" customHeight="1">
      <c r="A994" s="8">
        <v>991</v>
      </c>
      <c r="B994" s="8" t="str">
        <f>"38492022042115385128299"</f>
        <v>38492022042115385128299</v>
      </c>
      <c r="C994" s="8" t="s">
        <v>19</v>
      </c>
      <c r="D994" s="8" t="str">
        <f>"胡雪儿"</f>
        <v>胡雪儿</v>
      </c>
      <c r="E994" s="8" t="str">
        <f>"女"</f>
        <v>女</v>
      </c>
    </row>
    <row r="995" spans="1:5" ht="30" customHeight="1">
      <c r="A995" s="8">
        <v>992</v>
      </c>
      <c r="B995" s="8" t="str">
        <f>"38492022042117014828863"</f>
        <v>38492022042117014828863</v>
      </c>
      <c r="C995" s="8" t="s">
        <v>19</v>
      </c>
      <c r="D995" s="8" t="str">
        <f>"吴富贤"</f>
        <v>吴富贤</v>
      </c>
      <c r="E995" s="8" t="str">
        <f>"男"</f>
        <v>男</v>
      </c>
    </row>
    <row r="996" spans="1:5" ht="30" customHeight="1">
      <c r="A996" s="8">
        <v>993</v>
      </c>
      <c r="B996" s="8" t="str">
        <f>"38492022042121271630188"</f>
        <v>38492022042121271630188</v>
      </c>
      <c r="C996" s="8" t="s">
        <v>19</v>
      </c>
      <c r="D996" s="8" t="str">
        <f>"符少映"</f>
        <v>符少映</v>
      </c>
      <c r="E996" s="8" t="str">
        <f>"男"</f>
        <v>男</v>
      </c>
    </row>
    <row r="997" spans="1:5" ht="30" customHeight="1">
      <c r="A997" s="8">
        <v>994</v>
      </c>
      <c r="B997" s="8" t="str">
        <f>"38492022042209143931190"</f>
        <v>38492022042209143931190</v>
      </c>
      <c r="C997" s="8" t="s">
        <v>19</v>
      </c>
      <c r="D997" s="8" t="str">
        <f>"李必莎"</f>
        <v>李必莎</v>
      </c>
      <c r="E997" s="8" t="str">
        <f>"女"</f>
        <v>女</v>
      </c>
    </row>
    <row r="998" spans="1:5" ht="30" customHeight="1">
      <c r="A998" s="8">
        <v>995</v>
      </c>
      <c r="B998" s="8" t="str">
        <f>"38492022042209555031406"</f>
        <v>38492022042209555031406</v>
      </c>
      <c r="C998" s="8" t="s">
        <v>19</v>
      </c>
      <c r="D998" s="8" t="str">
        <f>"符惠萍"</f>
        <v>符惠萍</v>
      </c>
      <c r="E998" s="8" t="str">
        <f>"女"</f>
        <v>女</v>
      </c>
    </row>
    <row r="999" spans="1:5" ht="30" customHeight="1">
      <c r="A999" s="8">
        <v>996</v>
      </c>
      <c r="B999" s="8" t="str">
        <f>"38492022042210353131664"</f>
        <v>38492022042210353131664</v>
      </c>
      <c r="C999" s="8" t="s">
        <v>19</v>
      </c>
      <c r="D999" s="8" t="str">
        <f>"刘叶秀"</f>
        <v>刘叶秀</v>
      </c>
      <c r="E999" s="8" t="str">
        <f>"女"</f>
        <v>女</v>
      </c>
    </row>
    <row r="1000" spans="1:5" ht="30" customHeight="1">
      <c r="A1000" s="8">
        <v>997</v>
      </c>
      <c r="B1000" s="8" t="str">
        <f>"38492022042211213032106"</f>
        <v>38492022042211213032106</v>
      </c>
      <c r="C1000" s="8" t="s">
        <v>19</v>
      </c>
      <c r="D1000" s="8" t="str">
        <f>"李丽娟"</f>
        <v>李丽娟</v>
      </c>
      <c r="E1000" s="8" t="str">
        <f>"女"</f>
        <v>女</v>
      </c>
    </row>
    <row r="1001" spans="1:5" ht="30" customHeight="1">
      <c r="A1001" s="8">
        <v>998</v>
      </c>
      <c r="B1001" s="8" t="str">
        <f>"38492022042212125832498"</f>
        <v>38492022042212125832498</v>
      </c>
      <c r="C1001" s="8" t="s">
        <v>19</v>
      </c>
      <c r="D1001" s="8" t="str">
        <f>"韦秋杰"</f>
        <v>韦秋杰</v>
      </c>
      <c r="E1001" s="8" t="str">
        <f>"女"</f>
        <v>女</v>
      </c>
    </row>
    <row r="1002" spans="1:5" ht="30" customHeight="1">
      <c r="A1002" s="8">
        <v>999</v>
      </c>
      <c r="B1002" s="8" t="str">
        <f>"38492022042212164632515"</f>
        <v>38492022042212164632515</v>
      </c>
      <c r="C1002" s="8" t="s">
        <v>19</v>
      </c>
      <c r="D1002" s="8" t="str">
        <f>"符越"</f>
        <v>符越</v>
      </c>
      <c r="E1002" s="8" t="str">
        <f>"男"</f>
        <v>男</v>
      </c>
    </row>
    <row r="1003" spans="1:5" ht="30" customHeight="1">
      <c r="A1003" s="8">
        <v>1000</v>
      </c>
      <c r="B1003" s="8" t="str">
        <f>"38492022042213142232750"</f>
        <v>38492022042213142232750</v>
      </c>
      <c r="C1003" s="8" t="s">
        <v>19</v>
      </c>
      <c r="D1003" s="8" t="str">
        <f>"何奋"</f>
        <v>何奋</v>
      </c>
      <c r="E1003" s="8" t="str">
        <f>"男"</f>
        <v>男</v>
      </c>
    </row>
    <row r="1004" spans="1:5" ht="30" customHeight="1">
      <c r="A1004" s="8">
        <v>1001</v>
      </c>
      <c r="B1004" s="8" t="str">
        <f>"38492022042215420033417"</f>
        <v>38492022042215420033417</v>
      </c>
      <c r="C1004" s="8" t="s">
        <v>19</v>
      </c>
      <c r="D1004" s="8" t="str">
        <f>"韦秋菊"</f>
        <v>韦秋菊</v>
      </c>
      <c r="E1004" s="8" t="str">
        <f aca="true" t="shared" si="77" ref="E1004:E1015">"女"</f>
        <v>女</v>
      </c>
    </row>
    <row r="1005" spans="1:5" ht="30" customHeight="1">
      <c r="A1005" s="8">
        <v>1002</v>
      </c>
      <c r="B1005" s="8" t="str">
        <f>"38492022042215423033418"</f>
        <v>38492022042215423033418</v>
      </c>
      <c r="C1005" s="8" t="s">
        <v>19</v>
      </c>
      <c r="D1005" s="8" t="str">
        <f>"符丽华"</f>
        <v>符丽华</v>
      </c>
      <c r="E1005" s="8" t="str">
        <f t="shared" si="77"/>
        <v>女</v>
      </c>
    </row>
    <row r="1006" spans="1:5" ht="30" customHeight="1">
      <c r="A1006" s="8">
        <v>1003</v>
      </c>
      <c r="B1006" s="8" t="str">
        <f>"38492022042219340834422"</f>
        <v>38492022042219340834422</v>
      </c>
      <c r="C1006" s="8" t="s">
        <v>19</v>
      </c>
      <c r="D1006" s="8" t="str">
        <f>"陈丽铮"</f>
        <v>陈丽铮</v>
      </c>
      <c r="E1006" s="8" t="str">
        <f t="shared" si="77"/>
        <v>女</v>
      </c>
    </row>
    <row r="1007" spans="1:5" ht="30" customHeight="1">
      <c r="A1007" s="8">
        <v>1004</v>
      </c>
      <c r="B1007" s="8" t="str">
        <f>"38492022042307363534886"</f>
        <v>38492022042307363534886</v>
      </c>
      <c r="C1007" s="8" t="s">
        <v>19</v>
      </c>
      <c r="D1007" s="8" t="str">
        <f>"符启莹"</f>
        <v>符启莹</v>
      </c>
      <c r="E1007" s="8" t="str">
        <f t="shared" si="77"/>
        <v>女</v>
      </c>
    </row>
    <row r="1008" spans="1:5" ht="30" customHeight="1">
      <c r="A1008" s="8">
        <v>1005</v>
      </c>
      <c r="B1008" s="8" t="str">
        <f>"38492022042309464234980"</f>
        <v>38492022042309464234980</v>
      </c>
      <c r="C1008" s="8" t="s">
        <v>19</v>
      </c>
      <c r="D1008" s="8" t="str">
        <f>"张珍妮"</f>
        <v>张珍妮</v>
      </c>
      <c r="E1008" s="8" t="str">
        <f t="shared" si="77"/>
        <v>女</v>
      </c>
    </row>
    <row r="1009" spans="1:5" ht="30" customHeight="1">
      <c r="A1009" s="8">
        <v>1006</v>
      </c>
      <c r="B1009" s="8" t="str">
        <f>"38492022042310574735072"</f>
        <v>38492022042310574735072</v>
      </c>
      <c r="C1009" s="8" t="s">
        <v>19</v>
      </c>
      <c r="D1009" s="8" t="str">
        <f>"周珏"</f>
        <v>周珏</v>
      </c>
      <c r="E1009" s="8" t="str">
        <f t="shared" si="77"/>
        <v>女</v>
      </c>
    </row>
    <row r="1010" spans="1:5" ht="30" customHeight="1">
      <c r="A1010" s="8">
        <v>1007</v>
      </c>
      <c r="B1010" s="8" t="str">
        <f>"38492022042319121935683"</f>
        <v>38492022042319121935683</v>
      </c>
      <c r="C1010" s="8" t="s">
        <v>19</v>
      </c>
      <c r="D1010" s="8" t="str">
        <f>"林佳"</f>
        <v>林佳</v>
      </c>
      <c r="E1010" s="8" t="str">
        <f t="shared" si="77"/>
        <v>女</v>
      </c>
    </row>
    <row r="1011" spans="1:5" ht="30" customHeight="1">
      <c r="A1011" s="8">
        <v>1008</v>
      </c>
      <c r="B1011" s="8" t="str">
        <f>"38492022042322492636026"</f>
        <v>38492022042322492636026</v>
      </c>
      <c r="C1011" s="8" t="s">
        <v>19</v>
      </c>
      <c r="D1011" s="8" t="str">
        <f>"符婷"</f>
        <v>符婷</v>
      </c>
      <c r="E1011" s="8" t="str">
        <f t="shared" si="77"/>
        <v>女</v>
      </c>
    </row>
    <row r="1012" spans="1:5" ht="30" customHeight="1">
      <c r="A1012" s="8">
        <v>1009</v>
      </c>
      <c r="B1012" s="8" t="str">
        <f>"38492022042409052936248"</f>
        <v>38492022042409052936248</v>
      </c>
      <c r="C1012" s="8" t="s">
        <v>19</v>
      </c>
      <c r="D1012" s="8" t="str">
        <f>"王长"</f>
        <v>王长</v>
      </c>
      <c r="E1012" s="8" t="str">
        <f t="shared" si="77"/>
        <v>女</v>
      </c>
    </row>
    <row r="1013" spans="1:5" ht="30" customHeight="1">
      <c r="A1013" s="8">
        <v>1010</v>
      </c>
      <c r="B1013" s="8" t="str">
        <f>"38492022042410124936394"</f>
        <v>38492022042410124936394</v>
      </c>
      <c r="C1013" s="8" t="s">
        <v>19</v>
      </c>
      <c r="D1013" s="8" t="str">
        <f>"符旖"</f>
        <v>符旖</v>
      </c>
      <c r="E1013" s="8" t="str">
        <f t="shared" si="77"/>
        <v>女</v>
      </c>
    </row>
    <row r="1014" spans="1:5" ht="30" customHeight="1">
      <c r="A1014" s="8">
        <v>1011</v>
      </c>
      <c r="B1014" s="8" t="str">
        <f>"38492022042411280536539"</f>
        <v>38492022042411280536539</v>
      </c>
      <c r="C1014" s="8" t="s">
        <v>19</v>
      </c>
      <c r="D1014" s="8" t="str">
        <f>"符雪莹"</f>
        <v>符雪莹</v>
      </c>
      <c r="E1014" s="8" t="str">
        <f t="shared" si="77"/>
        <v>女</v>
      </c>
    </row>
    <row r="1015" spans="1:5" ht="30" customHeight="1">
      <c r="A1015" s="8">
        <v>1012</v>
      </c>
      <c r="B1015" s="8" t="str">
        <f>"38492022042411420036571"</f>
        <v>38492022042411420036571</v>
      </c>
      <c r="C1015" s="8" t="s">
        <v>19</v>
      </c>
      <c r="D1015" s="8" t="str">
        <f>"邓颖"</f>
        <v>邓颖</v>
      </c>
      <c r="E1015" s="8" t="str">
        <f t="shared" si="77"/>
        <v>女</v>
      </c>
    </row>
    <row r="1016" spans="1:5" ht="30" customHeight="1">
      <c r="A1016" s="8">
        <v>1013</v>
      </c>
      <c r="B1016" s="8" t="str">
        <f>"38492022042416313337067"</f>
        <v>38492022042416313337067</v>
      </c>
      <c r="C1016" s="8" t="s">
        <v>19</v>
      </c>
      <c r="D1016" s="8" t="str">
        <f>"刘威佑"</f>
        <v>刘威佑</v>
      </c>
      <c r="E1016" s="8" t="str">
        <f>"男"</f>
        <v>男</v>
      </c>
    </row>
    <row r="1017" spans="1:5" ht="30" customHeight="1">
      <c r="A1017" s="8">
        <v>1014</v>
      </c>
      <c r="B1017" s="8" t="str">
        <f>"38492022042417524737217"</f>
        <v>38492022042417524737217</v>
      </c>
      <c r="C1017" s="8" t="s">
        <v>19</v>
      </c>
      <c r="D1017" s="8" t="str">
        <f>"符美晶"</f>
        <v>符美晶</v>
      </c>
      <c r="E1017" s="8" t="str">
        <f>"女"</f>
        <v>女</v>
      </c>
    </row>
    <row r="1018" spans="1:5" ht="30" customHeight="1">
      <c r="A1018" s="8">
        <v>1015</v>
      </c>
      <c r="B1018" s="8" t="str">
        <f>"38492022042421233237545"</f>
        <v>38492022042421233237545</v>
      </c>
      <c r="C1018" s="8" t="s">
        <v>19</v>
      </c>
      <c r="D1018" s="8" t="str">
        <f>"李晓花"</f>
        <v>李晓花</v>
      </c>
      <c r="E1018" s="8" t="str">
        <f>"女"</f>
        <v>女</v>
      </c>
    </row>
    <row r="1019" spans="1:5" ht="30" customHeight="1">
      <c r="A1019" s="8">
        <v>1016</v>
      </c>
      <c r="B1019" s="8" t="str">
        <f>"38492022042509133837861"</f>
        <v>38492022042509133837861</v>
      </c>
      <c r="C1019" s="8" t="s">
        <v>19</v>
      </c>
      <c r="D1019" s="8" t="str">
        <f>"韦微"</f>
        <v>韦微</v>
      </c>
      <c r="E1019" s="8" t="str">
        <f>"女"</f>
        <v>女</v>
      </c>
    </row>
    <row r="1020" spans="1:5" ht="30" customHeight="1">
      <c r="A1020" s="8">
        <v>1017</v>
      </c>
      <c r="B1020" s="8" t="str">
        <f>"38492022042509432637915"</f>
        <v>38492022042509432637915</v>
      </c>
      <c r="C1020" s="8" t="s">
        <v>19</v>
      </c>
      <c r="D1020" s="8" t="str">
        <f>"冯理"</f>
        <v>冯理</v>
      </c>
      <c r="E1020" s="8" t="str">
        <f>"男"</f>
        <v>男</v>
      </c>
    </row>
    <row r="1021" spans="1:5" ht="30" customHeight="1">
      <c r="A1021" s="8">
        <v>1018</v>
      </c>
      <c r="B1021" s="8" t="str">
        <f>"38492022042511141138095"</f>
        <v>38492022042511141138095</v>
      </c>
      <c r="C1021" s="8" t="s">
        <v>19</v>
      </c>
      <c r="D1021" s="8" t="str">
        <f>"符克真"</f>
        <v>符克真</v>
      </c>
      <c r="E1021" s="8" t="str">
        <f>"女"</f>
        <v>女</v>
      </c>
    </row>
    <row r="1022" spans="1:5" ht="30" customHeight="1">
      <c r="A1022" s="8">
        <v>1019</v>
      </c>
      <c r="B1022" s="8" t="str">
        <f>"38492022042515102638342"</f>
        <v>38492022042515102638342</v>
      </c>
      <c r="C1022" s="8" t="s">
        <v>19</v>
      </c>
      <c r="D1022" s="8" t="str">
        <f>"符会怡"</f>
        <v>符会怡</v>
      </c>
      <c r="E1022" s="8" t="str">
        <f>"女"</f>
        <v>女</v>
      </c>
    </row>
    <row r="1023" spans="1:5" ht="30" customHeight="1">
      <c r="A1023" s="8">
        <v>1020</v>
      </c>
      <c r="B1023" s="8" t="str">
        <f>"38492022042516111838464"</f>
        <v>38492022042516111838464</v>
      </c>
      <c r="C1023" s="8" t="s">
        <v>19</v>
      </c>
      <c r="D1023" s="8" t="str">
        <f>"符峻挺"</f>
        <v>符峻挺</v>
      </c>
      <c r="E1023" s="8" t="str">
        <f>"男"</f>
        <v>男</v>
      </c>
    </row>
    <row r="1024" spans="1:5" ht="30" customHeight="1">
      <c r="A1024" s="8">
        <v>1021</v>
      </c>
      <c r="B1024" s="8" t="str">
        <f>"38492022042518014938612"</f>
        <v>38492022042518014938612</v>
      </c>
      <c r="C1024" s="8" t="s">
        <v>19</v>
      </c>
      <c r="D1024" s="8" t="str">
        <f>"陈彩彩"</f>
        <v>陈彩彩</v>
      </c>
      <c r="E1024" s="8" t="str">
        <f>"女"</f>
        <v>女</v>
      </c>
    </row>
    <row r="1025" spans="1:5" ht="30" customHeight="1">
      <c r="A1025" s="8">
        <v>1022</v>
      </c>
      <c r="B1025" s="8" t="str">
        <f>"38492022042519275538714"</f>
        <v>38492022042519275538714</v>
      </c>
      <c r="C1025" s="8" t="s">
        <v>19</v>
      </c>
      <c r="D1025" s="8" t="str">
        <f>"李文静"</f>
        <v>李文静</v>
      </c>
      <c r="E1025" s="8" t="str">
        <f>"女"</f>
        <v>女</v>
      </c>
    </row>
    <row r="1026" spans="1:5" ht="30" customHeight="1">
      <c r="A1026" s="8">
        <v>1023</v>
      </c>
      <c r="B1026" s="8" t="str">
        <f>"38492022042606514639101"</f>
        <v>38492022042606514639101</v>
      </c>
      <c r="C1026" s="8" t="s">
        <v>19</v>
      </c>
      <c r="D1026" s="8" t="str">
        <f>"麦晶晶"</f>
        <v>麦晶晶</v>
      </c>
      <c r="E1026" s="8" t="str">
        <f>"女"</f>
        <v>女</v>
      </c>
    </row>
    <row r="1027" spans="1:5" ht="30" customHeight="1">
      <c r="A1027" s="8">
        <v>1024</v>
      </c>
      <c r="B1027" s="8" t="str">
        <f>"38492022042613003539513"</f>
        <v>38492022042613003539513</v>
      </c>
      <c r="C1027" s="8" t="s">
        <v>19</v>
      </c>
      <c r="D1027" s="8" t="str">
        <f>"李佳"</f>
        <v>李佳</v>
      </c>
      <c r="E1027" s="8" t="str">
        <f>"女"</f>
        <v>女</v>
      </c>
    </row>
    <row r="1028" spans="1:5" ht="30" customHeight="1">
      <c r="A1028" s="8">
        <v>1025</v>
      </c>
      <c r="B1028" s="8" t="str">
        <f>"38492022042614485639610"</f>
        <v>38492022042614485639610</v>
      </c>
      <c r="C1028" s="8" t="s">
        <v>19</v>
      </c>
      <c r="D1028" s="8" t="str">
        <f>"李蒙如"</f>
        <v>李蒙如</v>
      </c>
      <c r="E1028" s="8" t="str">
        <f>"女"</f>
        <v>女</v>
      </c>
    </row>
    <row r="1029" spans="1:5" ht="30" customHeight="1">
      <c r="A1029" s="8">
        <v>1026</v>
      </c>
      <c r="B1029" s="8" t="str">
        <f>"38492022042618510440012"</f>
        <v>38492022042618510440012</v>
      </c>
      <c r="C1029" s="8" t="s">
        <v>19</v>
      </c>
      <c r="D1029" s="8" t="str">
        <f>"符芳锦"</f>
        <v>符芳锦</v>
      </c>
      <c r="E1029" s="8" t="str">
        <f aca="true" t="shared" si="78" ref="E1029:E1039">"男"</f>
        <v>男</v>
      </c>
    </row>
    <row r="1030" spans="1:5" ht="30" customHeight="1">
      <c r="A1030" s="8">
        <v>1027</v>
      </c>
      <c r="B1030" s="8" t="str">
        <f>"38492022042620114640112"</f>
        <v>38492022042620114640112</v>
      </c>
      <c r="C1030" s="8" t="s">
        <v>19</v>
      </c>
      <c r="D1030" s="8" t="str">
        <f>"林友毅"</f>
        <v>林友毅</v>
      </c>
      <c r="E1030" s="8" t="str">
        <f t="shared" si="78"/>
        <v>男</v>
      </c>
    </row>
    <row r="1031" spans="1:5" ht="30" customHeight="1">
      <c r="A1031" s="8">
        <v>1028</v>
      </c>
      <c r="B1031" s="8" t="str">
        <f>"38492022042701470440532"</f>
        <v>38492022042701470440532</v>
      </c>
      <c r="C1031" s="8" t="s">
        <v>19</v>
      </c>
      <c r="D1031" s="8" t="str">
        <f>"梁学锋"</f>
        <v>梁学锋</v>
      </c>
      <c r="E1031" s="8" t="str">
        <f t="shared" si="78"/>
        <v>男</v>
      </c>
    </row>
    <row r="1032" spans="1:5" ht="30" customHeight="1">
      <c r="A1032" s="8">
        <v>1029</v>
      </c>
      <c r="B1032" s="8" t="str">
        <f>"38492022042707250740560"</f>
        <v>38492022042707250740560</v>
      </c>
      <c r="C1032" s="8" t="s">
        <v>19</v>
      </c>
      <c r="D1032" s="8" t="str">
        <f>"高假连"</f>
        <v>高假连</v>
      </c>
      <c r="E1032" s="8" t="str">
        <f>"女"</f>
        <v>女</v>
      </c>
    </row>
    <row r="1033" spans="1:5" ht="30" customHeight="1">
      <c r="A1033" s="8">
        <v>1030</v>
      </c>
      <c r="B1033" s="8" t="str">
        <f>"38492022042715332243855"</f>
        <v>38492022042715332243855</v>
      </c>
      <c r="C1033" s="8" t="s">
        <v>19</v>
      </c>
      <c r="D1033" s="8" t="str">
        <f>"王莹"</f>
        <v>王莹</v>
      </c>
      <c r="E1033" s="8" t="str">
        <f>"女"</f>
        <v>女</v>
      </c>
    </row>
    <row r="1034" spans="1:5" ht="30" customHeight="1">
      <c r="A1034" s="8">
        <v>1031</v>
      </c>
      <c r="B1034" s="8" t="str">
        <f>"38492022042109081524987"</f>
        <v>38492022042109081524987</v>
      </c>
      <c r="C1034" s="8" t="s">
        <v>20</v>
      </c>
      <c r="D1034" s="8" t="str">
        <f>"陈希亮"</f>
        <v>陈希亮</v>
      </c>
      <c r="E1034" s="8" t="str">
        <f t="shared" si="78"/>
        <v>男</v>
      </c>
    </row>
    <row r="1035" spans="1:5" ht="30" customHeight="1">
      <c r="A1035" s="8">
        <v>1032</v>
      </c>
      <c r="B1035" s="8" t="str">
        <f>"38492022042109081624988"</f>
        <v>38492022042109081624988</v>
      </c>
      <c r="C1035" s="8" t="s">
        <v>20</v>
      </c>
      <c r="D1035" s="8" t="str">
        <f>"何受发"</f>
        <v>何受发</v>
      </c>
      <c r="E1035" s="8" t="str">
        <f t="shared" si="78"/>
        <v>男</v>
      </c>
    </row>
    <row r="1036" spans="1:5" ht="30" customHeight="1">
      <c r="A1036" s="8">
        <v>1033</v>
      </c>
      <c r="B1036" s="8" t="str">
        <f>"38492022042109311025253"</f>
        <v>38492022042109311025253</v>
      </c>
      <c r="C1036" s="8" t="s">
        <v>20</v>
      </c>
      <c r="D1036" s="8" t="str">
        <f>"王琳"</f>
        <v>王琳</v>
      </c>
      <c r="E1036" s="8" t="str">
        <f t="shared" si="78"/>
        <v>男</v>
      </c>
    </row>
    <row r="1037" spans="1:5" ht="30" customHeight="1">
      <c r="A1037" s="8">
        <v>1034</v>
      </c>
      <c r="B1037" s="8" t="str">
        <f>"38492022042109403925369"</f>
        <v>38492022042109403925369</v>
      </c>
      <c r="C1037" s="8" t="s">
        <v>20</v>
      </c>
      <c r="D1037" s="8" t="str">
        <f>"倪裕豪"</f>
        <v>倪裕豪</v>
      </c>
      <c r="E1037" s="8" t="str">
        <f t="shared" si="78"/>
        <v>男</v>
      </c>
    </row>
    <row r="1038" spans="1:5" ht="30" customHeight="1">
      <c r="A1038" s="8">
        <v>1035</v>
      </c>
      <c r="B1038" s="8" t="str">
        <f>"38492022042109415825389"</f>
        <v>38492022042109415825389</v>
      </c>
      <c r="C1038" s="8" t="s">
        <v>20</v>
      </c>
      <c r="D1038" s="8" t="str">
        <f>"杜嘉铭"</f>
        <v>杜嘉铭</v>
      </c>
      <c r="E1038" s="8" t="str">
        <f t="shared" si="78"/>
        <v>男</v>
      </c>
    </row>
    <row r="1039" spans="1:5" ht="30" customHeight="1">
      <c r="A1039" s="8">
        <v>1036</v>
      </c>
      <c r="B1039" s="8" t="str">
        <f>"38492022042109524025520"</f>
        <v>38492022042109524025520</v>
      </c>
      <c r="C1039" s="8" t="s">
        <v>20</v>
      </c>
      <c r="D1039" s="8" t="str">
        <f>"黄鑫"</f>
        <v>黄鑫</v>
      </c>
      <c r="E1039" s="8" t="str">
        <f t="shared" si="78"/>
        <v>男</v>
      </c>
    </row>
    <row r="1040" spans="1:5" ht="30" customHeight="1">
      <c r="A1040" s="8">
        <v>1037</v>
      </c>
      <c r="B1040" s="8" t="str">
        <f>"38492022042110222925905"</f>
        <v>38492022042110222925905</v>
      </c>
      <c r="C1040" s="8" t="s">
        <v>20</v>
      </c>
      <c r="D1040" s="8" t="str">
        <f>"王壮坤"</f>
        <v>王壮坤</v>
      </c>
      <c r="E1040" s="8" t="str">
        <f>"女"</f>
        <v>女</v>
      </c>
    </row>
    <row r="1041" spans="1:5" ht="30" customHeight="1">
      <c r="A1041" s="8">
        <v>1038</v>
      </c>
      <c r="B1041" s="8" t="str">
        <f>"38492022042110272125977"</f>
        <v>38492022042110272125977</v>
      </c>
      <c r="C1041" s="8" t="s">
        <v>20</v>
      </c>
      <c r="D1041" s="8" t="str">
        <f>"钟振峰"</f>
        <v>钟振峰</v>
      </c>
      <c r="E1041" s="8" t="str">
        <f aca="true" t="shared" si="79" ref="E1041:E1046">"男"</f>
        <v>男</v>
      </c>
    </row>
    <row r="1042" spans="1:5" ht="30" customHeight="1">
      <c r="A1042" s="8">
        <v>1039</v>
      </c>
      <c r="B1042" s="8" t="str">
        <f>"38492022042112555627250"</f>
        <v>38492022042112555627250</v>
      </c>
      <c r="C1042" s="8" t="s">
        <v>20</v>
      </c>
      <c r="D1042" s="8" t="str">
        <f>"赵子豪"</f>
        <v>赵子豪</v>
      </c>
      <c r="E1042" s="8" t="str">
        <f t="shared" si="79"/>
        <v>男</v>
      </c>
    </row>
    <row r="1043" spans="1:5" ht="30" customHeight="1">
      <c r="A1043" s="8">
        <v>1040</v>
      </c>
      <c r="B1043" s="8" t="str">
        <f>"38492022042113491027505"</f>
        <v>38492022042113491027505</v>
      </c>
      <c r="C1043" s="8" t="s">
        <v>20</v>
      </c>
      <c r="D1043" s="8" t="str">
        <f>"周德炯"</f>
        <v>周德炯</v>
      </c>
      <c r="E1043" s="8" t="str">
        <f t="shared" si="79"/>
        <v>男</v>
      </c>
    </row>
    <row r="1044" spans="1:5" ht="30" customHeight="1">
      <c r="A1044" s="8">
        <v>1041</v>
      </c>
      <c r="B1044" s="8" t="str">
        <f>"38492022042115230528172"</f>
        <v>38492022042115230528172</v>
      </c>
      <c r="C1044" s="8" t="s">
        <v>20</v>
      </c>
      <c r="D1044" s="8" t="str">
        <f>"符芳道"</f>
        <v>符芳道</v>
      </c>
      <c r="E1044" s="8" t="str">
        <f t="shared" si="79"/>
        <v>男</v>
      </c>
    </row>
    <row r="1045" spans="1:5" ht="30" customHeight="1">
      <c r="A1045" s="8">
        <v>1042</v>
      </c>
      <c r="B1045" s="8" t="str">
        <f>"38492022042115272028211"</f>
        <v>38492022042115272028211</v>
      </c>
      <c r="C1045" s="8" t="s">
        <v>20</v>
      </c>
      <c r="D1045" s="8" t="str">
        <f>"王朝沛"</f>
        <v>王朝沛</v>
      </c>
      <c r="E1045" s="8" t="str">
        <f t="shared" si="79"/>
        <v>男</v>
      </c>
    </row>
    <row r="1046" spans="1:5" ht="30" customHeight="1">
      <c r="A1046" s="8">
        <v>1043</v>
      </c>
      <c r="B1046" s="8" t="str">
        <f>"38492022042116091228505"</f>
        <v>38492022042116091228505</v>
      </c>
      <c r="C1046" s="8" t="s">
        <v>20</v>
      </c>
      <c r="D1046" s="8" t="str">
        <f>"梁有瑞"</f>
        <v>梁有瑞</v>
      </c>
      <c r="E1046" s="8" t="str">
        <f t="shared" si="79"/>
        <v>男</v>
      </c>
    </row>
    <row r="1047" spans="1:5" ht="30" customHeight="1">
      <c r="A1047" s="8">
        <v>1044</v>
      </c>
      <c r="B1047" s="8" t="str">
        <f>"38492022042116202928601"</f>
        <v>38492022042116202928601</v>
      </c>
      <c r="C1047" s="8" t="s">
        <v>20</v>
      </c>
      <c r="D1047" s="8" t="str">
        <f>"许晓燕"</f>
        <v>许晓燕</v>
      </c>
      <c r="E1047" s="8" t="str">
        <f>"女"</f>
        <v>女</v>
      </c>
    </row>
    <row r="1048" spans="1:5" ht="30" customHeight="1">
      <c r="A1048" s="8">
        <v>1045</v>
      </c>
      <c r="B1048" s="8" t="str">
        <f>"38492022042117431829115"</f>
        <v>38492022042117431829115</v>
      </c>
      <c r="C1048" s="8" t="s">
        <v>20</v>
      </c>
      <c r="D1048" s="8" t="str">
        <f>"林裕荣"</f>
        <v>林裕荣</v>
      </c>
      <c r="E1048" s="8" t="str">
        <f aca="true" t="shared" si="80" ref="E1048:E1050">"男"</f>
        <v>男</v>
      </c>
    </row>
    <row r="1049" spans="1:5" ht="30" customHeight="1">
      <c r="A1049" s="8">
        <v>1046</v>
      </c>
      <c r="B1049" s="8" t="str">
        <f>"38492022042118060129233"</f>
        <v>38492022042118060129233</v>
      </c>
      <c r="C1049" s="8" t="s">
        <v>20</v>
      </c>
      <c r="D1049" s="8" t="str">
        <f>"许创辉"</f>
        <v>许创辉</v>
      </c>
      <c r="E1049" s="8" t="str">
        <f t="shared" si="80"/>
        <v>男</v>
      </c>
    </row>
    <row r="1050" spans="1:5" ht="30" customHeight="1">
      <c r="A1050" s="8">
        <v>1047</v>
      </c>
      <c r="B1050" s="8" t="str">
        <f>"38492022042118341929340"</f>
        <v>38492022042118341929340</v>
      </c>
      <c r="C1050" s="8" t="s">
        <v>20</v>
      </c>
      <c r="D1050" s="8" t="str">
        <f>"符斯统"</f>
        <v>符斯统</v>
      </c>
      <c r="E1050" s="8" t="str">
        <f t="shared" si="80"/>
        <v>男</v>
      </c>
    </row>
    <row r="1051" spans="1:5" ht="30" customHeight="1">
      <c r="A1051" s="8">
        <v>1048</v>
      </c>
      <c r="B1051" s="8" t="str">
        <f>"38492022042121010830039"</f>
        <v>38492022042121010830039</v>
      </c>
      <c r="C1051" s="8" t="s">
        <v>20</v>
      </c>
      <c r="D1051" s="8" t="str">
        <f>"周成"</f>
        <v>周成</v>
      </c>
      <c r="E1051" s="8" t="str">
        <f>"女"</f>
        <v>女</v>
      </c>
    </row>
    <row r="1052" spans="1:5" ht="30" customHeight="1">
      <c r="A1052" s="8">
        <v>1049</v>
      </c>
      <c r="B1052" s="8" t="str">
        <f>"38492022042212241432544"</f>
        <v>38492022042212241432544</v>
      </c>
      <c r="C1052" s="8" t="s">
        <v>20</v>
      </c>
      <c r="D1052" s="8" t="str">
        <f>"李秋重"</f>
        <v>李秋重</v>
      </c>
      <c r="E1052" s="8" t="str">
        <f aca="true" t="shared" si="81" ref="E1052:E1057">"男"</f>
        <v>男</v>
      </c>
    </row>
    <row r="1053" spans="1:5" ht="30" customHeight="1">
      <c r="A1053" s="8">
        <v>1050</v>
      </c>
      <c r="B1053" s="8" t="str">
        <f>"38492022042217323934101"</f>
        <v>38492022042217323934101</v>
      </c>
      <c r="C1053" s="8" t="s">
        <v>20</v>
      </c>
      <c r="D1053" s="8" t="str">
        <f>"陈婆梅"</f>
        <v>陈婆梅</v>
      </c>
      <c r="E1053" s="8" t="str">
        <f>"女"</f>
        <v>女</v>
      </c>
    </row>
    <row r="1054" spans="1:5" ht="30" customHeight="1">
      <c r="A1054" s="8">
        <v>1051</v>
      </c>
      <c r="B1054" s="8" t="str">
        <f>"38492022042223234234813"</f>
        <v>38492022042223234234813</v>
      </c>
      <c r="C1054" s="8" t="s">
        <v>20</v>
      </c>
      <c r="D1054" s="8" t="str">
        <f>"郭贵龙"</f>
        <v>郭贵龙</v>
      </c>
      <c r="E1054" s="8" t="str">
        <f t="shared" si="81"/>
        <v>男</v>
      </c>
    </row>
    <row r="1055" spans="1:5" ht="30" customHeight="1">
      <c r="A1055" s="8">
        <v>1052</v>
      </c>
      <c r="B1055" s="8" t="str">
        <f>"38492022042308204034903"</f>
        <v>38492022042308204034903</v>
      </c>
      <c r="C1055" s="8" t="s">
        <v>20</v>
      </c>
      <c r="D1055" s="8" t="str">
        <f>"李伯炳"</f>
        <v>李伯炳</v>
      </c>
      <c r="E1055" s="8" t="str">
        <f t="shared" si="81"/>
        <v>男</v>
      </c>
    </row>
    <row r="1056" spans="1:5" ht="30" customHeight="1">
      <c r="A1056" s="8">
        <v>1053</v>
      </c>
      <c r="B1056" s="8" t="str">
        <f>"38492022042308390634914"</f>
        <v>38492022042308390634914</v>
      </c>
      <c r="C1056" s="8" t="s">
        <v>20</v>
      </c>
      <c r="D1056" s="8" t="str">
        <f>"谢正发"</f>
        <v>谢正发</v>
      </c>
      <c r="E1056" s="8" t="str">
        <f t="shared" si="81"/>
        <v>男</v>
      </c>
    </row>
    <row r="1057" spans="1:5" ht="30" customHeight="1">
      <c r="A1057" s="8">
        <v>1054</v>
      </c>
      <c r="B1057" s="8" t="str">
        <f>"38492022042311492535161"</f>
        <v>38492022042311492535161</v>
      </c>
      <c r="C1057" s="8" t="s">
        <v>20</v>
      </c>
      <c r="D1057" s="8" t="str">
        <f>"王大育"</f>
        <v>王大育</v>
      </c>
      <c r="E1057" s="8" t="str">
        <f t="shared" si="81"/>
        <v>男</v>
      </c>
    </row>
    <row r="1058" spans="1:5" ht="30" customHeight="1">
      <c r="A1058" s="8">
        <v>1055</v>
      </c>
      <c r="B1058" s="8" t="str">
        <f>"38492022042316405535527"</f>
        <v>38492022042316405535527</v>
      </c>
      <c r="C1058" s="8" t="s">
        <v>20</v>
      </c>
      <c r="D1058" s="8" t="str">
        <f>"符汝芳"</f>
        <v>符汝芳</v>
      </c>
      <c r="E1058" s="8" t="str">
        <f>"女"</f>
        <v>女</v>
      </c>
    </row>
    <row r="1059" spans="1:5" ht="30" customHeight="1">
      <c r="A1059" s="8">
        <v>1056</v>
      </c>
      <c r="B1059" s="8" t="str">
        <f>"38492022042316452135535"</f>
        <v>38492022042316452135535</v>
      </c>
      <c r="C1059" s="8" t="s">
        <v>20</v>
      </c>
      <c r="D1059" s="8" t="str">
        <f>"李占亮"</f>
        <v>李占亮</v>
      </c>
      <c r="E1059" s="8" t="str">
        <f aca="true" t="shared" si="82" ref="E1059:E1065">"男"</f>
        <v>男</v>
      </c>
    </row>
    <row r="1060" spans="1:5" ht="30" customHeight="1">
      <c r="A1060" s="8">
        <v>1057</v>
      </c>
      <c r="B1060" s="8" t="str">
        <f>"38492022042319110035682"</f>
        <v>38492022042319110035682</v>
      </c>
      <c r="C1060" s="8" t="s">
        <v>20</v>
      </c>
      <c r="D1060" s="8" t="str">
        <f>"崔雅霆"</f>
        <v>崔雅霆</v>
      </c>
      <c r="E1060" s="8" t="str">
        <f>"女"</f>
        <v>女</v>
      </c>
    </row>
    <row r="1061" spans="1:5" ht="30" customHeight="1">
      <c r="A1061" s="8">
        <v>1058</v>
      </c>
      <c r="B1061" s="8" t="str">
        <f>"38492022042320290435781"</f>
        <v>38492022042320290435781</v>
      </c>
      <c r="C1061" s="8" t="s">
        <v>20</v>
      </c>
      <c r="D1061" s="8" t="str">
        <f>"王有建"</f>
        <v>王有建</v>
      </c>
      <c r="E1061" s="8" t="str">
        <f t="shared" si="82"/>
        <v>男</v>
      </c>
    </row>
    <row r="1062" spans="1:5" ht="30" customHeight="1">
      <c r="A1062" s="8">
        <v>1059</v>
      </c>
      <c r="B1062" s="8" t="str">
        <f>"38492022042320355735794"</f>
        <v>38492022042320355735794</v>
      </c>
      <c r="C1062" s="8" t="s">
        <v>20</v>
      </c>
      <c r="D1062" s="8" t="str">
        <f>"苏隆靖"</f>
        <v>苏隆靖</v>
      </c>
      <c r="E1062" s="8" t="str">
        <f t="shared" si="82"/>
        <v>男</v>
      </c>
    </row>
    <row r="1063" spans="1:5" ht="30" customHeight="1">
      <c r="A1063" s="8">
        <v>1060</v>
      </c>
      <c r="B1063" s="8" t="str">
        <f>"38492022042410154236400"</f>
        <v>38492022042410154236400</v>
      </c>
      <c r="C1063" s="8" t="s">
        <v>20</v>
      </c>
      <c r="D1063" s="8" t="str">
        <f>"王其河"</f>
        <v>王其河</v>
      </c>
      <c r="E1063" s="8" t="str">
        <f t="shared" si="82"/>
        <v>男</v>
      </c>
    </row>
    <row r="1064" spans="1:5" ht="30" customHeight="1">
      <c r="A1064" s="8">
        <v>1061</v>
      </c>
      <c r="B1064" s="8" t="str">
        <f>"38492022042413252136740"</f>
        <v>38492022042413252136740</v>
      </c>
      <c r="C1064" s="8" t="s">
        <v>20</v>
      </c>
      <c r="D1064" s="8" t="str">
        <f>"林钦"</f>
        <v>林钦</v>
      </c>
      <c r="E1064" s="8" t="str">
        <f t="shared" si="82"/>
        <v>男</v>
      </c>
    </row>
    <row r="1065" spans="1:5" ht="30" customHeight="1">
      <c r="A1065" s="8">
        <v>1062</v>
      </c>
      <c r="B1065" s="8" t="str">
        <f>"38492022042418245437270"</f>
        <v>38492022042418245437270</v>
      </c>
      <c r="C1065" s="8" t="s">
        <v>20</v>
      </c>
      <c r="D1065" s="8" t="str">
        <f>"王育升"</f>
        <v>王育升</v>
      </c>
      <c r="E1065" s="8" t="str">
        <f t="shared" si="82"/>
        <v>男</v>
      </c>
    </row>
    <row r="1066" spans="1:5" ht="30" customHeight="1">
      <c r="A1066" s="8">
        <v>1063</v>
      </c>
      <c r="B1066" s="8" t="str">
        <f>"38492022042420451137473"</f>
        <v>38492022042420451137473</v>
      </c>
      <c r="C1066" s="8" t="s">
        <v>20</v>
      </c>
      <c r="D1066" s="8" t="str">
        <f>"甘云乔"</f>
        <v>甘云乔</v>
      </c>
      <c r="E1066" s="8" t="str">
        <f>"女"</f>
        <v>女</v>
      </c>
    </row>
    <row r="1067" spans="1:5" ht="30" customHeight="1">
      <c r="A1067" s="8">
        <v>1064</v>
      </c>
      <c r="B1067" s="8" t="str">
        <f>"38492022042509042037847"</f>
        <v>38492022042509042037847</v>
      </c>
      <c r="C1067" s="8" t="s">
        <v>20</v>
      </c>
      <c r="D1067" s="8" t="str">
        <f>"吉训策"</f>
        <v>吉训策</v>
      </c>
      <c r="E1067" s="8" t="str">
        <f aca="true" t="shared" si="83" ref="E1067:E1070">"男"</f>
        <v>男</v>
      </c>
    </row>
    <row r="1068" spans="1:5" ht="30" customHeight="1">
      <c r="A1068" s="8">
        <v>1065</v>
      </c>
      <c r="B1068" s="8" t="str">
        <f>"38492022042608551639160"</f>
        <v>38492022042608551639160</v>
      </c>
      <c r="C1068" s="8" t="s">
        <v>20</v>
      </c>
      <c r="D1068" s="8" t="str">
        <f>"张德嘉"</f>
        <v>张德嘉</v>
      </c>
      <c r="E1068" s="8" t="str">
        <f t="shared" si="83"/>
        <v>男</v>
      </c>
    </row>
    <row r="1069" spans="1:5" ht="30" customHeight="1">
      <c r="A1069" s="8">
        <v>1066</v>
      </c>
      <c r="B1069" s="8" t="str">
        <f>"38492022042609181439193"</f>
        <v>38492022042609181439193</v>
      </c>
      <c r="C1069" s="8" t="s">
        <v>20</v>
      </c>
      <c r="D1069" s="8" t="str">
        <f>"陈发龙"</f>
        <v>陈发龙</v>
      </c>
      <c r="E1069" s="8" t="str">
        <f t="shared" si="83"/>
        <v>男</v>
      </c>
    </row>
    <row r="1070" spans="1:5" ht="30" customHeight="1">
      <c r="A1070" s="8">
        <v>1067</v>
      </c>
      <c r="B1070" s="8" t="str">
        <f>"38492022042610452539331"</f>
        <v>38492022042610452539331</v>
      </c>
      <c r="C1070" s="8" t="s">
        <v>20</v>
      </c>
      <c r="D1070" s="8" t="str">
        <f>"林正玺"</f>
        <v>林正玺</v>
      </c>
      <c r="E1070" s="8" t="str">
        <f t="shared" si="83"/>
        <v>男</v>
      </c>
    </row>
    <row r="1071" spans="1:5" ht="30" customHeight="1">
      <c r="A1071" s="8">
        <v>1068</v>
      </c>
      <c r="B1071" s="8" t="str">
        <f>"38492022042615290839694"</f>
        <v>38492022042615290839694</v>
      </c>
      <c r="C1071" s="8" t="s">
        <v>20</v>
      </c>
      <c r="D1071" s="8" t="str">
        <f>"张育妹"</f>
        <v>张育妹</v>
      </c>
      <c r="E1071" s="8" t="str">
        <f aca="true" t="shared" si="84" ref="E1071:E1076">"女"</f>
        <v>女</v>
      </c>
    </row>
    <row r="1072" spans="1:5" ht="30" customHeight="1">
      <c r="A1072" s="8">
        <v>1069</v>
      </c>
      <c r="B1072" s="8" t="str">
        <f>"38492022042619593840087"</f>
        <v>38492022042619593840087</v>
      </c>
      <c r="C1072" s="8" t="s">
        <v>20</v>
      </c>
      <c r="D1072" s="8" t="str">
        <f>"周泰保"</f>
        <v>周泰保</v>
      </c>
      <c r="E1072" s="8" t="str">
        <f t="shared" si="84"/>
        <v>女</v>
      </c>
    </row>
    <row r="1073" spans="1:5" ht="30" customHeight="1">
      <c r="A1073" s="8">
        <v>1070</v>
      </c>
      <c r="B1073" s="8" t="str">
        <f>"38492022042620112540110"</f>
        <v>38492022042620112540110</v>
      </c>
      <c r="C1073" s="8" t="s">
        <v>20</v>
      </c>
      <c r="D1073" s="8" t="str">
        <f>"李克伟"</f>
        <v>李克伟</v>
      </c>
      <c r="E1073" s="8" t="str">
        <f aca="true" t="shared" si="85" ref="E1073:E1079">"男"</f>
        <v>男</v>
      </c>
    </row>
    <row r="1074" spans="1:5" ht="30" customHeight="1">
      <c r="A1074" s="8">
        <v>1071</v>
      </c>
      <c r="B1074" s="8" t="str">
        <f>"38492022042701204240527"</f>
        <v>38492022042701204240527</v>
      </c>
      <c r="C1074" s="8" t="s">
        <v>20</v>
      </c>
      <c r="D1074" s="8" t="str">
        <f>"梁冰冰"</f>
        <v>梁冰冰</v>
      </c>
      <c r="E1074" s="8" t="str">
        <f t="shared" si="84"/>
        <v>女</v>
      </c>
    </row>
    <row r="1075" spans="1:5" ht="30" customHeight="1">
      <c r="A1075" s="8">
        <v>1072</v>
      </c>
      <c r="B1075" s="8" t="str">
        <f>"38492022042708231440593"</f>
        <v>38492022042708231440593</v>
      </c>
      <c r="C1075" s="8" t="s">
        <v>20</v>
      </c>
      <c r="D1075" s="8" t="str">
        <f>"谢祖姬"</f>
        <v>谢祖姬</v>
      </c>
      <c r="E1075" s="8" t="str">
        <f t="shared" si="84"/>
        <v>女</v>
      </c>
    </row>
    <row r="1076" spans="1:5" ht="30" customHeight="1">
      <c r="A1076" s="8">
        <v>1073</v>
      </c>
      <c r="B1076" s="8" t="str">
        <f>"38492022042109005224885"</f>
        <v>38492022042109005224885</v>
      </c>
      <c r="C1076" s="8" t="s">
        <v>21</v>
      </c>
      <c r="D1076" s="8" t="str">
        <f>"符尤雅"</f>
        <v>符尤雅</v>
      </c>
      <c r="E1076" s="8" t="str">
        <f t="shared" si="84"/>
        <v>女</v>
      </c>
    </row>
    <row r="1077" spans="1:5" ht="30" customHeight="1">
      <c r="A1077" s="8">
        <v>1074</v>
      </c>
      <c r="B1077" s="8" t="str">
        <f>"38492022042109010924889"</f>
        <v>38492022042109010924889</v>
      </c>
      <c r="C1077" s="8" t="s">
        <v>21</v>
      </c>
      <c r="D1077" s="8" t="str">
        <f>"张琼浩"</f>
        <v>张琼浩</v>
      </c>
      <c r="E1077" s="8" t="str">
        <f t="shared" si="85"/>
        <v>男</v>
      </c>
    </row>
    <row r="1078" spans="1:5" ht="30" customHeight="1">
      <c r="A1078" s="8">
        <v>1075</v>
      </c>
      <c r="B1078" s="8" t="str">
        <f>"38492022042109015124902"</f>
        <v>38492022042109015124902</v>
      </c>
      <c r="C1078" s="8" t="s">
        <v>21</v>
      </c>
      <c r="D1078" s="8" t="str">
        <f>"黄宁祥"</f>
        <v>黄宁祥</v>
      </c>
      <c r="E1078" s="8" t="str">
        <f t="shared" si="85"/>
        <v>男</v>
      </c>
    </row>
    <row r="1079" spans="1:5" ht="30" customHeight="1">
      <c r="A1079" s="8">
        <v>1076</v>
      </c>
      <c r="B1079" s="8" t="str">
        <f>"38492022042109032924921"</f>
        <v>38492022042109032924921</v>
      </c>
      <c r="C1079" s="8" t="s">
        <v>21</v>
      </c>
      <c r="D1079" s="8" t="str">
        <f>"孟开将"</f>
        <v>孟开将</v>
      </c>
      <c r="E1079" s="8" t="str">
        <f t="shared" si="85"/>
        <v>男</v>
      </c>
    </row>
    <row r="1080" spans="1:5" ht="30" customHeight="1">
      <c r="A1080" s="8">
        <v>1077</v>
      </c>
      <c r="B1080" s="8" t="str">
        <f>"38492022042109035824928"</f>
        <v>38492022042109035824928</v>
      </c>
      <c r="C1080" s="8" t="s">
        <v>21</v>
      </c>
      <c r="D1080" s="8" t="str">
        <f>"王晓怡"</f>
        <v>王晓怡</v>
      </c>
      <c r="E1080" s="8" t="str">
        <f aca="true" t="shared" si="86" ref="E1080:E1083">"女"</f>
        <v>女</v>
      </c>
    </row>
    <row r="1081" spans="1:5" ht="30" customHeight="1">
      <c r="A1081" s="8">
        <v>1078</v>
      </c>
      <c r="B1081" s="8" t="str">
        <f>"38492022042109041524934"</f>
        <v>38492022042109041524934</v>
      </c>
      <c r="C1081" s="8" t="s">
        <v>21</v>
      </c>
      <c r="D1081" s="8" t="str">
        <f>"曾巧姁"</f>
        <v>曾巧姁</v>
      </c>
      <c r="E1081" s="8" t="str">
        <f t="shared" si="86"/>
        <v>女</v>
      </c>
    </row>
    <row r="1082" spans="1:5" ht="30" customHeight="1">
      <c r="A1082" s="8">
        <v>1079</v>
      </c>
      <c r="B1082" s="8" t="str">
        <f>"38492022042109044224942"</f>
        <v>38492022042109044224942</v>
      </c>
      <c r="C1082" s="8" t="s">
        <v>21</v>
      </c>
      <c r="D1082" s="8" t="str">
        <f>"林明涛"</f>
        <v>林明涛</v>
      </c>
      <c r="E1082" s="8" t="str">
        <f aca="true" t="shared" si="87" ref="E1082:E1086">"男"</f>
        <v>男</v>
      </c>
    </row>
    <row r="1083" spans="1:5" ht="30" customHeight="1">
      <c r="A1083" s="8">
        <v>1080</v>
      </c>
      <c r="B1083" s="8" t="str">
        <f>"38492022042109055624956"</f>
        <v>38492022042109055624956</v>
      </c>
      <c r="C1083" s="8" t="s">
        <v>21</v>
      </c>
      <c r="D1083" s="8" t="str">
        <f>"符慧玲"</f>
        <v>符慧玲</v>
      </c>
      <c r="E1083" s="8" t="str">
        <f t="shared" si="86"/>
        <v>女</v>
      </c>
    </row>
    <row r="1084" spans="1:5" ht="30" customHeight="1">
      <c r="A1084" s="8">
        <v>1081</v>
      </c>
      <c r="B1084" s="8" t="str">
        <f>"38492022042109070724973"</f>
        <v>38492022042109070724973</v>
      </c>
      <c r="C1084" s="8" t="s">
        <v>21</v>
      </c>
      <c r="D1084" s="8" t="str">
        <f>"黄军宝"</f>
        <v>黄军宝</v>
      </c>
      <c r="E1084" s="8" t="str">
        <f t="shared" si="87"/>
        <v>男</v>
      </c>
    </row>
    <row r="1085" spans="1:5" ht="30" customHeight="1">
      <c r="A1085" s="8">
        <v>1082</v>
      </c>
      <c r="B1085" s="8" t="str">
        <f>"38492022042109090424994"</f>
        <v>38492022042109090424994</v>
      </c>
      <c r="C1085" s="8" t="s">
        <v>21</v>
      </c>
      <c r="D1085" s="8" t="str">
        <f>"劳赛芳"</f>
        <v>劳赛芳</v>
      </c>
      <c r="E1085" s="8" t="str">
        <f aca="true" t="shared" si="88" ref="E1085:E1088">"女"</f>
        <v>女</v>
      </c>
    </row>
    <row r="1086" spans="1:5" ht="30" customHeight="1">
      <c r="A1086" s="8">
        <v>1083</v>
      </c>
      <c r="B1086" s="8" t="str">
        <f>"38492022042109090424995"</f>
        <v>38492022042109090424995</v>
      </c>
      <c r="C1086" s="8" t="s">
        <v>21</v>
      </c>
      <c r="D1086" s="8" t="str">
        <f>"干晨"</f>
        <v>干晨</v>
      </c>
      <c r="E1086" s="8" t="str">
        <f t="shared" si="87"/>
        <v>男</v>
      </c>
    </row>
    <row r="1087" spans="1:5" ht="30" customHeight="1">
      <c r="A1087" s="8">
        <v>1084</v>
      </c>
      <c r="B1087" s="8" t="str">
        <f>"38492022042109095325002"</f>
        <v>38492022042109095325002</v>
      </c>
      <c r="C1087" s="8" t="s">
        <v>21</v>
      </c>
      <c r="D1087" s="8" t="str">
        <f>"陈菲"</f>
        <v>陈菲</v>
      </c>
      <c r="E1087" s="8" t="str">
        <f t="shared" si="88"/>
        <v>女</v>
      </c>
    </row>
    <row r="1088" spans="1:5" ht="30" customHeight="1">
      <c r="A1088" s="8">
        <v>1085</v>
      </c>
      <c r="B1088" s="8" t="str">
        <f>"38492022042109101025009"</f>
        <v>38492022042109101025009</v>
      </c>
      <c r="C1088" s="8" t="s">
        <v>21</v>
      </c>
      <c r="D1088" s="8" t="str">
        <f>"唐龙"</f>
        <v>唐龙</v>
      </c>
      <c r="E1088" s="8" t="str">
        <f t="shared" si="88"/>
        <v>女</v>
      </c>
    </row>
    <row r="1089" spans="1:5" ht="30" customHeight="1">
      <c r="A1089" s="8">
        <v>1086</v>
      </c>
      <c r="B1089" s="8" t="str">
        <f>"38492022042109102025010"</f>
        <v>38492022042109102025010</v>
      </c>
      <c r="C1089" s="8" t="s">
        <v>21</v>
      </c>
      <c r="D1089" s="8" t="str">
        <f>"林明达"</f>
        <v>林明达</v>
      </c>
      <c r="E1089" s="8" t="str">
        <f aca="true" t="shared" si="89" ref="E1089:E1093">"男"</f>
        <v>男</v>
      </c>
    </row>
    <row r="1090" spans="1:5" ht="30" customHeight="1">
      <c r="A1090" s="8">
        <v>1087</v>
      </c>
      <c r="B1090" s="8" t="str">
        <f>"38492022042109104225015"</f>
        <v>38492022042109104225015</v>
      </c>
      <c r="C1090" s="8" t="s">
        <v>21</v>
      </c>
      <c r="D1090" s="8" t="str">
        <f>"符敏鹏"</f>
        <v>符敏鹏</v>
      </c>
      <c r="E1090" s="8" t="str">
        <f t="shared" si="89"/>
        <v>男</v>
      </c>
    </row>
    <row r="1091" spans="1:5" ht="30" customHeight="1">
      <c r="A1091" s="8">
        <v>1088</v>
      </c>
      <c r="B1091" s="8" t="str">
        <f>"38492022042109104625017"</f>
        <v>38492022042109104625017</v>
      </c>
      <c r="C1091" s="8" t="s">
        <v>21</v>
      </c>
      <c r="D1091" s="8" t="str">
        <f>"王亦晴"</f>
        <v>王亦晴</v>
      </c>
      <c r="E1091" s="8" t="str">
        <f aca="true" t="shared" si="90" ref="E1091:E1095">"女"</f>
        <v>女</v>
      </c>
    </row>
    <row r="1092" spans="1:5" ht="30" customHeight="1">
      <c r="A1092" s="8">
        <v>1089</v>
      </c>
      <c r="B1092" s="8" t="str">
        <f>"38492022042109114225028"</f>
        <v>38492022042109114225028</v>
      </c>
      <c r="C1092" s="8" t="s">
        <v>21</v>
      </c>
      <c r="D1092" s="8" t="str">
        <f>"龙小媛"</f>
        <v>龙小媛</v>
      </c>
      <c r="E1092" s="8" t="str">
        <f t="shared" si="90"/>
        <v>女</v>
      </c>
    </row>
    <row r="1093" spans="1:5" ht="30" customHeight="1">
      <c r="A1093" s="8">
        <v>1090</v>
      </c>
      <c r="B1093" s="8" t="str">
        <f>"38492022042109120425034"</f>
        <v>38492022042109120425034</v>
      </c>
      <c r="C1093" s="8" t="s">
        <v>21</v>
      </c>
      <c r="D1093" s="8" t="str">
        <f>"辜冠铭"</f>
        <v>辜冠铭</v>
      </c>
      <c r="E1093" s="8" t="str">
        <f t="shared" si="89"/>
        <v>男</v>
      </c>
    </row>
    <row r="1094" spans="1:5" ht="30" customHeight="1">
      <c r="A1094" s="8">
        <v>1091</v>
      </c>
      <c r="B1094" s="8" t="str">
        <f>"38492022042109124325039"</f>
        <v>38492022042109124325039</v>
      </c>
      <c r="C1094" s="8" t="s">
        <v>21</v>
      </c>
      <c r="D1094" s="8" t="str">
        <f>"符玉珍"</f>
        <v>符玉珍</v>
      </c>
      <c r="E1094" s="8" t="str">
        <f t="shared" si="90"/>
        <v>女</v>
      </c>
    </row>
    <row r="1095" spans="1:5" ht="30" customHeight="1">
      <c r="A1095" s="8">
        <v>1092</v>
      </c>
      <c r="B1095" s="8" t="str">
        <f>"38492022042109125625044"</f>
        <v>38492022042109125625044</v>
      </c>
      <c r="C1095" s="8" t="s">
        <v>21</v>
      </c>
      <c r="D1095" s="8" t="str">
        <f>"赵仪"</f>
        <v>赵仪</v>
      </c>
      <c r="E1095" s="8" t="str">
        <f t="shared" si="90"/>
        <v>女</v>
      </c>
    </row>
    <row r="1096" spans="1:5" ht="30" customHeight="1">
      <c r="A1096" s="8">
        <v>1093</v>
      </c>
      <c r="B1096" s="8" t="str">
        <f>"38492022042109125725045"</f>
        <v>38492022042109125725045</v>
      </c>
      <c r="C1096" s="8" t="s">
        <v>21</v>
      </c>
      <c r="D1096" s="8" t="str">
        <f>"陈泽流"</f>
        <v>陈泽流</v>
      </c>
      <c r="E1096" s="8" t="str">
        <f>"男"</f>
        <v>男</v>
      </c>
    </row>
    <row r="1097" spans="1:5" ht="30" customHeight="1">
      <c r="A1097" s="8">
        <v>1094</v>
      </c>
      <c r="B1097" s="8" t="str">
        <f>"38492022042109130525048"</f>
        <v>38492022042109130525048</v>
      </c>
      <c r="C1097" s="8" t="s">
        <v>21</v>
      </c>
      <c r="D1097" s="8" t="str">
        <f>"杨虹"</f>
        <v>杨虹</v>
      </c>
      <c r="E1097" s="8" t="str">
        <f aca="true" t="shared" si="91" ref="E1097:E1103">"女"</f>
        <v>女</v>
      </c>
    </row>
    <row r="1098" spans="1:5" ht="30" customHeight="1">
      <c r="A1098" s="8">
        <v>1095</v>
      </c>
      <c r="B1098" s="8" t="str">
        <f>"38492022042109131125050"</f>
        <v>38492022042109131125050</v>
      </c>
      <c r="C1098" s="8" t="s">
        <v>21</v>
      </c>
      <c r="D1098" s="8" t="str">
        <f>"王词林"</f>
        <v>王词林</v>
      </c>
      <c r="E1098" s="8" t="str">
        <f>"男"</f>
        <v>男</v>
      </c>
    </row>
    <row r="1099" spans="1:5" ht="30" customHeight="1">
      <c r="A1099" s="8">
        <v>1096</v>
      </c>
      <c r="B1099" s="8" t="str">
        <f>"38492022042109132325054"</f>
        <v>38492022042109132325054</v>
      </c>
      <c r="C1099" s="8" t="s">
        <v>21</v>
      </c>
      <c r="D1099" s="8" t="str">
        <f>"陈光玲"</f>
        <v>陈光玲</v>
      </c>
      <c r="E1099" s="8" t="str">
        <f t="shared" si="91"/>
        <v>女</v>
      </c>
    </row>
    <row r="1100" spans="1:5" ht="30" customHeight="1">
      <c r="A1100" s="8">
        <v>1097</v>
      </c>
      <c r="B1100" s="8" t="str">
        <f>"38492022042109142925060"</f>
        <v>38492022042109142925060</v>
      </c>
      <c r="C1100" s="8" t="s">
        <v>21</v>
      </c>
      <c r="D1100" s="8" t="str">
        <f>"孙婧倩"</f>
        <v>孙婧倩</v>
      </c>
      <c r="E1100" s="8" t="str">
        <f t="shared" si="91"/>
        <v>女</v>
      </c>
    </row>
    <row r="1101" spans="1:5" ht="30" customHeight="1">
      <c r="A1101" s="8">
        <v>1098</v>
      </c>
      <c r="B1101" s="8" t="str">
        <f>"38492022042109150625070"</f>
        <v>38492022042109150625070</v>
      </c>
      <c r="C1101" s="8" t="s">
        <v>21</v>
      </c>
      <c r="D1101" s="8" t="str">
        <f>"陈月莹"</f>
        <v>陈月莹</v>
      </c>
      <c r="E1101" s="8" t="str">
        <f t="shared" si="91"/>
        <v>女</v>
      </c>
    </row>
    <row r="1102" spans="1:5" ht="30" customHeight="1">
      <c r="A1102" s="8">
        <v>1099</v>
      </c>
      <c r="B1102" s="8" t="str">
        <f>"38492022042109161625082"</f>
        <v>38492022042109161625082</v>
      </c>
      <c r="C1102" s="8" t="s">
        <v>21</v>
      </c>
      <c r="D1102" s="8" t="str">
        <f>"王翔"</f>
        <v>王翔</v>
      </c>
      <c r="E1102" s="8" t="str">
        <f t="shared" si="91"/>
        <v>女</v>
      </c>
    </row>
    <row r="1103" spans="1:5" ht="30" customHeight="1">
      <c r="A1103" s="8">
        <v>1100</v>
      </c>
      <c r="B1103" s="8" t="str">
        <f>"38492022042109161925085"</f>
        <v>38492022042109161925085</v>
      </c>
      <c r="C1103" s="8" t="s">
        <v>21</v>
      </c>
      <c r="D1103" s="8" t="str">
        <f>"洪桂婷"</f>
        <v>洪桂婷</v>
      </c>
      <c r="E1103" s="8" t="str">
        <f t="shared" si="91"/>
        <v>女</v>
      </c>
    </row>
    <row r="1104" spans="1:5" ht="30" customHeight="1">
      <c r="A1104" s="8">
        <v>1101</v>
      </c>
      <c r="B1104" s="8" t="str">
        <f>"38492022042109163925087"</f>
        <v>38492022042109163925087</v>
      </c>
      <c r="C1104" s="8" t="s">
        <v>21</v>
      </c>
      <c r="D1104" s="8" t="str">
        <f>"李大慧"</f>
        <v>李大慧</v>
      </c>
      <c r="E1104" s="8" t="str">
        <f aca="true" t="shared" si="92" ref="E1104:E1109">"男"</f>
        <v>男</v>
      </c>
    </row>
    <row r="1105" spans="1:5" ht="30" customHeight="1">
      <c r="A1105" s="8">
        <v>1102</v>
      </c>
      <c r="B1105" s="8" t="str">
        <f>"38492022042109164725090"</f>
        <v>38492022042109164725090</v>
      </c>
      <c r="C1105" s="8" t="s">
        <v>21</v>
      </c>
      <c r="D1105" s="8" t="str">
        <f>"陈崇汉"</f>
        <v>陈崇汉</v>
      </c>
      <c r="E1105" s="8" t="str">
        <f t="shared" si="92"/>
        <v>男</v>
      </c>
    </row>
    <row r="1106" spans="1:5" ht="30" customHeight="1">
      <c r="A1106" s="8">
        <v>1103</v>
      </c>
      <c r="B1106" s="8" t="str">
        <f>"38492022042109171025093"</f>
        <v>38492022042109171025093</v>
      </c>
      <c r="C1106" s="8" t="s">
        <v>21</v>
      </c>
      <c r="D1106" s="8" t="str">
        <f>"黎丽文"</f>
        <v>黎丽文</v>
      </c>
      <c r="E1106" s="8" t="str">
        <f aca="true" t="shared" si="93" ref="E1106:E1110">"女"</f>
        <v>女</v>
      </c>
    </row>
    <row r="1107" spans="1:5" ht="30" customHeight="1">
      <c r="A1107" s="8">
        <v>1104</v>
      </c>
      <c r="B1107" s="8" t="str">
        <f>"38492022042109172325095"</f>
        <v>38492022042109172325095</v>
      </c>
      <c r="C1107" s="8" t="s">
        <v>21</v>
      </c>
      <c r="D1107" s="8" t="str">
        <f>"黄庆楼"</f>
        <v>黄庆楼</v>
      </c>
      <c r="E1107" s="8" t="str">
        <f t="shared" si="93"/>
        <v>女</v>
      </c>
    </row>
    <row r="1108" spans="1:5" ht="30" customHeight="1">
      <c r="A1108" s="8">
        <v>1105</v>
      </c>
      <c r="B1108" s="8" t="str">
        <f>"38492022042109192925117"</f>
        <v>38492022042109192925117</v>
      </c>
      <c r="C1108" s="8" t="s">
        <v>21</v>
      </c>
      <c r="D1108" s="8" t="str">
        <f>"王冲"</f>
        <v>王冲</v>
      </c>
      <c r="E1108" s="8" t="str">
        <f t="shared" si="92"/>
        <v>男</v>
      </c>
    </row>
    <row r="1109" spans="1:5" ht="30" customHeight="1">
      <c r="A1109" s="8">
        <v>1106</v>
      </c>
      <c r="B1109" s="8" t="str">
        <f>"38492022042109193325119"</f>
        <v>38492022042109193325119</v>
      </c>
      <c r="C1109" s="8" t="s">
        <v>21</v>
      </c>
      <c r="D1109" s="8" t="str">
        <f>"程范辉"</f>
        <v>程范辉</v>
      </c>
      <c r="E1109" s="8" t="str">
        <f t="shared" si="92"/>
        <v>男</v>
      </c>
    </row>
    <row r="1110" spans="1:5" ht="30" customHeight="1">
      <c r="A1110" s="8">
        <v>1107</v>
      </c>
      <c r="B1110" s="8" t="str">
        <f>"38492022042109200925121"</f>
        <v>38492022042109200925121</v>
      </c>
      <c r="C1110" s="8" t="s">
        <v>21</v>
      </c>
      <c r="D1110" s="8" t="str">
        <f>"王丽丽"</f>
        <v>王丽丽</v>
      </c>
      <c r="E1110" s="8" t="str">
        <f t="shared" si="93"/>
        <v>女</v>
      </c>
    </row>
    <row r="1111" spans="1:5" ht="30" customHeight="1">
      <c r="A1111" s="8">
        <v>1108</v>
      </c>
      <c r="B1111" s="8" t="str">
        <f>"38492022042109201925123"</f>
        <v>38492022042109201925123</v>
      </c>
      <c r="C1111" s="8" t="s">
        <v>21</v>
      </c>
      <c r="D1111" s="8" t="str">
        <f>"骆日坚"</f>
        <v>骆日坚</v>
      </c>
      <c r="E1111" s="8" t="str">
        <f aca="true" t="shared" si="94" ref="E1111:E1114">"男"</f>
        <v>男</v>
      </c>
    </row>
    <row r="1112" spans="1:5" ht="30" customHeight="1">
      <c r="A1112" s="8">
        <v>1109</v>
      </c>
      <c r="B1112" s="8" t="str">
        <f>"38492022042109210925134"</f>
        <v>38492022042109210925134</v>
      </c>
      <c r="C1112" s="8" t="s">
        <v>21</v>
      </c>
      <c r="D1112" s="8" t="str">
        <f>"王俊强"</f>
        <v>王俊强</v>
      </c>
      <c r="E1112" s="8" t="str">
        <f t="shared" si="94"/>
        <v>男</v>
      </c>
    </row>
    <row r="1113" spans="1:5" ht="30" customHeight="1">
      <c r="A1113" s="8">
        <v>1110</v>
      </c>
      <c r="B1113" s="8" t="str">
        <f>"38492022042109271825208"</f>
        <v>38492022042109271825208</v>
      </c>
      <c r="C1113" s="8" t="s">
        <v>21</v>
      </c>
      <c r="D1113" s="8" t="str">
        <f>"许娇丽"</f>
        <v>许娇丽</v>
      </c>
      <c r="E1113" s="8" t="str">
        <f aca="true" t="shared" si="95" ref="E1113:E1117">"女"</f>
        <v>女</v>
      </c>
    </row>
    <row r="1114" spans="1:5" ht="30" customHeight="1">
      <c r="A1114" s="8">
        <v>1111</v>
      </c>
      <c r="B1114" s="8" t="str">
        <f>"38492022042109275825217"</f>
        <v>38492022042109275825217</v>
      </c>
      <c r="C1114" s="8" t="s">
        <v>21</v>
      </c>
      <c r="D1114" s="8" t="str">
        <f>"符士坚"</f>
        <v>符士坚</v>
      </c>
      <c r="E1114" s="8" t="str">
        <f t="shared" si="94"/>
        <v>男</v>
      </c>
    </row>
    <row r="1115" spans="1:5" ht="30" customHeight="1">
      <c r="A1115" s="8">
        <v>1112</v>
      </c>
      <c r="B1115" s="8" t="str">
        <f>"38492022042109280125218"</f>
        <v>38492022042109280125218</v>
      </c>
      <c r="C1115" s="8" t="s">
        <v>21</v>
      </c>
      <c r="D1115" s="8" t="str">
        <f>"杨秀娇"</f>
        <v>杨秀娇</v>
      </c>
      <c r="E1115" s="8" t="str">
        <f t="shared" si="95"/>
        <v>女</v>
      </c>
    </row>
    <row r="1116" spans="1:5" ht="30" customHeight="1">
      <c r="A1116" s="8">
        <v>1113</v>
      </c>
      <c r="B1116" s="8" t="str">
        <f>"38492022042109283525223"</f>
        <v>38492022042109283525223</v>
      </c>
      <c r="C1116" s="8" t="s">
        <v>21</v>
      </c>
      <c r="D1116" s="8" t="str">
        <f>"史才通"</f>
        <v>史才通</v>
      </c>
      <c r="E1116" s="8" t="str">
        <f aca="true" t="shared" si="96" ref="E1116:E1120">"男"</f>
        <v>男</v>
      </c>
    </row>
    <row r="1117" spans="1:5" ht="30" customHeight="1">
      <c r="A1117" s="8">
        <v>1114</v>
      </c>
      <c r="B1117" s="8" t="str">
        <f>"38492022042109293325233"</f>
        <v>38492022042109293325233</v>
      </c>
      <c r="C1117" s="8" t="s">
        <v>21</v>
      </c>
      <c r="D1117" s="8" t="str">
        <f>"周惠玲"</f>
        <v>周惠玲</v>
      </c>
      <c r="E1117" s="8" t="str">
        <f t="shared" si="95"/>
        <v>女</v>
      </c>
    </row>
    <row r="1118" spans="1:5" ht="30" customHeight="1">
      <c r="A1118" s="8">
        <v>1115</v>
      </c>
      <c r="B1118" s="8" t="str">
        <f>"38492022042109295625240"</f>
        <v>38492022042109295625240</v>
      </c>
      <c r="C1118" s="8" t="s">
        <v>21</v>
      </c>
      <c r="D1118" s="8" t="str">
        <f>"王森"</f>
        <v>王森</v>
      </c>
      <c r="E1118" s="8" t="str">
        <f t="shared" si="96"/>
        <v>男</v>
      </c>
    </row>
    <row r="1119" spans="1:5" ht="30" customHeight="1">
      <c r="A1119" s="8">
        <v>1116</v>
      </c>
      <c r="B1119" s="8" t="str">
        <f>"38492022042109315825263"</f>
        <v>38492022042109315825263</v>
      </c>
      <c r="C1119" s="8" t="s">
        <v>21</v>
      </c>
      <c r="D1119" s="8" t="str">
        <f>"羊小玲"</f>
        <v>羊小玲</v>
      </c>
      <c r="E1119" s="8" t="str">
        <f aca="true" t="shared" si="97" ref="E1119:E1125">"女"</f>
        <v>女</v>
      </c>
    </row>
    <row r="1120" spans="1:5" ht="30" customHeight="1">
      <c r="A1120" s="8">
        <v>1117</v>
      </c>
      <c r="B1120" s="8" t="str">
        <f>"38492022042109323825273"</f>
        <v>38492022042109323825273</v>
      </c>
      <c r="C1120" s="8" t="s">
        <v>21</v>
      </c>
      <c r="D1120" s="8" t="str">
        <f>"羊声扬"</f>
        <v>羊声扬</v>
      </c>
      <c r="E1120" s="8" t="str">
        <f t="shared" si="96"/>
        <v>男</v>
      </c>
    </row>
    <row r="1121" spans="1:5" ht="30" customHeight="1">
      <c r="A1121" s="8">
        <v>1118</v>
      </c>
      <c r="B1121" s="8" t="str">
        <f>"38492022042109324625275"</f>
        <v>38492022042109324625275</v>
      </c>
      <c r="C1121" s="8" t="s">
        <v>21</v>
      </c>
      <c r="D1121" s="8" t="str">
        <f>"林金花"</f>
        <v>林金花</v>
      </c>
      <c r="E1121" s="8" t="str">
        <f t="shared" si="97"/>
        <v>女</v>
      </c>
    </row>
    <row r="1122" spans="1:5" ht="30" customHeight="1">
      <c r="A1122" s="8">
        <v>1119</v>
      </c>
      <c r="B1122" s="8" t="str">
        <f>"38492022042109325325277"</f>
        <v>38492022042109325325277</v>
      </c>
      <c r="C1122" s="8" t="s">
        <v>21</v>
      </c>
      <c r="D1122" s="8" t="str">
        <f>"林青"</f>
        <v>林青</v>
      </c>
      <c r="E1122" s="8" t="str">
        <f t="shared" si="97"/>
        <v>女</v>
      </c>
    </row>
    <row r="1123" spans="1:5" ht="30" customHeight="1">
      <c r="A1123" s="8">
        <v>1120</v>
      </c>
      <c r="B1123" s="8" t="str">
        <f>"38492022042109332825283"</f>
        <v>38492022042109332825283</v>
      </c>
      <c r="C1123" s="8" t="s">
        <v>21</v>
      </c>
      <c r="D1123" s="8" t="str">
        <f>"吕秀之"</f>
        <v>吕秀之</v>
      </c>
      <c r="E1123" s="8" t="str">
        <f t="shared" si="97"/>
        <v>女</v>
      </c>
    </row>
    <row r="1124" spans="1:5" ht="30" customHeight="1">
      <c r="A1124" s="8">
        <v>1121</v>
      </c>
      <c r="B1124" s="8" t="str">
        <f>"38492022042109335925288"</f>
        <v>38492022042109335925288</v>
      </c>
      <c r="C1124" s="8" t="s">
        <v>21</v>
      </c>
      <c r="D1124" s="8" t="str">
        <f>"陈小静"</f>
        <v>陈小静</v>
      </c>
      <c r="E1124" s="8" t="str">
        <f t="shared" si="97"/>
        <v>女</v>
      </c>
    </row>
    <row r="1125" spans="1:5" ht="30" customHeight="1">
      <c r="A1125" s="8">
        <v>1122</v>
      </c>
      <c r="B1125" s="8" t="str">
        <f>"38492022042109340125289"</f>
        <v>38492022042109340125289</v>
      </c>
      <c r="C1125" s="8" t="s">
        <v>21</v>
      </c>
      <c r="D1125" s="8" t="str">
        <f>"苏静娴"</f>
        <v>苏静娴</v>
      </c>
      <c r="E1125" s="8" t="str">
        <f t="shared" si="97"/>
        <v>女</v>
      </c>
    </row>
    <row r="1126" spans="1:5" ht="30" customHeight="1">
      <c r="A1126" s="8">
        <v>1123</v>
      </c>
      <c r="B1126" s="8" t="str">
        <f>"38492022042109341725293"</f>
        <v>38492022042109341725293</v>
      </c>
      <c r="C1126" s="8" t="s">
        <v>21</v>
      </c>
      <c r="D1126" s="8" t="str">
        <f>"李懿"</f>
        <v>李懿</v>
      </c>
      <c r="E1126" s="8" t="str">
        <f>"男"</f>
        <v>男</v>
      </c>
    </row>
    <row r="1127" spans="1:5" ht="30" customHeight="1">
      <c r="A1127" s="8">
        <v>1124</v>
      </c>
      <c r="B1127" s="8" t="str">
        <f>"38492022042109344825306"</f>
        <v>38492022042109344825306</v>
      </c>
      <c r="C1127" s="8" t="s">
        <v>21</v>
      </c>
      <c r="D1127" s="8" t="str">
        <f>"李梅"</f>
        <v>李梅</v>
      </c>
      <c r="E1127" s="8" t="str">
        <f aca="true" t="shared" si="98" ref="E1127:E1129">"女"</f>
        <v>女</v>
      </c>
    </row>
    <row r="1128" spans="1:5" ht="30" customHeight="1">
      <c r="A1128" s="8">
        <v>1125</v>
      </c>
      <c r="B1128" s="8" t="str">
        <f>"38492022042109353925313"</f>
        <v>38492022042109353925313</v>
      </c>
      <c r="C1128" s="8" t="s">
        <v>21</v>
      </c>
      <c r="D1128" s="8" t="str">
        <f>"羊庆恩"</f>
        <v>羊庆恩</v>
      </c>
      <c r="E1128" s="8" t="str">
        <f t="shared" si="98"/>
        <v>女</v>
      </c>
    </row>
    <row r="1129" spans="1:5" ht="30" customHeight="1">
      <c r="A1129" s="8">
        <v>1126</v>
      </c>
      <c r="B1129" s="8" t="str">
        <f>"38492022042109363225324"</f>
        <v>38492022042109363225324</v>
      </c>
      <c r="C1129" s="8" t="s">
        <v>21</v>
      </c>
      <c r="D1129" s="8" t="str">
        <f>"王雪玉"</f>
        <v>王雪玉</v>
      </c>
      <c r="E1129" s="8" t="str">
        <f t="shared" si="98"/>
        <v>女</v>
      </c>
    </row>
    <row r="1130" spans="1:5" ht="30" customHeight="1">
      <c r="A1130" s="8">
        <v>1127</v>
      </c>
      <c r="B1130" s="8" t="str">
        <f>"38492022042109365125329"</f>
        <v>38492022042109365125329</v>
      </c>
      <c r="C1130" s="8" t="s">
        <v>21</v>
      </c>
      <c r="D1130" s="8" t="str">
        <f>"曾祥程"</f>
        <v>曾祥程</v>
      </c>
      <c r="E1130" s="8" t="str">
        <f aca="true" t="shared" si="99" ref="E1130:E1133">"男"</f>
        <v>男</v>
      </c>
    </row>
    <row r="1131" spans="1:5" ht="30" customHeight="1">
      <c r="A1131" s="8">
        <v>1128</v>
      </c>
      <c r="B1131" s="8" t="str">
        <f>"38492022042109371625332"</f>
        <v>38492022042109371625332</v>
      </c>
      <c r="C1131" s="8" t="s">
        <v>21</v>
      </c>
      <c r="D1131" s="8" t="str">
        <f>"冉烛欣"</f>
        <v>冉烛欣</v>
      </c>
      <c r="E1131" s="8" t="str">
        <f aca="true" t="shared" si="100" ref="E1131:E1135">"女"</f>
        <v>女</v>
      </c>
    </row>
    <row r="1132" spans="1:5" ht="30" customHeight="1">
      <c r="A1132" s="8">
        <v>1129</v>
      </c>
      <c r="B1132" s="8" t="str">
        <f>"38492022042109381025344"</f>
        <v>38492022042109381025344</v>
      </c>
      <c r="C1132" s="8" t="s">
        <v>21</v>
      </c>
      <c r="D1132" s="8" t="str">
        <f>"吴崇铭"</f>
        <v>吴崇铭</v>
      </c>
      <c r="E1132" s="8" t="str">
        <f t="shared" si="99"/>
        <v>男</v>
      </c>
    </row>
    <row r="1133" spans="1:5" ht="30" customHeight="1">
      <c r="A1133" s="8">
        <v>1130</v>
      </c>
      <c r="B1133" s="8" t="str">
        <f>"38492022042109382425346"</f>
        <v>38492022042109382425346</v>
      </c>
      <c r="C1133" s="8" t="s">
        <v>21</v>
      </c>
      <c r="D1133" s="8" t="str">
        <f>"符东"</f>
        <v>符东</v>
      </c>
      <c r="E1133" s="8" t="str">
        <f t="shared" si="99"/>
        <v>男</v>
      </c>
    </row>
    <row r="1134" spans="1:5" ht="30" customHeight="1">
      <c r="A1134" s="8">
        <v>1131</v>
      </c>
      <c r="B1134" s="8" t="str">
        <f>"38492022042109392625355"</f>
        <v>38492022042109392625355</v>
      </c>
      <c r="C1134" s="8" t="s">
        <v>21</v>
      </c>
      <c r="D1134" s="8" t="str">
        <f>"骆秀金"</f>
        <v>骆秀金</v>
      </c>
      <c r="E1134" s="8" t="str">
        <f t="shared" si="100"/>
        <v>女</v>
      </c>
    </row>
    <row r="1135" spans="1:5" ht="30" customHeight="1">
      <c r="A1135" s="8">
        <v>1132</v>
      </c>
      <c r="B1135" s="8" t="str">
        <f>"38492022042109393325357"</f>
        <v>38492022042109393325357</v>
      </c>
      <c r="C1135" s="8" t="s">
        <v>21</v>
      </c>
      <c r="D1135" s="8" t="str">
        <f>"严芳娜"</f>
        <v>严芳娜</v>
      </c>
      <c r="E1135" s="8" t="str">
        <f t="shared" si="100"/>
        <v>女</v>
      </c>
    </row>
    <row r="1136" spans="1:5" ht="30" customHeight="1">
      <c r="A1136" s="8">
        <v>1133</v>
      </c>
      <c r="B1136" s="8" t="str">
        <f>"38492022042109414025380"</f>
        <v>38492022042109414025380</v>
      </c>
      <c r="C1136" s="8" t="s">
        <v>21</v>
      </c>
      <c r="D1136" s="8" t="str">
        <f>"黄家禄"</f>
        <v>黄家禄</v>
      </c>
      <c r="E1136" s="8" t="str">
        <f aca="true" t="shared" si="101" ref="E1136:E1141">"男"</f>
        <v>男</v>
      </c>
    </row>
    <row r="1137" spans="1:5" ht="30" customHeight="1">
      <c r="A1137" s="8">
        <v>1134</v>
      </c>
      <c r="B1137" s="8" t="str">
        <f>"38492022042109414925384"</f>
        <v>38492022042109414925384</v>
      </c>
      <c r="C1137" s="8" t="s">
        <v>21</v>
      </c>
      <c r="D1137" s="8" t="str">
        <f>"吉才少"</f>
        <v>吉才少</v>
      </c>
      <c r="E1137" s="8" t="str">
        <f aca="true" t="shared" si="102" ref="E1137:E1142">"女"</f>
        <v>女</v>
      </c>
    </row>
    <row r="1138" spans="1:5" ht="30" customHeight="1">
      <c r="A1138" s="8">
        <v>1135</v>
      </c>
      <c r="B1138" s="8" t="str">
        <f>"38492022042109415125386"</f>
        <v>38492022042109415125386</v>
      </c>
      <c r="C1138" s="8" t="s">
        <v>21</v>
      </c>
      <c r="D1138" s="8" t="str">
        <f>"黄有恒"</f>
        <v>黄有恒</v>
      </c>
      <c r="E1138" s="8" t="str">
        <f t="shared" si="101"/>
        <v>男</v>
      </c>
    </row>
    <row r="1139" spans="1:5" ht="30" customHeight="1">
      <c r="A1139" s="8">
        <v>1136</v>
      </c>
      <c r="B1139" s="8" t="str">
        <f>"38492022042109415425388"</f>
        <v>38492022042109415425388</v>
      </c>
      <c r="C1139" s="8" t="s">
        <v>21</v>
      </c>
      <c r="D1139" s="8" t="str">
        <f>"吴金英"</f>
        <v>吴金英</v>
      </c>
      <c r="E1139" s="8" t="str">
        <f t="shared" si="102"/>
        <v>女</v>
      </c>
    </row>
    <row r="1140" spans="1:5" ht="30" customHeight="1">
      <c r="A1140" s="8">
        <v>1137</v>
      </c>
      <c r="B1140" s="8" t="str">
        <f>"38492022042109420425391"</f>
        <v>38492022042109420425391</v>
      </c>
      <c r="C1140" s="8" t="s">
        <v>21</v>
      </c>
      <c r="D1140" s="8" t="str">
        <f>"杨达新"</f>
        <v>杨达新</v>
      </c>
      <c r="E1140" s="8" t="str">
        <f t="shared" si="101"/>
        <v>男</v>
      </c>
    </row>
    <row r="1141" spans="1:5" ht="30" customHeight="1">
      <c r="A1141" s="8">
        <v>1138</v>
      </c>
      <c r="B1141" s="8" t="str">
        <f>"38492022042109420725392"</f>
        <v>38492022042109420725392</v>
      </c>
      <c r="C1141" s="8" t="s">
        <v>21</v>
      </c>
      <c r="D1141" s="8" t="str">
        <f>"黄永正"</f>
        <v>黄永正</v>
      </c>
      <c r="E1141" s="8" t="str">
        <f t="shared" si="101"/>
        <v>男</v>
      </c>
    </row>
    <row r="1142" spans="1:5" ht="30" customHeight="1">
      <c r="A1142" s="8">
        <v>1139</v>
      </c>
      <c r="B1142" s="8" t="str">
        <f>"38492022042109422225395"</f>
        <v>38492022042109422225395</v>
      </c>
      <c r="C1142" s="8" t="s">
        <v>21</v>
      </c>
      <c r="D1142" s="8" t="str">
        <f>"管鑫悦"</f>
        <v>管鑫悦</v>
      </c>
      <c r="E1142" s="8" t="str">
        <f t="shared" si="102"/>
        <v>女</v>
      </c>
    </row>
    <row r="1143" spans="1:5" ht="30" customHeight="1">
      <c r="A1143" s="8">
        <v>1140</v>
      </c>
      <c r="B1143" s="8" t="str">
        <f>"38492022042109440125415"</f>
        <v>38492022042109440125415</v>
      </c>
      <c r="C1143" s="8" t="s">
        <v>21</v>
      </c>
      <c r="D1143" s="8" t="str">
        <f>"张鹏"</f>
        <v>张鹏</v>
      </c>
      <c r="E1143" s="8" t="str">
        <f aca="true" t="shared" si="103" ref="E1143:E1151">"男"</f>
        <v>男</v>
      </c>
    </row>
    <row r="1144" spans="1:5" ht="30" customHeight="1">
      <c r="A1144" s="8">
        <v>1141</v>
      </c>
      <c r="B1144" s="8" t="str">
        <f>"38492022042109442325418"</f>
        <v>38492022042109442325418</v>
      </c>
      <c r="C1144" s="8" t="s">
        <v>21</v>
      </c>
      <c r="D1144" s="8" t="str">
        <f>"李亚贵"</f>
        <v>李亚贵</v>
      </c>
      <c r="E1144" s="8" t="str">
        <f t="shared" si="103"/>
        <v>男</v>
      </c>
    </row>
    <row r="1145" spans="1:5" ht="30" customHeight="1">
      <c r="A1145" s="8">
        <v>1142</v>
      </c>
      <c r="B1145" s="8" t="str">
        <f>"38492022042109460925437"</f>
        <v>38492022042109460925437</v>
      </c>
      <c r="C1145" s="8" t="s">
        <v>21</v>
      </c>
      <c r="D1145" s="8" t="str">
        <f>"邱洪威"</f>
        <v>邱洪威</v>
      </c>
      <c r="E1145" s="8" t="str">
        <f t="shared" si="103"/>
        <v>男</v>
      </c>
    </row>
    <row r="1146" spans="1:5" ht="30" customHeight="1">
      <c r="A1146" s="8">
        <v>1143</v>
      </c>
      <c r="B1146" s="8" t="str">
        <f>"38492022042109462625441"</f>
        <v>38492022042109462625441</v>
      </c>
      <c r="C1146" s="8" t="s">
        <v>21</v>
      </c>
      <c r="D1146" s="8" t="str">
        <f>"唐甸生"</f>
        <v>唐甸生</v>
      </c>
      <c r="E1146" s="8" t="str">
        <f t="shared" si="103"/>
        <v>男</v>
      </c>
    </row>
    <row r="1147" spans="1:5" ht="30" customHeight="1">
      <c r="A1147" s="8">
        <v>1144</v>
      </c>
      <c r="B1147" s="8" t="str">
        <f>"38492022042109463825443"</f>
        <v>38492022042109463825443</v>
      </c>
      <c r="C1147" s="8" t="s">
        <v>21</v>
      </c>
      <c r="D1147" s="8" t="str">
        <f>"庄礼捷"</f>
        <v>庄礼捷</v>
      </c>
      <c r="E1147" s="8" t="str">
        <f t="shared" si="103"/>
        <v>男</v>
      </c>
    </row>
    <row r="1148" spans="1:5" ht="30" customHeight="1">
      <c r="A1148" s="8">
        <v>1145</v>
      </c>
      <c r="B1148" s="8" t="str">
        <f>"38492022042109465125447"</f>
        <v>38492022042109465125447</v>
      </c>
      <c r="C1148" s="8" t="s">
        <v>21</v>
      </c>
      <c r="D1148" s="8" t="str">
        <f>"赖道喜"</f>
        <v>赖道喜</v>
      </c>
      <c r="E1148" s="8" t="str">
        <f t="shared" si="103"/>
        <v>男</v>
      </c>
    </row>
    <row r="1149" spans="1:5" ht="30" customHeight="1">
      <c r="A1149" s="8">
        <v>1146</v>
      </c>
      <c r="B1149" s="8" t="str">
        <f>"38492022042109474025458"</f>
        <v>38492022042109474025458</v>
      </c>
      <c r="C1149" s="8" t="s">
        <v>21</v>
      </c>
      <c r="D1149" s="8" t="str">
        <f>"符基伟"</f>
        <v>符基伟</v>
      </c>
      <c r="E1149" s="8" t="str">
        <f t="shared" si="103"/>
        <v>男</v>
      </c>
    </row>
    <row r="1150" spans="1:5" ht="30" customHeight="1">
      <c r="A1150" s="8">
        <v>1147</v>
      </c>
      <c r="B1150" s="8" t="str">
        <f>"38492022042109482225468"</f>
        <v>38492022042109482225468</v>
      </c>
      <c r="C1150" s="8" t="s">
        <v>21</v>
      </c>
      <c r="D1150" s="8" t="str">
        <f>"何禹生"</f>
        <v>何禹生</v>
      </c>
      <c r="E1150" s="8" t="str">
        <f t="shared" si="103"/>
        <v>男</v>
      </c>
    </row>
    <row r="1151" spans="1:5" ht="30" customHeight="1">
      <c r="A1151" s="8">
        <v>1148</v>
      </c>
      <c r="B1151" s="8" t="str">
        <f>"38492022042109493525485"</f>
        <v>38492022042109493525485</v>
      </c>
      <c r="C1151" s="8" t="s">
        <v>21</v>
      </c>
      <c r="D1151" s="8" t="str">
        <f>"黄堂"</f>
        <v>黄堂</v>
      </c>
      <c r="E1151" s="8" t="str">
        <f t="shared" si="103"/>
        <v>男</v>
      </c>
    </row>
    <row r="1152" spans="1:5" ht="30" customHeight="1">
      <c r="A1152" s="8">
        <v>1149</v>
      </c>
      <c r="B1152" s="8" t="str">
        <f>"38492022042109523625518"</f>
        <v>38492022042109523625518</v>
      </c>
      <c r="C1152" s="8" t="s">
        <v>21</v>
      </c>
      <c r="D1152" s="8" t="str">
        <f>"陈文娜"</f>
        <v>陈文娜</v>
      </c>
      <c r="E1152" s="8" t="str">
        <f aca="true" t="shared" si="104" ref="E1152:E1155">"女"</f>
        <v>女</v>
      </c>
    </row>
    <row r="1153" spans="1:5" ht="30" customHeight="1">
      <c r="A1153" s="8">
        <v>1150</v>
      </c>
      <c r="B1153" s="8" t="str">
        <f>"38492022042109531925533"</f>
        <v>38492022042109531925533</v>
      </c>
      <c r="C1153" s="8" t="s">
        <v>21</v>
      </c>
      <c r="D1153" s="8" t="str">
        <f>"吴翠女"</f>
        <v>吴翠女</v>
      </c>
      <c r="E1153" s="8" t="str">
        <f t="shared" si="104"/>
        <v>女</v>
      </c>
    </row>
    <row r="1154" spans="1:5" ht="30" customHeight="1">
      <c r="A1154" s="8">
        <v>1151</v>
      </c>
      <c r="B1154" s="8" t="str">
        <f>"38492022042109532925538"</f>
        <v>38492022042109532925538</v>
      </c>
      <c r="C1154" s="8" t="s">
        <v>21</v>
      </c>
      <c r="D1154" s="8" t="str">
        <f>"钟美萍"</f>
        <v>钟美萍</v>
      </c>
      <c r="E1154" s="8" t="str">
        <f t="shared" si="104"/>
        <v>女</v>
      </c>
    </row>
    <row r="1155" spans="1:5" ht="30" customHeight="1">
      <c r="A1155" s="8">
        <v>1152</v>
      </c>
      <c r="B1155" s="8" t="str">
        <f>"38492022042109533525540"</f>
        <v>38492022042109533525540</v>
      </c>
      <c r="C1155" s="8" t="s">
        <v>21</v>
      </c>
      <c r="D1155" s="8" t="str">
        <f>"卓小丽"</f>
        <v>卓小丽</v>
      </c>
      <c r="E1155" s="8" t="str">
        <f t="shared" si="104"/>
        <v>女</v>
      </c>
    </row>
    <row r="1156" spans="1:5" ht="30" customHeight="1">
      <c r="A1156" s="8">
        <v>1153</v>
      </c>
      <c r="B1156" s="8" t="str">
        <f>"38492022042109541225549"</f>
        <v>38492022042109541225549</v>
      </c>
      <c r="C1156" s="8" t="s">
        <v>21</v>
      </c>
      <c r="D1156" s="8" t="str">
        <f>"孙堂堂"</f>
        <v>孙堂堂</v>
      </c>
      <c r="E1156" s="8" t="str">
        <f aca="true" t="shared" si="105" ref="E1156:E1159">"男"</f>
        <v>男</v>
      </c>
    </row>
    <row r="1157" spans="1:5" ht="30" customHeight="1">
      <c r="A1157" s="8">
        <v>1154</v>
      </c>
      <c r="B1157" s="8" t="str">
        <f>"38492022042109541725551"</f>
        <v>38492022042109541725551</v>
      </c>
      <c r="C1157" s="8" t="s">
        <v>21</v>
      </c>
      <c r="D1157" s="8" t="str">
        <f>"欧昌富"</f>
        <v>欧昌富</v>
      </c>
      <c r="E1157" s="8" t="str">
        <f t="shared" si="105"/>
        <v>男</v>
      </c>
    </row>
    <row r="1158" spans="1:5" ht="30" customHeight="1">
      <c r="A1158" s="8">
        <v>1155</v>
      </c>
      <c r="B1158" s="8" t="str">
        <f>"38492022042109542025552"</f>
        <v>38492022042109542025552</v>
      </c>
      <c r="C1158" s="8" t="s">
        <v>21</v>
      </c>
      <c r="D1158" s="8" t="str">
        <f>"廖月容"</f>
        <v>廖月容</v>
      </c>
      <c r="E1158" s="8" t="str">
        <f aca="true" t="shared" si="106" ref="E1158:E1163">"女"</f>
        <v>女</v>
      </c>
    </row>
    <row r="1159" spans="1:5" ht="30" customHeight="1">
      <c r="A1159" s="8">
        <v>1156</v>
      </c>
      <c r="B1159" s="8" t="str">
        <f>"38492022042109543525553"</f>
        <v>38492022042109543525553</v>
      </c>
      <c r="C1159" s="8" t="s">
        <v>21</v>
      </c>
      <c r="D1159" s="8" t="str">
        <f>"李涛"</f>
        <v>李涛</v>
      </c>
      <c r="E1159" s="8" t="str">
        <f t="shared" si="105"/>
        <v>男</v>
      </c>
    </row>
    <row r="1160" spans="1:5" ht="30" customHeight="1">
      <c r="A1160" s="8">
        <v>1157</v>
      </c>
      <c r="B1160" s="8" t="str">
        <f>"38492022042109551125565"</f>
        <v>38492022042109551125565</v>
      </c>
      <c r="C1160" s="8" t="s">
        <v>21</v>
      </c>
      <c r="D1160" s="8" t="str">
        <f>"符珑晶"</f>
        <v>符珑晶</v>
      </c>
      <c r="E1160" s="8" t="str">
        <f t="shared" si="106"/>
        <v>女</v>
      </c>
    </row>
    <row r="1161" spans="1:5" ht="30" customHeight="1">
      <c r="A1161" s="8">
        <v>1158</v>
      </c>
      <c r="B1161" s="8" t="str">
        <f>"38492022042109552325569"</f>
        <v>38492022042109552325569</v>
      </c>
      <c r="C1161" s="8" t="s">
        <v>21</v>
      </c>
      <c r="D1161" s="8" t="str">
        <f>"曾宪政"</f>
        <v>曾宪政</v>
      </c>
      <c r="E1161" s="8" t="str">
        <f>"男"</f>
        <v>男</v>
      </c>
    </row>
    <row r="1162" spans="1:5" ht="30" customHeight="1">
      <c r="A1162" s="8">
        <v>1159</v>
      </c>
      <c r="B1162" s="8" t="str">
        <f>"38492022042109555725572"</f>
        <v>38492022042109555725572</v>
      </c>
      <c r="C1162" s="8" t="s">
        <v>21</v>
      </c>
      <c r="D1162" s="8" t="str">
        <f>"王小银"</f>
        <v>王小银</v>
      </c>
      <c r="E1162" s="8" t="str">
        <f t="shared" si="106"/>
        <v>女</v>
      </c>
    </row>
    <row r="1163" spans="1:5" ht="30" customHeight="1">
      <c r="A1163" s="8">
        <v>1160</v>
      </c>
      <c r="B1163" s="8" t="str">
        <f>"38492022042109561125574"</f>
        <v>38492022042109561125574</v>
      </c>
      <c r="C1163" s="8" t="s">
        <v>21</v>
      </c>
      <c r="D1163" s="8" t="str">
        <f>"黄琪"</f>
        <v>黄琪</v>
      </c>
      <c r="E1163" s="8" t="str">
        <f t="shared" si="106"/>
        <v>女</v>
      </c>
    </row>
    <row r="1164" spans="1:5" ht="30" customHeight="1">
      <c r="A1164" s="8">
        <v>1161</v>
      </c>
      <c r="B1164" s="8" t="str">
        <f>"38492022042109563925582"</f>
        <v>38492022042109563925582</v>
      </c>
      <c r="C1164" s="8" t="s">
        <v>21</v>
      </c>
      <c r="D1164" s="8" t="str">
        <f>"李德康"</f>
        <v>李德康</v>
      </c>
      <c r="E1164" s="8" t="str">
        <f aca="true" t="shared" si="107" ref="E1164:E1169">"男"</f>
        <v>男</v>
      </c>
    </row>
    <row r="1165" spans="1:5" ht="30" customHeight="1">
      <c r="A1165" s="8">
        <v>1162</v>
      </c>
      <c r="B1165" s="8" t="str">
        <f>"38492022042109564925584"</f>
        <v>38492022042109564925584</v>
      </c>
      <c r="C1165" s="8" t="s">
        <v>21</v>
      </c>
      <c r="D1165" s="8" t="str">
        <f>"王佳鹤"</f>
        <v>王佳鹤</v>
      </c>
      <c r="E1165" s="8" t="str">
        <f aca="true" t="shared" si="108" ref="E1165:E1170">"女"</f>
        <v>女</v>
      </c>
    </row>
    <row r="1166" spans="1:5" ht="30" customHeight="1">
      <c r="A1166" s="8">
        <v>1163</v>
      </c>
      <c r="B1166" s="8" t="str">
        <f>"38492022042109571625589"</f>
        <v>38492022042109571625589</v>
      </c>
      <c r="C1166" s="8" t="s">
        <v>21</v>
      </c>
      <c r="D1166" s="8" t="str">
        <f>"刘楚蓥"</f>
        <v>刘楚蓥</v>
      </c>
      <c r="E1166" s="8" t="str">
        <f t="shared" si="108"/>
        <v>女</v>
      </c>
    </row>
    <row r="1167" spans="1:5" ht="30" customHeight="1">
      <c r="A1167" s="8">
        <v>1164</v>
      </c>
      <c r="B1167" s="8" t="str">
        <f>"38492022042109572625593"</f>
        <v>38492022042109572625593</v>
      </c>
      <c r="C1167" s="8" t="s">
        <v>21</v>
      </c>
      <c r="D1167" s="8" t="str">
        <f>"曾达"</f>
        <v>曾达</v>
      </c>
      <c r="E1167" s="8" t="str">
        <f t="shared" si="107"/>
        <v>男</v>
      </c>
    </row>
    <row r="1168" spans="1:5" ht="30" customHeight="1">
      <c r="A1168" s="8">
        <v>1165</v>
      </c>
      <c r="B1168" s="8" t="str">
        <f>"38492022042109575425595"</f>
        <v>38492022042109575425595</v>
      </c>
      <c r="C1168" s="8" t="s">
        <v>21</v>
      </c>
      <c r="D1168" s="8" t="str">
        <f>"唐真武"</f>
        <v>唐真武</v>
      </c>
      <c r="E1168" s="8" t="str">
        <f t="shared" si="107"/>
        <v>男</v>
      </c>
    </row>
    <row r="1169" spans="1:5" ht="30" customHeight="1">
      <c r="A1169" s="8">
        <v>1166</v>
      </c>
      <c r="B1169" s="8" t="str">
        <f>"38492022042109580325598"</f>
        <v>38492022042109580325598</v>
      </c>
      <c r="C1169" s="8" t="s">
        <v>21</v>
      </c>
      <c r="D1169" s="8" t="str">
        <f>"谭孟思"</f>
        <v>谭孟思</v>
      </c>
      <c r="E1169" s="8" t="str">
        <f t="shared" si="107"/>
        <v>男</v>
      </c>
    </row>
    <row r="1170" spans="1:5" ht="30" customHeight="1">
      <c r="A1170" s="8">
        <v>1167</v>
      </c>
      <c r="B1170" s="8" t="str">
        <f>"38492022042109580825599"</f>
        <v>38492022042109580825599</v>
      </c>
      <c r="C1170" s="8" t="s">
        <v>21</v>
      </c>
      <c r="D1170" s="8" t="str">
        <f>"熊婷婷"</f>
        <v>熊婷婷</v>
      </c>
      <c r="E1170" s="8" t="str">
        <f t="shared" si="108"/>
        <v>女</v>
      </c>
    </row>
    <row r="1171" spans="1:5" ht="30" customHeight="1">
      <c r="A1171" s="8">
        <v>1168</v>
      </c>
      <c r="B1171" s="8" t="str">
        <f>"38492022042109582925604"</f>
        <v>38492022042109582925604</v>
      </c>
      <c r="C1171" s="8" t="s">
        <v>21</v>
      </c>
      <c r="D1171" s="8" t="str">
        <f>"王孝坚"</f>
        <v>王孝坚</v>
      </c>
      <c r="E1171" s="8" t="str">
        <f aca="true" t="shared" si="109" ref="E1171:E1173">"男"</f>
        <v>男</v>
      </c>
    </row>
    <row r="1172" spans="1:5" ht="30" customHeight="1">
      <c r="A1172" s="8">
        <v>1169</v>
      </c>
      <c r="B1172" s="8" t="str">
        <f>"38492022042109583825610"</f>
        <v>38492022042109583825610</v>
      </c>
      <c r="C1172" s="8" t="s">
        <v>21</v>
      </c>
      <c r="D1172" s="8" t="str">
        <f>"熊文豪"</f>
        <v>熊文豪</v>
      </c>
      <c r="E1172" s="8" t="str">
        <f t="shared" si="109"/>
        <v>男</v>
      </c>
    </row>
    <row r="1173" spans="1:5" ht="30" customHeight="1">
      <c r="A1173" s="8">
        <v>1170</v>
      </c>
      <c r="B1173" s="8" t="str">
        <f>"38492022042109591125623"</f>
        <v>38492022042109591125623</v>
      </c>
      <c r="C1173" s="8" t="s">
        <v>21</v>
      </c>
      <c r="D1173" s="8" t="str">
        <f>"王森"</f>
        <v>王森</v>
      </c>
      <c r="E1173" s="8" t="str">
        <f t="shared" si="109"/>
        <v>男</v>
      </c>
    </row>
    <row r="1174" spans="1:5" ht="30" customHeight="1">
      <c r="A1174" s="8">
        <v>1171</v>
      </c>
      <c r="B1174" s="8" t="str">
        <f>"38492022042109595325632"</f>
        <v>38492022042109595325632</v>
      </c>
      <c r="C1174" s="8" t="s">
        <v>21</v>
      </c>
      <c r="D1174" s="8" t="str">
        <f>"吴对凤"</f>
        <v>吴对凤</v>
      </c>
      <c r="E1174" s="8" t="str">
        <f aca="true" t="shared" si="110" ref="E1174:E1176">"女"</f>
        <v>女</v>
      </c>
    </row>
    <row r="1175" spans="1:5" ht="30" customHeight="1">
      <c r="A1175" s="8">
        <v>1172</v>
      </c>
      <c r="B1175" s="8" t="str">
        <f>"38492022042110003125644"</f>
        <v>38492022042110003125644</v>
      </c>
      <c r="C1175" s="8" t="s">
        <v>21</v>
      </c>
      <c r="D1175" s="8" t="str">
        <f>"郑家丽"</f>
        <v>郑家丽</v>
      </c>
      <c r="E1175" s="8" t="str">
        <f t="shared" si="110"/>
        <v>女</v>
      </c>
    </row>
    <row r="1176" spans="1:5" ht="30" customHeight="1">
      <c r="A1176" s="8">
        <v>1173</v>
      </c>
      <c r="B1176" s="8" t="str">
        <f>"38492022042110013825655"</f>
        <v>38492022042110013825655</v>
      </c>
      <c r="C1176" s="8" t="s">
        <v>21</v>
      </c>
      <c r="D1176" s="8" t="str">
        <f>"黄平"</f>
        <v>黄平</v>
      </c>
      <c r="E1176" s="8" t="str">
        <f t="shared" si="110"/>
        <v>女</v>
      </c>
    </row>
    <row r="1177" spans="1:5" ht="30" customHeight="1">
      <c r="A1177" s="8">
        <v>1174</v>
      </c>
      <c r="B1177" s="8" t="str">
        <f>"38492022042110021225660"</f>
        <v>38492022042110021225660</v>
      </c>
      <c r="C1177" s="8" t="s">
        <v>21</v>
      </c>
      <c r="D1177" s="8" t="str">
        <f>"赵海博"</f>
        <v>赵海博</v>
      </c>
      <c r="E1177" s="8" t="str">
        <f aca="true" t="shared" si="111" ref="E1177:E1182">"男"</f>
        <v>男</v>
      </c>
    </row>
    <row r="1178" spans="1:5" ht="30" customHeight="1">
      <c r="A1178" s="8">
        <v>1175</v>
      </c>
      <c r="B1178" s="8" t="str">
        <f>"38492022042110021525662"</f>
        <v>38492022042110021525662</v>
      </c>
      <c r="C1178" s="8" t="s">
        <v>21</v>
      </c>
      <c r="D1178" s="8" t="str">
        <f>"黄小燕"</f>
        <v>黄小燕</v>
      </c>
      <c r="E1178" s="8" t="str">
        <f aca="true" t="shared" si="112" ref="E1178:E1184">"女"</f>
        <v>女</v>
      </c>
    </row>
    <row r="1179" spans="1:5" ht="30" customHeight="1">
      <c r="A1179" s="8">
        <v>1176</v>
      </c>
      <c r="B1179" s="8" t="str">
        <f>"38492022042110025025669"</f>
        <v>38492022042110025025669</v>
      </c>
      <c r="C1179" s="8" t="s">
        <v>21</v>
      </c>
      <c r="D1179" s="8" t="str">
        <f>"蔡妃"</f>
        <v>蔡妃</v>
      </c>
      <c r="E1179" s="8" t="str">
        <f t="shared" si="112"/>
        <v>女</v>
      </c>
    </row>
    <row r="1180" spans="1:5" ht="30" customHeight="1">
      <c r="A1180" s="8">
        <v>1177</v>
      </c>
      <c r="B1180" s="8" t="str">
        <f>"38492022042110034425677"</f>
        <v>38492022042110034425677</v>
      </c>
      <c r="C1180" s="8" t="s">
        <v>21</v>
      </c>
      <c r="D1180" s="8" t="str">
        <f>"符祥智"</f>
        <v>符祥智</v>
      </c>
      <c r="E1180" s="8" t="str">
        <f t="shared" si="111"/>
        <v>男</v>
      </c>
    </row>
    <row r="1181" spans="1:5" ht="30" customHeight="1">
      <c r="A1181" s="8">
        <v>1178</v>
      </c>
      <c r="B1181" s="8" t="str">
        <f>"38492022042110040225680"</f>
        <v>38492022042110040225680</v>
      </c>
      <c r="C1181" s="8" t="s">
        <v>21</v>
      </c>
      <c r="D1181" s="8" t="str">
        <f>"郑弘新"</f>
        <v>郑弘新</v>
      </c>
      <c r="E1181" s="8" t="str">
        <f t="shared" si="111"/>
        <v>男</v>
      </c>
    </row>
    <row r="1182" spans="1:5" ht="30" customHeight="1">
      <c r="A1182" s="8">
        <v>1179</v>
      </c>
      <c r="B1182" s="8" t="str">
        <f>"38492022042110041825684"</f>
        <v>38492022042110041825684</v>
      </c>
      <c r="C1182" s="8" t="s">
        <v>21</v>
      </c>
      <c r="D1182" s="8" t="str">
        <f>"蔡於旺"</f>
        <v>蔡於旺</v>
      </c>
      <c r="E1182" s="8" t="str">
        <f t="shared" si="111"/>
        <v>男</v>
      </c>
    </row>
    <row r="1183" spans="1:5" ht="30" customHeight="1">
      <c r="A1183" s="8">
        <v>1180</v>
      </c>
      <c r="B1183" s="8" t="str">
        <f>"38492022042110043725686"</f>
        <v>38492022042110043725686</v>
      </c>
      <c r="C1183" s="8" t="s">
        <v>21</v>
      </c>
      <c r="D1183" s="8" t="str">
        <f>"罗静"</f>
        <v>罗静</v>
      </c>
      <c r="E1183" s="8" t="str">
        <f t="shared" si="112"/>
        <v>女</v>
      </c>
    </row>
    <row r="1184" spans="1:5" ht="30" customHeight="1">
      <c r="A1184" s="8">
        <v>1181</v>
      </c>
      <c r="B1184" s="8" t="str">
        <f>"38492022042110051525695"</f>
        <v>38492022042110051525695</v>
      </c>
      <c r="C1184" s="8" t="s">
        <v>21</v>
      </c>
      <c r="D1184" s="8" t="str">
        <f>"陈羿兑"</f>
        <v>陈羿兑</v>
      </c>
      <c r="E1184" s="8" t="str">
        <f t="shared" si="112"/>
        <v>女</v>
      </c>
    </row>
    <row r="1185" spans="1:5" ht="30" customHeight="1">
      <c r="A1185" s="8">
        <v>1182</v>
      </c>
      <c r="B1185" s="8" t="str">
        <f>"38492022042110054125700"</f>
        <v>38492022042110054125700</v>
      </c>
      <c r="C1185" s="8" t="s">
        <v>21</v>
      </c>
      <c r="D1185" s="8" t="str">
        <f>"林敬涛"</f>
        <v>林敬涛</v>
      </c>
      <c r="E1185" s="8" t="str">
        <f aca="true" t="shared" si="113" ref="E1185:E1189">"男"</f>
        <v>男</v>
      </c>
    </row>
    <row r="1186" spans="1:5" ht="30" customHeight="1">
      <c r="A1186" s="8">
        <v>1183</v>
      </c>
      <c r="B1186" s="8" t="str">
        <f>"38492022042110065625716"</f>
        <v>38492022042110065625716</v>
      </c>
      <c r="C1186" s="8" t="s">
        <v>21</v>
      </c>
      <c r="D1186" s="8" t="str">
        <f>"魏昕格"</f>
        <v>魏昕格</v>
      </c>
      <c r="E1186" s="8" t="str">
        <f aca="true" t="shared" si="114" ref="E1186:E1190">"女"</f>
        <v>女</v>
      </c>
    </row>
    <row r="1187" spans="1:5" ht="30" customHeight="1">
      <c r="A1187" s="8">
        <v>1184</v>
      </c>
      <c r="B1187" s="8" t="str">
        <f>"38492022042110075625728"</f>
        <v>38492022042110075625728</v>
      </c>
      <c r="C1187" s="8" t="s">
        <v>21</v>
      </c>
      <c r="D1187" s="8" t="str">
        <f>"李玉如"</f>
        <v>李玉如</v>
      </c>
      <c r="E1187" s="8" t="str">
        <f t="shared" si="114"/>
        <v>女</v>
      </c>
    </row>
    <row r="1188" spans="1:5" ht="30" customHeight="1">
      <c r="A1188" s="8">
        <v>1185</v>
      </c>
      <c r="B1188" s="8" t="str">
        <f>"38492022042110082925736"</f>
        <v>38492022042110082925736</v>
      </c>
      <c r="C1188" s="8" t="s">
        <v>21</v>
      </c>
      <c r="D1188" s="8" t="str">
        <f>"黄彦彰"</f>
        <v>黄彦彰</v>
      </c>
      <c r="E1188" s="8" t="str">
        <f t="shared" si="113"/>
        <v>男</v>
      </c>
    </row>
    <row r="1189" spans="1:5" ht="30" customHeight="1">
      <c r="A1189" s="8">
        <v>1186</v>
      </c>
      <c r="B1189" s="8" t="str">
        <f>"38492022042110083325737"</f>
        <v>38492022042110083325737</v>
      </c>
      <c r="C1189" s="8" t="s">
        <v>21</v>
      </c>
      <c r="D1189" s="8" t="str">
        <f>"李朝权"</f>
        <v>李朝权</v>
      </c>
      <c r="E1189" s="8" t="str">
        <f t="shared" si="113"/>
        <v>男</v>
      </c>
    </row>
    <row r="1190" spans="1:5" ht="30" customHeight="1">
      <c r="A1190" s="8">
        <v>1187</v>
      </c>
      <c r="B1190" s="8" t="str">
        <f>"38492022042110084625739"</f>
        <v>38492022042110084625739</v>
      </c>
      <c r="C1190" s="8" t="s">
        <v>21</v>
      </c>
      <c r="D1190" s="8" t="str">
        <f>"潘郑"</f>
        <v>潘郑</v>
      </c>
      <c r="E1190" s="8" t="str">
        <f t="shared" si="114"/>
        <v>女</v>
      </c>
    </row>
    <row r="1191" spans="1:5" ht="30" customHeight="1">
      <c r="A1191" s="8">
        <v>1188</v>
      </c>
      <c r="B1191" s="8" t="str">
        <f>"38492022042110094625748"</f>
        <v>38492022042110094625748</v>
      </c>
      <c r="C1191" s="8" t="s">
        <v>21</v>
      </c>
      <c r="D1191" s="8" t="str">
        <f>"周峻平"</f>
        <v>周峻平</v>
      </c>
      <c r="E1191" s="8" t="str">
        <f aca="true" t="shared" si="115" ref="E1191:E1195">"男"</f>
        <v>男</v>
      </c>
    </row>
    <row r="1192" spans="1:5" ht="30" customHeight="1">
      <c r="A1192" s="8">
        <v>1189</v>
      </c>
      <c r="B1192" s="8" t="str">
        <f>"38492022042110100825753"</f>
        <v>38492022042110100825753</v>
      </c>
      <c r="C1192" s="8" t="s">
        <v>21</v>
      </c>
      <c r="D1192" s="8" t="str">
        <f>"孙蕾"</f>
        <v>孙蕾</v>
      </c>
      <c r="E1192" s="8" t="str">
        <f aca="true" t="shared" si="116" ref="E1192:E1196">"女"</f>
        <v>女</v>
      </c>
    </row>
    <row r="1193" spans="1:5" ht="30" customHeight="1">
      <c r="A1193" s="8">
        <v>1190</v>
      </c>
      <c r="B1193" s="8" t="str">
        <f>"38492022042110104725766"</f>
        <v>38492022042110104725766</v>
      </c>
      <c r="C1193" s="8" t="s">
        <v>21</v>
      </c>
      <c r="D1193" s="8" t="str">
        <f>"吴强"</f>
        <v>吴强</v>
      </c>
      <c r="E1193" s="8" t="str">
        <f t="shared" si="115"/>
        <v>男</v>
      </c>
    </row>
    <row r="1194" spans="1:5" ht="30" customHeight="1">
      <c r="A1194" s="8">
        <v>1191</v>
      </c>
      <c r="B1194" s="8" t="str">
        <f>"38492022042110105925767"</f>
        <v>38492022042110105925767</v>
      </c>
      <c r="C1194" s="8" t="s">
        <v>21</v>
      </c>
      <c r="D1194" s="8" t="str">
        <f>"杨燕"</f>
        <v>杨燕</v>
      </c>
      <c r="E1194" s="8" t="str">
        <f t="shared" si="116"/>
        <v>女</v>
      </c>
    </row>
    <row r="1195" spans="1:5" ht="30" customHeight="1">
      <c r="A1195" s="8">
        <v>1192</v>
      </c>
      <c r="B1195" s="8" t="str">
        <f>"38492022042110122625783"</f>
        <v>38492022042110122625783</v>
      </c>
      <c r="C1195" s="8" t="s">
        <v>21</v>
      </c>
      <c r="D1195" s="8" t="str">
        <f>"吕明灏"</f>
        <v>吕明灏</v>
      </c>
      <c r="E1195" s="8" t="str">
        <f t="shared" si="115"/>
        <v>男</v>
      </c>
    </row>
    <row r="1196" spans="1:5" ht="30" customHeight="1">
      <c r="A1196" s="8">
        <v>1193</v>
      </c>
      <c r="B1196" s="8" t="str">
        <f>"38492022042110123825786"</f>
        <v>38492022042110123825786</v>
      </c>
      <c r="C1196" s="8" t="s">
        <v>21</v>
      </c>
      <c r="D1196" s="8" t="str">
        <f>"冯芝祯"</f>
        <v>冯芝祯</v>
      </c>
      <c r="E1196" s="8" t="str">
        <f t="shared" si="116"/>
        <v>女</v>
      </c>
    </row>
    <row r="1197" spans="1:5" ht="30" customHeight="1">
      <c r="A1197" s="8">
        <v>1194</v>
      </c>
      <c r="B1197" s="8" t="str">
        <f>"38492022042110131525793"</f>
        <v>38492022042110131525793</v>
      </c>
      <c r="C1197" s="8" t="s">
        <v>21</v>
      </c>
      <c r="D1197" s="8" t="str">
        <f>"曾乙刚"</f>
        <v>曾乙刚</v>
      </c>
      <c r="E1197" s="8" t="str">
        <f>"男"</f>
        <v>男</v>
      </c>
    </row>
    <row r="1198" spans="1:5" ht="30" customHeight="1">
      <c r="A1198" s="8">
        <v>1195</v>
      </c>
      <c r="B1198" s="8" t="str">
        <f>"38492022042110131625794"</f>
        <v>38492022042110131625794</v>
      </c>
      <c r="C1198" s="8" t="s">
        <v>21</v>
      </c>
      <c r="D1198" s="8" t="str">
        <f>"胡翼琴"</f>
        <v>胡翼琴</v>
      </c>
      <c r="E1198" s="8" t="str">
        <f aca="true" t="shared" si="117" ref="E1198:E1203">"女"</f>
        <v>女</v>
      </c>
    </row>
    <row r="1199" spans="1:5" ht="30" customHeight="1">
      <c r="A1199" s="8">
        <v>1196</v>
      </c>
      <c r="B1199" s="8" t="str">
        <f>"38492022042110132625796"</f>
        <v>38492022042110132625796</v>
      </c>
      <c r="C1199" s="8" t="s">
        <v>21</v>
      </c>
      <c r="D1199" s="8" t="str">
        <f>"陈婆仁"</f>
        <v>陈婆仁</v>
      </c>
      <c r="E1199" s="8" t="str">
        <f t="shared" si="117"/>
        <v>女</v>
      </c>
    </row>
    <row r="1200" spans="1:5" ht="30" customHeight="1">
      <c r="A1200" s="8">
        <v>1197</v>
      </c>
      <c r="B1200" s="8" t="str">
        <f>"38492022042110132725798"</f>
        <v>38492022042110132725798</v>
      </c>
      <c r="C1200" s="8" t="s">
        <v>21</v>
      </c>
      <c r="D1200" s="8" t="str">
        <f>"苏金霞"</f>
        <v>苏金霞</v>
      </c>
      <c r="E1200" s="8" t="str">
        <f t="shared" si="117"/>
        <v>女</v>
      </c>
    </row>
    <row r="1201" spans="1:5" ht="30" customHeight="1">
      <c r="A1201" s="8">
        <v>1198</v>
      </c>
      <c r="B1201" s="8" t="str">
        <f>"38492022042110141225805"</f>
        <v>38492022042110141225805</v>
      </c>
      <c r="C1201" s="8" t="s">
        <v>21</v>
      </c>
      <c r="D1201" s="8" t="str">
        <f>"张群燕"</f>
        <v>张群燕</v>
      </c>
      <c r="E1201" s="8" t="str">
        <f t="shared" si="117"/>
        <v>女</v>
      </c>
    </row>
    <row r="1202" spans="1:5" ht="30" customHeight="1">
      <c r="A1202" s="8">
        <v>1199</v>
      </c>
      <c r="B1202" s="8" t="str">
        <f>"38492022042110141725807"</f>
        <v>38492022042110141725807</v>
      </c>
      <c r="C1202" s="8" t="s">
        <v>21</v>
      </c>
      <c r="D1202" s="8" t="str">
        <f>"黄菁"</f>
        <v>黄菁</v>
      </c>
      <c r="E1202" s="8" t="str">
        <f t="shared" si="117"/>
        <v>女</v>
      </c>
    </row>
    <row r="1203" spans="1:5" ht="30" customHeight="1">
      <c r="A1203" s="8">
        <v>1200</v>
      </c>
      <c r="B1203" s="8" t="str">
        <f>"38492022042110150825816"</f>
        <v>38492022042110150825816</v>
      </c>
      <c r="C1203" s="8" t="s">
        <v>21</v>
      </c>
      <c r="D1203" s="8" t="str">
        <f>"陈莹莹"</f>
        <v>陈莹莹</v>
      </c>
      <c r="E1203" s="8" t="str">
        <f t="shared" si="117"/>
        <v>女</v>
      </c>
    </row>
    <row r="1204" spans="1:5" ht="30" customHeight="1">
      <c r="A1204" s="8">
        <v>1201</v>
      </c>
      <c r="B1204" s="8" t="str">
        <f>"38492022042110153625823"</f>
        <v>38492022042110153625823</v>
      </c>
      <c r="C1204" s="8" t="s">
        <v>21</v>
      </c>
      <c r="D1204" s="8" t="str">
        <f>"潘中榜"</f>
        <v>潘中榜</v>
      </c>
      <c r="E1204" s="8" t="str">
        <f>"男"</f>
        <v>男</v>
      </c>
    </row>
    <row r="1205" spans="1:5" ht="30" customHeight="1">
      <c r="A1205" s="8">
        <v>1202</v>
      </c>
      <c r="B1205" s="8" t="str">
        <f>"38492022042110154825827"</f>
        <v>38492022042110154825827</v>
      </c>
      <c r="C1205" s="8" t="s">
        <v>21</v>
      </c>
      <c r="D1205" s="8" t="str">
        <f>"吴业真"</f>
        <v>吴业真</v>
      </c>
      <c r="E1205" s="8" t="str">
        <f>"男"</f>
        <v>男</v>
      </c>
    </row>
    <row r="1206" spans="1:5" ht="30" customHeight="1">
      <c r="A1206" s="8">
        <v>1203</v>
      </c>
      <c r="B1206" s="8" t="str">
        <f>"38492022042110155525829"</f>
        <v>38492022042110155525829</v>
      </c>
      <c r="C1206" s="8" t="s">
        <v>21</v>
      </c>
      <c r="D1206" s="8" t="str">
        <f>"刘海鹏"</f>
        <v>刘海鹏</v>
      </c>
      <c r="E1206" s="8" t="str">
        <f aca="true" t="shared" si="118" ref="E1206:E1209">"女"</f>
        <v>女</v>
      </c>
    </row>
    <row r="1207" spans="1:5" ht="30" customHeight="1">
      <c r="A1207" s="8">
        <v>1204</v>
      </c>
      <c r="B1207" s="8" t="str">
        <f>"38492022042110165225835"</f>
        <v>38492022042110165225835</v>
      </c>
      <c r="C1207" s="8" t="s">
        <v>21</v>
      </c>
      <c r="D1207" s="8" t="str">
        <f>"邢诗心"</f>
        <v>邢诗心</v>
      </c>
      <c r="E1207" s="8" t="str">
        <f t="shared" si="118"/>
        <v>女</v>
      </c>
    </row>
    <row r="1208" spans="1:5" ht="30" customHeight="1">
      <c r="A1208" s="8">
        <v>1205</v>
      </c>
      <c r="B1208" s="8" t="str">
        <f>"38492022042110170625837"</f>
        <v>38492022042110170625837</v>
      </c>
      <c r="C1208" s="8" t="s">
        <v>21</v>
      </c>
      <c r="D1208" s="8" t="str">
        <f>"符风春"</f>
        <v>符风春</v>
      </c>
      <c r="E1208" s="8" t="str">
        <f t="shared" si="118"/>
        <v>女</v>
      </c>
    </row>
    <row r="1209" spans="1:5" ht="30" customHeight="1">
      <c r="A1209" s="8">
        <v>1206</v>
      </c>
      <c r="B1209" s="8" t="str">
        <f>"38492022042110171125839"</f>
        <v>38492022042110171125839</v>
      </c>
      <c r="C1209" s="8" t="s">
        <v>21</v>
      </c>
      <c r="D1209" s="8" t="str">
        <f>"王莹"</f>
        <v>王莹</v>
      </c>
      <c r="E1209" s="8" t="str">
        <f t="shared" si="118"/>
        <v>女</v>
      </c>
    </row>
    <row r="1210" spans="1:5" ht="30" customHeight="1">
      <c r="A1210" s="8">
        <v>1207</v>
      </c>
      <c r="B1210" s="8" t="str">
        <f>"38492022042110171325841"</f>
        <v>38492022042110171325841</v>
      </c>
      <c r="C1210" s="8" t="s">
        <v>21</v>
      </c>
      <c r="D1210" s="8" t="str">
        <f>"虞雨川"</f>
        <v>虞雨川</v>
      </c>
      <c r="E1210" s="8" t="str">
        <f aca="true" t="shared" si="119" ref="E1210:E1214">"男"</f>
        <v>男</v>
      </c>
    </row>
    <row r="1211" spans="1:5" ht="30" customHeight="1">
      <c r="A1211" s="8">
        <v>1208</v>
      </c>
      <c r="B1211" s="8" t="str">
        <f>"38492022042110175425851"</f>
        <v>38492022042110175425851</v>
      </c>
      <c r="C1211" s="8" t="s">
        <v>21</v>
      </c>
      <c r="D1211" s="8" t="str">
        <f>"符英柳"</f>
        <v>符英柳</v>
      </c>
      <c r="E1211" s="8" t="str">
        <f aca="true" t="shared" si="120" ref="E1211:E1217">"女"</f>
        <v>女</v>
      </c>
    </row>
    <row r="1212" spans="1:5" ht="30" customHeight="1">
      <c r="A1212" s="8">
        <v>1209</v>
      </c>
      <c r="B1212" s="8" t="str">
        <f>"38492022042110180025854"</f>
        <v>38492022042110180025854</v>
      </c>
      <c r="C1212" s="8" t="s">
        <v>21</v>
      </c>
      <c r="D1212" s="8" t="str">
        <f>"郑耀玺"</f>
        <v>郑耀玺</v>
      </c>
      <c r="E1212" s="8" t="str">
        <f t="shared" si="119"/>
        <v>男</v>
      </c>
    </row>
    <row r="1213" spans="1:5" ht="30" customHeight="1">
      <c r="A1213" s="8">
        <v>1210</v>
      </c>
      <c r="B1213" s="8" t="str">
        <f>"38492022042110181225859"</f>
        <v>38492022042110181225859</v>
      </c>
      <c r="C1213" s="8" t="s">
        <v>21</v>
      </c>
      <c r="D1213" s="8" t="str">
        <f>"陈壮辉"</f>
        <v>陈壮辉</v>
      </c>
      <c r="E1213" s="8" t="str">
        <f t="shared" si="119"/>
        <v>男</v>
      </c>
    </row>
    <row r="1214" spans="1:5" ht="30" customHeight="1">
      <c r="A1214" s="8">
        <v>1211</v>
      </c>
      <c r="B1214" s="8" t="str">
        <f>"38492022042110193225873"</f>
        <v>38492022042110193225873</v>
      </c>
      <c r="C1214" s="8" t="s">
        <v>21</v>
      </c>
      <c r="D1214" s="8" t="str">
        <f>"唐卓贤"</f>
        <v>唐卓贤</v>
      </c>
      <c r="E1214" s="8" t="str">
        <f t="shared" si="119"/>
        <v>男</v>
      </c>
    </row>
    <row r="1215" spans="1:5" ht="30" customHeight="1">
      <c r="A1215" s="8">
        <v>1212</v>
      </c>
      <c r="B1215" s="8" t="str">
        <f>"38492022042110193725874"</f>
        <v>38492022042110193725874</v>
      </c>
      <c r="C1215" s="8" t="s">
        <v>21</v>
      </c>
      <c r="D1215" s="8" t="str">
        <f>"曾叶梅"</f>
        <v>曾叶梅</v>
      </c>
      <c r="E1215" s="8" t="str">
        <f t="shared" si="120"/>
        <v>女</v>
      </c>
    </row>
    <row r="1216" spans="1:5" ht="30" customHeight="1">
      <c r="A1216" s="8">
        <v>1213</v>
      </c>
      <c r="B1216" s="8" t="str">
        <f>"38492022042110213425895"</f>
        <v>38492022042110213425895</v>
      </c>
      <c r="C1216" s="8" t="s">
        <v>21</v>
      </c>
      <c r="D1216" s="8" t="str">
        <f>"丁悦花"</f>
        <v>丁悦花</v>
      </c>
      <c r="E1216" s="8" t="str">
        <f t="shared" si="120"/>
        <v>女</v>
      </c>
    </row>
    <row r="1217" spans="1:5" ht="30" customHeight="1">
      <c r="A1217" s="8">
        <v>1214</v>
      </c>
      <c r="B1217" s="8" t="str">
        <f>"38492022042110225725918"</f>
        <v>38492022042110225725918</v>
      </c>
      <c r="C1217" s="8" t="s">
        <v>21</v>
      </c>
      <c r="D1217" s="8" t="str">
        <f>"莫冬羽"</f>
        <v>莫冬羽</v>
      </c>
      <c r="E1217" s="8" t="str">
        <f t="shared" si="120"/>
        <v>女</v>
      </c>
    </row>
    <row r="1218" spans="1:5" ht="30" customHeight="1">
      <c r="A1218" s="8">
        <v>1215</v>
      </c>
      <c r="B1218" s="8" t="str">
        <f>"38492022042110230825921"</f>
        <v>38492022042110230825921</v>
      </c>
      <c r="C1218" s="8" t="s">
        <v>21</v>
      </c>
      <c r="D1218" s="8" t="str">
        <f>"刘红晨"</f>
        <v>刘红晨</v>
      </c>
      <c r="E1218" s="8" t="str">
        <f aca="true" t="shared" si="121" ref="E1218:E1223">"男"</f>
        <v>男</v>
      </c>
    </row>
    <row r="1219" spans="1:5" ht="30" customHeight="1">
      <c r="A1219" s="8">
        <v>1216</v>
      </c>
      <c r="B1219" s="8" t="str">
        <f>"38492022042110234925932"</f>
        <v>38492022042110234925932</v>
      </c>
      <c r="C1219" s="8" t="s">
        <v>21</v>
      </c>
      <c r="D1219" s="8" t="str">
        <f>"陈积杰"</f>
        <v>陈积杰</v>
      </c>
      <c r="E1219" s="8" t="str">
        <f t="shared" si="121"/>
        <v>男</v>
      </c>
    </row>
    <row r="1220" spans="1:5" ht="30" customHeight="1">
      <c r="A1220" s="8">
        <v>1217</v>
      </c>
      <c r="B1220" s="8" t="str">
        <f>"38492022042110241725942"</f>
        <v>38492022042110241725942</v>
      </c>
      <c r="C1220" s="8" t="s">
        <v>21</v>
      </c>
      <c r="D1220" s="8" t="str">
        <f>"裴名俐"</f>
        <v>裴名俐</v>
      </c>
      <c r="E1220" s="8" t="str">
        <f aca="true" t="shared" si="122" ref="E1220:E1222">"女"</f>
        <v>女</v>
      </c>
    </row>
    <row r="1221" spans="1:5" ht="30" customHeight="1">
      <c r="A1221" s="8">
        <v>1218</v>
      </c>
      <c r="B1221" s="8" t="str">
        <f>"38492022042110245825950"</f>
        <v>38492022042110245825950</v>
      </c>
      <c r="C1221" s="8" t="s">
        <v>21</v>
      </c>
      <c r="D1221" s="8" t="str">
        <f>"肖丽红"</f>
        <v>肖丽红</v>
      </c>
      <c r="E1221" s="8" t="str">
        <f t="shared" si="122"/>
        <v>女</v>
      </c>
    </row>
    <row r="1222" spans="1:5" ht="30" customHeight="1">
      <c r="A1222" s="8">
        <v>1219</v>
      </c>
      <c r="B1222" s="8" t="str">
        <f>"38492022042110253225954"</f>
        <v>38492022042110253225954</v>
      </c>
      <c r="C1222" s="8" t="s">
        <v>21</v>
      </c>
      <c r="D1222" s="8" t="str">
        <f>"林小莉"</f>
        <v>林小莉</v>
      </c>
      <c r="E1222" s="8" t="str">
        <f t="shared" si="122"/>
        <v>女</v>
      </c>
    </row>
    <row r="1223" spans="1:5" ht="30" customHeight="1">
      <c r="A1223" s="8">
        <v>1220</v>
      </c>
      <c r="B1223" s="8" t="str">
        <f>"38492022042110255025957"</f>
        <v>38492022042110255025957</v>
      </c>
      <c r="C1223" s="8" t="s">
        <v>21</v>
      </c>
      <c r="D1223" s="8" t="str">
        <f>"杨晋铭"</f>
        <v>杨晋铭</v>
      </c>
      <c r="E1223" s="8" t="str">
        <f t="shared" si="121"/>
        <v>男</v>
      </c>
    </row>
    <row r="1224" spans="1:5" ht="30" customHeight="1">
      <c r="A1224" s="8">
        <v>1221</v>
      </c>
      <c r="B1224" s="8" t="str">
        <f>"38492022042110272425978"</f>
        <v>38492022042110272425978</v>
      </c>
      <c r="C1224" s="8" t="s">
        <v>21</v>
      </c>
      <c r="D1224" s="8" t="str">
        <f>"陈媛媛"</f>
        <v>陈媛媛</v>
      </c>
      <c r="E1224" s="8" t="str">
        <f aca="true" t="shared" si="123" ref="E1224:E1229">"女"</f>
        <v>女</v>
      </c>
    </row>
    <row r="1225" spans="1:5" ht="30" customHeight="1">
      <c r="A1225" s="8">
        <v>1222</v>
      </c>
      <c r="B1225" s="8" t="str">
        <f>"38492022042110273825983"</f>
        <v>38492022042110273825983</v>
      </c>
      <c r="C1225" s="8" t="s">
        <v>21</v>
      </c>
      <c r="D1225" s="8" t="str">
        <f>"曾定雨"</f>
        <v>曾定雨</v>
      </c>
      <c r="E1225" s="8" t="str">
        <f t="shared" si="123"/>
        <v>女</v>
      </c>
    </row>
    <row r="1226" spans="1:5" ht="30" customHeight="1">
      <c r="A1226" s="8">
        <v>1223</v>
      </c>
      <c r="B1226" s="8" t="str">
        <f>"38492022042110275025985"</f>
        <v>38492022042110275025985</v>
      </c>
      <c r="C1226" s="8" t="s">
        <v>21</v>
      </c>
      <c r="D1226" s="8" t="str">
        <f>"苏杏军"</f>
        <v>苏杏军</v>
      </c>
      <c r="E1226" s="8" t="str">
        <f>"男"</f>
        <v>男</v>
      </c>
    </row>
    <row r="1227" spans="1:5" ht="30" customHeight="1">
      <c r="A1227" s="8">
        <v>1224</v>
      </c>
      <c r="B1227" s="8" t="str">
        <f>"38492022042110280725988"</f>
        <v>38492022042110280725988</v>
      </c>
      <c r="C1227" s="8" t="s">
        <v>21</v>
      </c>
      <c r="D1227" s="8" t="str">
        <f>"黄晓莹"</f>
        <v>黄晓莹</v>
      </c>
      <c r="E1227" s="8" t="str">
        <f t="shared" si="123"/>
        <v>女</v>
      </c>
    </row>
    <row r="1228" spans="1:5" ht="30" customHeight="1">
      <c r="A1228" s="8">
        <v>1225</v>
      </c>
      <c r="B1228" s="8" t="str">
        <f>"38492022042110291026006"</f>
        <v>38492022042110291026006</v>
      </c>
      <c r="C1228" s="8" t="s">
        <v>21</v>
      </c>
      <c r="D1228" s="8" t="str">
        <f>"谢秀梦"</f>
        <v>谢秀梦</v>
      </c>
      <c r="E1228" s="8" t="str">
        <f t="shared" si="123"/>
        <v>女</v>
      </c>
    </row>
    <row r="1229" spans="1:5" ht="30" customHeight="1">
      <c r="A1229" s="8">
        <v>1226</v>
      </c>
      <c r="B1229" s="8" t="str">
        <f>"38492022042110293426008"</f>
        <v>38492022042110293426008</v>
      </c>
      <c r="C1229" s="8" t="s">
        <v>21</v>
      </c>
      <c r="D1229" s="8" t="str">
        <f>"张娜"</f>
        <v>张娜</v>
      </c>
      <c r="E1229" s="8" t="str">
        <f t="shared" si="123"/>
        <v>女</v>
      </c>
    </row>
    <row r="1230" spans="1:5" ht="30" customHeight="1">
      <c r="A1230" s="8">
        <v>1227</v>
      </c>
      <c r="B1230" s="8" t="str">
        <f>"38492022042110293926009"</f>
        <v>38492022042110293926009</v>
      </c>
      <c r="C1230" s="8" t="s">
        <v>21</v>
      </c>
      <c r="D1230" s="8" t="str">
        <f>"吴李保"</f>
        <v>吴李保</v>
      </c>
      <c r="E1230" s="8" t="str">
        <f aca="true" t="shared" si="124" ref="E1230:E1233">"男"</f>
        <v>男</v>
      </c>
    </row>
    <row r="1231" spans="1:5" ht="30" customHeight="1">
      <c r="A1231" s="8">
        <v>1228</v>
      </c>
      <c r="B1231" s="8" t="str">
        <f>"38492022042110300726016"</f>
        <v>38492022042110300726016</v>
      </c>
      <c r="C1231" s="8" t="s">
        <v>21</v>
      </c>
      <c r="D1231" s="8" t="str">
        <f>"王燕舞"</f>
        <v>王燕舞</v>
      </c>
      <c r="E1231" s="8" t="str">
        <f aca="true" t="shared" si="125" ref="E1231:E1239">"女"</f>
        <v>女</v>
      </c>
    </row>
    <row r="1232" spans="1:5" ht="30" customHeight="1">
      <c r="A1232" s="8">
        <v>1229</v>
      </c>
      <c r="B1232" s="8" t="str">
        <f>"38492022042110303826024"</f>
        <v>38492022042110303826024</v>
      </c>
      <c r="C1232" s="8" t="s">
        <v>21</v>
      </c>
      <c r="D1232" s="8" t="str">
        <f>"陈奕埔"</f>
        <v>陈奕埔</v>
      </c>
      <c r="E1232" s="8" t="str">
        <f t="shared" si="124"/>
        <v>男</v>
      </c>
    </row>
    <row r="1233" spans="1:5" ht="30" customHeight="1">
      <c r="A1233" s="8">
        <v>1230</v>
      </c>
      <c r="B1233" s="8" t="str">
        <f>"38492022042110305226026"</f>
        <v>38492022042110305226026</v>
      </c>
      <c r="C1233" s="8" t="s">
        <v>21</v>
      </c>
      <c r="D1233" s="8" t="str">
        <f>"陈上丰"</f>
        <v>陈上丰</v>
      </c>
      <c r="E1233" s="8" t="str">
        <f t="shared" si="124"/>
        <v>男</v>
      </c>
    </row>
    <row r="1234" spans="1:5" ht="30" customHeight="1">
      <c r="A1234" s="8">
        <v>1231</v>
      </c>
      <c r="B1234" s="8" t="str">
        <f>"38492022042110320026043"</f>
        <v>38492022042110320026043</v>
      </c>
      <c r="C1234" s="8" t="s">
        <v>21</v>
      </c>
      <c r="D1234" s="8" t="str">
        <f>"张文丽"</f>
        <v>张文丽</v>
      </c>
      <c r="E1234" s="8" t="str">
        <f t="shared" si="125"/>
        <v>女</v>
      </c>
    </row>
    <row r="1235" spans="1:5" ht="30" customHeight="1">
      <c r="A1235" s="8">
        <v>1232</v>
      </c>
      <c r="B1235" s="8" t="str">
        <f>"38492022042110325626055"</f>
        <v>38492022042110325626055</v>
      </c>
      <c r="C1235" s="8" t="s">
        <v>21</v>
      </c>
      <c r="D1235" s="8" t="str">
        <f>"邵洁垠"</f>
        <v>邵洁垠</v>
      </c>
      <c r="E1235" s="8" t="str">
        <f t="shared" si="125"/>
        <v>女</v>
      </c>
    </row>
    <row r="1236" spans="1:5" ht="30" customHeight="1">
      <c r="A1236" s="8">
        <v>1233</v>
      </c>
      <c r="B1236" s="8" t="str">
        <f>"38492022042110330626056"</f>
        <v>38492022042110330626056</v>
      </c>
      <c r="C1236" s="8" t="s">
        <v>21</v>
      </c>
      <c r="D1236" s="8" t="str">
        <f>"吕秀美"</f>
        <v>吕秀美</v>
      </c>
      <c r="E1236" s="8" t="str">
        <f t="shared" si="125"/>
        <v>女</v>
      </c>
    </row>
    <row r="1237" spans="1:5" ht="30" customHeight="1">
      <c r="A1237" s="8">
        <v>1234</v>
      </c>
      <c r="B1237" s="8" t="str">
        <f>"38492022042110332626059"</f>
        <v>38492022042110332626059</v>
      </c>
      <c r="C1237" s="8" t="s">
        <v>21</v>
      </c>
      <c r="D1237" s="8" t="str">
        <f>"王岚"</f>
        <v>王岚</v>
      </c>
      <c r="E1237" s="8" t="str">
        <f t="shared" si="125"/>
        <v>女</v>
      </c>
    </row>
    <row r="1238" spans="1:5" ht="30" customHeight="1">
      <c r="A1238" s="8">
        <v>1235</v>
      </c>
      <c r="B1238" s="8" t="str">
        <f>"38492022042110342126071"</f>
        <v>38492022042110342126071</v>
      </c>
      <c r="C1238" s="8" t="s">
        <v>21</v>
      </c>
      <c r="D1238" s="8" t="str">
        <f>"马丽少"</f>
        <v>马丽少</v>
      </c>
      <c r="E1238" s="8" t="str">
        <f t="shared" si="125"/>
        <v>女</v>
      </c>
    </row>
    <row r="1239" spans="1:5" ht="30" customHeight="1">
      <c r="A1239" s="8">
        <v>1236</v>
      </c>
      <c r="B1239" s="8" t="str">
        <f>"38492022042110342326072"</f>
        <v>38492022042110342326072</v>
      </c>
      <c r="C1239" s="8" t="s">
        <v>21</v>
      </c>
      <c r="D1239" s="8" t="str">
        <f>"林鑫"</f>
        <v>林鑫</v>
      </c>
      <c r="E1239" s="8" t="str">
        <f t="shared" si="125"/>
        <v>女</v>
      </c>
    </row>
    <row r="1240" spans="1:5" ht="30" customHeight="1">
      <c r="A1240" s="8">
        <v>1237</v>
      </c>
      <c r="B1240" s="8" t="str">
        <f>"38492022042110343526074"</f>
        <v>38492022042110343526074</v>
      </c>
      <c r="C1240" s="8" t="s">
        <v>21</v>
      </c>
      <c r="D1240" s="8" t="str">
        <f>"万文君"</f>
        <v>万文君</v>
      </c>
      <c r="E1240" s="8" t="str">
        <f aca="true" t="shared" si="126" ref="E1240:E1243">"男"</f>
        <v>男</v>
      </c>
    </row>
    <row r="1241" spans="1:5" ht="30" customHeight="1">
      <c r="A1241" s="8">
        <v>1238</v>
      </c>
      <c r="B1241" s="8" t="str">
        <f>"38492022042110363226094"</f>
        <v>38492022042110363226094</v>
      </c>
      <c r="C1241" s="8" t="s">
        <v>21</v>
      </c>
      <c r="D1241" s="8" t="str">
        <f>"朱树帜"</f>
        <v>朱树帜</v>
      </c>
      <c r="E1241" s="8" t="str">
        <f t="shared" si="126"/>
        <v>男</v>
      </c>
    </row>
    <row r="1242" spans="1:5" ht="30" customHeight="1">
      <c r="A1242" s="8">
        <v>1239</v>
      </c>
      <c r="B1242" s="8" t="str">
        <f>"38492022042110380726112"</f>
        <v>38492022042110380726112</v>
      </c>
      <c r="C1242" s="8" t="s">
        <v>21</v>
      </c>
      <c r="D1242" s="8" t="str">
        <f>"麦明珍"</f>
        <v>麦明珍</v>
      </c>
      <c r="E1242" s="8" t="str">
        <f aca="true" t="shared" si="127" ref="E1242:E1249">"女"</f>
        <v>女</v>
      </c>
    </row>
    <row r="1243" spans="1:5" ht="30" customHeight="1">
      <c r="A1243" s="8">
        <v>1240</v>
      </c>
      <c r="B1243" s="8" t="str">
        <f>"38492022042110385426119"</f>
        <v>38492022042110385426119</v>
      </c>
      <c r="C1243" s="8" t="s">
        <v>21</v>
      </c>
      <c r="D1243" s="8" t="str">
        <f>"翁应达"</f>
        <v>翁应达</v>
      </c>
      <c r="E1243" s="8" t="str">
        <f t="shared" si="126"/>
        <v>男</v>
      </c>
    </row>
    <row r="1244" spans="1:5" ht="30" customHeight="1">
      <c r="A1244" s="8">
        <v>1241</v>
      </c>
      <c r="B1244" s="8" t="str">
        <f>"38492022042110404526139"</f>
        <v>38492022042110404526139</v>
      </c>
      <c r="C1244" s="8" t="s">
        <v>21</v>
      </c>
      <c r="D1244" s="8" t="str">
        <f>"潘孝彤"</f>
        <v>潘孝彤</v>
      </c>
      <c r="E1244" s="8" t="str">
        <f t="shared" si="127"/>
        <v>女</v>
      </c>
    </row>
    <row r="1245" spans="1:5" ht="30" customHeight="1">
      <c r="A1245" s="8">
        <v>1242</v>
      </c>
      <c r="B1245" s="8" t="str">
        <f>"38492022042110411326141"</f>
        <v>38492022042110411326141</v>
      </c>
      <c r="C1245" s="8" t="s">
        <v>21</v>
      </c>
      <c r="D1245" s="8" t="str">
        <f>"羊春松"</f>
        <v>羊春松</v>
      </c>
      <c r="E1245" s="8" t="str">
        <f>"男"</f>
        <v>男</v>
      </c>
    </row>
    <row r="1246" spans="1:5" ht="30" customHeight="1">
      <c r="A1246" s="8">
        <v>1243</v>
      </c>
      <c r="B1246" s="8" t="str">
        <f>"38492022042110412526144"</f>
        <v>38492022042110412526144</v>
      </c>
      <c r="C1246" s="8" t="s">
        <v>21</v>
      </c>
      <c r="D1246" s="8" t="str">
        <f>"王海玲"</f>
        <v>王海玲</v>
      </c>
      <c r="E1246" s="8" t="str">
        <f t="shared" si="127"/>
        <v>女</v>
      </c>
    </row>
    <row r="1247" spans="1:5" ht="30" customHeight="1">
      <c r="A1247" s="8">
        <v>1244</v>
      </c>
      <c r="B1247" s="8" t="str">
        <f>"38492022042110413826148"</f>
        <v>38492022042110413826148</v>
      </c>
      <c r="C1247" s="8" t="s">
        <v>21</v>
      </c>
      <c r="D1247" s="8" t="str">
        <f>"周静"</f>
        <v>周静</v>
      </c>
      <c r="E1247" s="8" t="str">
        <f t="shared" si="127"/>
        <v>女</v>
      </c>
    </row>
    <row r="1248" spans="1:5" ht="30" customHeight="1">
      <c r="A1248" s="8">
        <v>1245</v>
      </c>
      <c r="B1248" s="8" t="str">
        <f>"38492022042110414026150"</f>
        <v>38492022042110414026150</v>
      </c>
      <c r="C1248" s="8" t="s">
        <v>21</v>
      </c>
      <c r="D1248" s="8" t="str">
        <f>"吴雅琪"</f>
        <v>吴雅琪</v>
      </c>
      <c r="E1248" s="8" t="str">
        <f t="shared" si="127"/>
        <v>女</v>
      </c>
    </row>
    <row r="1249" spans="1:5" ht="30" customHeight="1">
      <c r="A1249" s="8">
        <v>1246</v>
      </c>
      <c r="B1249" s="8" t="str">
        <f>"38492022042110415026151"</f>
        <v>38492022042110415026151</v>
      </c>
      <c r="C1249" s="8" t="s">
        <v>21</v>
      </c>
      <c r="D1249" s="8" t="str">
        <f>"朱艺莹"</f>
        <v>朱艺莹</v>
      </c>
      <c r="E1249" s="8" t="str">
        <f t="shared" si="127"/>
        <v>女</v>
      </c>
    </row>
    <row r="1250" spans="1:5" ht="30" customHeight="1">
      <c r="A1250" s="8">
        <v>1247</v>
      </c>
      <c r="B1250" s="8" t="str">
        <f>"38492022042110415926153"</f>
        <v>38492022042110415926153</v>
      </c>
      <c r="C1250" s="8" t="s">
        <v>21</v>
      </c>
      <c r="D1250" s="8" t="str">
        <f>"曾小东"</f>
        <v>曾小东</v>
      </c>
      <c r="E1250" s="8" t="str">
        <f>"男"</f>
        <v>男</v>
      </c>
    </row>
    <row r="1251" spans="1:5" ht="30" customHeight="1">
      <c r="A1251" s="8">
        <v>1248</v>
      </c>
      <c r="B1251" s="8" t="str">
        <f>"38492022042110420626154"</f>
        <v>38492022042110420626154</v>
      </c>
      <c r="C1251" s="8" t="s">
        <v>21</v>
      </c>
      <c r="D1251" s="8" t="str">
        <f>"冼庆帝"</f>
        <v>冼庆帝</v>
      </c>
      <c r="E1251" s="8" t="str">
        <f>"男"</f>
        <v>男</v>
      </c>
    </row>
    <row r="1252" spans="1:5" ht="30" customHeight="1">
      <c r="A1252" s="8">
        <v>1249</v>
      </c>
      <c r="B1252" s="8" t="str">
        <f>"38492022042110421426159"</f>
        <v>38492022042110421426159</v>
      </c>
      <c r="C1252" s="8" t="s">
        <v>21</v>
      </c>
      <c r="D1252" s="8" t="str">
        <f>"林烨"</f>
        <v>林烨</v>
      </c>
      <c r="E1252" s="8" t="str">
        <f aca="true" t="shared" si="128" ref="E1252:E1256">"女"</f>
        <v>女</v>
      </c>
    </row>
    <row r="1253" spans="1:5" ht="30" customHeight="1">
      <c r="A1253" s="8">
        <v>1250</v>
      </c>
      <c r="B1253" s="8" t="str">
        <f>"38492022042110421626160"</f>
        <v>38492022042110421626160</v>
      </c>
      <c r="C1253" s="8" t="s">
        <v>21</v>
      </c>
      <c r="D1253" s="8" t="str">
        <f>"曾日新"</f>
        <v>曾日新</v>
      </c>
      <c r="E1253" s="8" t="str">
        <f t="shared" si="128"/>
        <v>女</v>
      </c>
    </row>
    <row r="1254" spans="1:5" ht="30" customHeight="1">
      <c r="A1254" s="8">
        <v>1251</v>
      </c>
      <c r="B1254" s="8" t="str">
        <f>"38492022042110424626168"</f>
        <v>38492022042110424626168</v>
      </c>
      <c r="C1254" s="8" t="s">
        <v>21</v>
      </c>
      <c r="D1254" s="8" t="str">
        <f>"吴小娜"</f>
        <v>吴小娜</v>
      </c>
      <c r="E1254" s="8" t="str">
        <f t="shared" si="128"/>
        <v>女</v>
      </c>
    </row>
    <row r="1255" spans="1:5" ht="30" customHeight="1">
      <c r="A1255" s="8">
        <v>1252</v>
      </c>
      <c r="B1255" s="8" t="str">
        <f>"38492022042110432726174"</f>
        <v>38492022042110432726174</v>
      </c>
      <c r="C1255" s="8" t="s">
        <v>21</v>
      </c>
      <c r="D1255" s="8" t="str">
        <f>"符淑研"</f>
        <v>符淑研</v>
      </c>
      <c r="E1255" s="8" t="str">
        <f t="shared" si="128"/>
        <v>女</v>
      </c>
    </row>
    <row r="1256" spans="1:5" ht="30" customHeight="1">
      <c r="A1256" s="8">
        <v>1253</v>
      </c>
      <c r="B1256" s="8" t="str">
        <f>"38492022042110433926177"</f>
        <v>38492022042110433926177</v>
      </c>
      <c r="C1256" s="8" t="s">
        <v>21</v>
      </c>
      <c r="D1256" s="8" t="str">
        <f>"孙川艳"</f>
        <v>孙川艳</v>
      </c>
      <c r="E1256" s="8" t="str">
        <f t="shared" si="128"/>
        <v>女</v>
      </c>
    </row>
    <row r="1257" spans="1:5" ht="30" customHeight="1">
      <c r="A1257" s="8">
        <v>1254</v>
      </c>
      <c r="B1257" s="8" t="str">
        <f>"38492022042110440126179"</f>
        <v>38492022042110440126179</v>
      </c>
      <c r="C1257" s="8" t="s">
        <v>21</v>
      </c>
      <c r="D1257" s="8" t="str">
        <f>"叶文熊"</f>
        <v>叶文熊</v>
      </c>
      <c r="E1257" s="8" t="str">
        <f aca="true" t="shared" si="129" ref="E1257:E1259">"男"</f>
        <v>男</v>
      </c>
    </row>
    <row r="1258" spans="1:5" ht="30" customHeight="1">
      <c r="A1258" s="8">
        <v>1255</v>
      </c>
      <c r="B1258" s="8" t="str">
        <f>"38492022042110441226182"</f>
        <v>38492022042110441226182</v>
      </c>
      <c r="C1258" s="8" t="s">
        <v>21</v>
      </c>
      <c r="D1258" s="8" t="str">
        <f>"余荟吉"</f>
        <v>余荟吉</v>
      </c>
      <c r="E1258" s="8" t="str">
        <f t="shared" si="129"/>
        <v>男</v>
      </c>
    </row>
    <row r="1259" spans="1:5" ht="30" customHeight="1">
      <c r="A1259" s="8">
        <v>1256</v>
      </c>
      <c r="B1259" s="8" t="str">
        <f>"38492022042110441526184"</f>
        <v>38492022042110441526184</v>
      </c>
      <c r="C1259" s="8" t="s">
        <v>21</v>
      </c>
      <c r="D1259" s="8" t="str">
        <f>"李振强"</f>
        <v>李振强</v>
      </c>
      <c r="E1259" s="8" t="str">
        <f t="shared" si="129"/>
        <v>男</v>
      </c>
    </row>
    <row r="1260" spans="1:5" ht="30" customHeight="1">
      <c r="A1260" s="8">
        <v>1257</v>
      </c>
      <c r="B1260" s="8" t="str">
        <f>"38492022042110441726185"</f>
        <v>38492022042110441726185</v>
      </c>
      <c r="C1260" s="8" t="s">
        <v>21</v>
      </c>
      <c r="D1260" s="8" t="str">
        <f>"陈凤嫦"</f>
        <v>陈凤嫦</v>
      </c>
      <c r="E1260" s="8" t="str">
        <f aca="true" t="shared" si="130" ref="E1260:E1262">"女"</f>
        <v>女</v>
      </c>
    </row>
    <row r="1261" spans="1:5" ht="30" customHeight="1">
      <c r="A1261" s="8">
        <v>1258</v>
      </c>
      <c r="B1261" s="8" t="str">
        <f>"38492022042110444526191"</f>
        <v>38492022042110444526191</v>
      </c>
      <c r="C1261" s="8" t="s">
        <v>21</v>
      </c>
      <c r="D1261" s="8" t="str">
        <f>"王小凤"</f>
        <v>王小凤</v>
      </c>
      <c r="E1261" s="8" t="str">
        <f t="shared" si="130"/>
        <v>女</v>
      </c>
    </row>
    <row r="1262" spans="1:5" ht="30" customHeight="1">
      <c r="A1262" s="8">
        <v>1259</v>
      </c>
      <c r="B1262" s="8" t="str">
        <f>"38492022042110445926194"</f>
        <v>38492022042110445926194</v>
      </c>
      <c r="C1262" s="8" t="s">
        <v>21</v>
      </c>
      <c r="D1262" s="8" t="str">
        <f>"吴诗琦"</f>
        <v>吴诗琦</v>
      </c>
      <c r="E1262" s="8" t="str">
        <f t="shared" si="130"/>
        <v>女</v>
      </c>
    </row>
    <row r="1263" spans="1:5" ht="30" customHeight="1">
      <c r="A1263" s="8">
        <v>1260</v>
      </c>
      <c r="B1263" s="8" t="str">
        <f>"38492022042110453826204"</f>
        <v>38492022042110453826204</v>
      </c>
      <c r="C1263" s="8" t="s">
        <v>21</v>
      </c>
      <c r="D1263" s="8" t="str">
        <f>"杨凯"</f>
        <v>杨凯</v>
      </c>
      <c r="E1263" s="8" t="str">
        <f aca="true" t="shared" si="131" ref="E1263:E1266">"男"</f>
        <v>男</v>
      </c>
    </row>
    <row r="1264" spans="1:5" ht="30" customHeight="1">
      <c r="A1264" s="8">
        <v>1261</v>
      </c>
      <c r="B1264" s="8" t="str">
        <f>"38492022042110463326212"</f>
        <v>38492022042110463326212</v>
      </c>
      <c r="C1264" s="8" t="s">
        <v>21</v>
      </c>
      <c r="D1264" s="8" t="str">
        <f>"吴开吉"</f>
        <v>吴开吉</v>
      </c>
      <c r="E1264" s="8" t="str">
        <f t="shared" si="131"/>
        <v>男</v>
      </c>
    </row>
    <row r="1265" spans="1:5" ht="30" customHeight="1">
      <c r="A1265" s="8">
        <v>1262</v>
      </c>
      <c r="B1265" s="8" t="str">
        <f>"38492022042110465426219"</f>
        <v>38492022042110465426219</v>
      </c>
      <c r="C1265" s="8" t="s">
        <v>21</v>
      </c>
      <c r="D1265" s="8" t="str">
        <f>"宋诗慧"</f>
        <v>宋诗慧</v>
      </c>
      <c r="E1265" s="8" t="str">
        <f aca="true" t="shared" si="132" ref="E1265:E1269">"女"</f>
        <v>女</v>
      </c>
    </row>
    <row r="1266" spans="1:5" ht="30" customHeight="1">
      <c r="A1266" s="8">
        <v>1263</v>
      </c>
      <c r="B1266" s="8" t="str">
        <f>"38492022042110465826221"</f>
        <v>38492022042110465826221</v>
      </c>
      <c r="C1266" s="8" t="s">
        <v>21</v>
      </c>
      <c r="D1266" s="8" t="str">
        <f>"张泽明"</f>
        <v>张泽明</v>
      </c>
      <c r="E1266" s="8" t="str">
        <f t="shared" si="131"/>
        <v>男</v>
      </c>
    </row>
    <row r="1267" spans="1:5" ht="30" customHeight="1">
      <c r="A1267" s="8">
        <v>1264</v>
      </c>
      <c r="B1267" s="8" t="str">
        <f>"38492022042110474326230"</f>
        <v>38492022042110474326230</v>
      </c>
      <c r="C1267" s="8" t="s">
        <v>21</v>
      </c>
      <c r="D1267" s="8" t="str">
        <f>"许敏"</f>
        <v>许敏</v>
      </c>
      <c r="E1267" s="8" t="str">
        <f t="shared" si="132"/>
        <v>女</v>
      </c>
    </row>
    <row r="1268" spans="1:5" ht="30" customHeight="1">
      <c r="A1268" s="8">
        <v>1265</v>
      </c>
      <c r="B1268" s="8" t="str">
        <f>"38492022042110482326237"</f>
        <v>38492022042110482326237</v>
      </c>
      <c r="C1268" s="8" t="s">
        <v>21</v>
      </c>
      <c r="D1268" s="8" t="str">
        <f>"吴必妹"</f>
        <v>吴必妹</v>
      </c>
      <c r="E1268" s="8" t="str">
        <f t="shared" si="132"/>
        <v>女</v>
      </c>
    </row>
    <row r="1269" spans="1:5" ht="30" customHeight="1">
      <c r="A1269" s="8">
        <v>1266</v>
      </c>
      <c r="B1269" s="8" t="str">
        <f>"38492022042110484426240"</f>
        <v>38492022042110484426240</v>
      </c>
      <c r="C1269" s="8" t="s">
        <v>21</v>
      </c>
      <c r="D1269" s="8" t="str">
        <f>"陈淑婷"</f>
        <v>陈淑婷</v>
      </c>
      <c r="E1269" s="8" t="str">
        <f t="shared" si="132"/>
        <v>女</v>
      </c>
    </row>
    <row r="1270" spans="1:5" ht="30" customHeight="1">
      <c r="A1270" s="8">
        <v>1267</v>
      </c>
      <c r="B1270" s="8" t="str">
        <f>"38492022042110485626246"</f>
        <v>38492022042110485626246</v>
      </c>
      <c r="C1270" s="8" t="s">
        <v>21</v>
      </c>
      <c r="D1270" s="8" t="str">
        <f>"王子棋"</f>
        <v>王子棋</v>
      </c>
      <c r="E1270" s="8" t="str">
        <f aca="true" t="shared" si="133" ref="E1270:E1274">"男"</f>
        <v>男</v>
      </c>
    </row>
    <row r="1271" spans="1:5" ht="30" customHeight="1">
      <c r="A1271" s="8">
        <v>1268</v>
      </c>
      <c r="B1271" s="8" t="str">
        <f>"38492022042110494626257"</f>
        <v>38492022042110494626257</v>
      </c>
      <c r="C1271" s="8" t="s">
        <v>21</v>
      </c>
      <c r="D1271" s="8" t="str">
        <f>"李翼定"</f>
        <v>李翼定</v>
      </c>
      <c r="E1271" s="8" t="str">
        <f t="shared" si="133"/>
        <v>男</v>
      </c>
    </row>
    <row r="1272" spans="1:5" ht="30" customHeight="1">
      <c r="A1272" s="8">
        <v>1269</v>
      </c>
      <c r="B1272" s="8" t="str">
        <f>"38492022042110501626264"</f>
        <v>38492022042110501626264</v>
      </c>
      <c r="C1272" s="8" t="s">
        <v>21</v>
      </c>
      <c r="D1272" s="8" t="str">
        <f>"苏树月"</f>
        <v>苏树月</v>
      </c>
      <c r="E1272" s="8" t="str">
        <f aca="true" t="shared" si="134" ref="E1272:E1276">"女"</f>
        <v>女</v>
      </c>
    </row>
    <row r="1273" spans="1:5" ht="30" customHeight="1">
      <c r="A1273" s="8">
        <v>1270</v>
      </c>
      <c r="B1273" s="8" t="str">
        <f>"38492022042110504326268"</f>
        <v>38492022042110504326268</v>
      </c>
      <c r="C1273" s="8" t="s">
        <v>21</v>
      </c>
      <c r="D1273" s="8" t="str">
        <f>"钟学帆"</f>
        <v>钟学帆</v>
      </c>
      <c r="E1273" s="8" t="str">
        <f t="shared" si="133"/>
        <v>男</v>
      </c>
    </row>
    <row r="1274" spans="1:5" ht="30" customHeight="1">
      <c r="A1274" s="8">
        <v>1271</v>
      </c>
      <c r="B1274" s="8" t="str">
        <f>"38492022042110515126286"</f>
        <v>38492022042110515126286</v>
      </c>
      <c r="C1274" s="8" t="s">
        <v>21</v>
      </c>
      <c r="D1274" s="8" t="str">
        <f>"郑进兴"</f>
        <v>郑进兴</v>
      </c>
      <c r="E1274" s="8" t="str">
        <f t="shared" si="133"/>
        <v>男</v>
      </c>
    </row>
    <row r="1275" spans="1:5" ht="30" customHeight="1">
      <c r="A1275" s="8">
        <v>1272</v>
      </c>
      <c r="B1275" s="8" t="str">
        <f>"38492022042110531226297"</f>
        <v>38492022042110531226297</v>
      </c>
      <c r="C1275" s="8" t="s">
        <v>21</v>
      </c>
      <c r="D1275" s="8" t="str">
        <f>"李佳凝"</f>
        <v>李佳凝</v>
      </c>
      <c r="E1275" s="8" t="str">
        <f t="shared" si="134"/>
        <v>女</v>
      </c>
    </row>
    <row r="1276" spans="1:5" ht="30" customHeight="1">
      <c r="A1276" s="8">
        <v>1273</v>
      </c>
      <c r="B1276" s="8" t="str">
        <f>"38492022042110535026301"</f>
        <v>38492022042110535026301</v>
      </c>
      <c r="C1276" s="8" t="s">
        <v>21</v>
      </c>
      <c r="D1276" s="8" t="str">
        <f>"符色燕"</f>
        <v>符色燕</v>
      </c>
      <c r="E1276" s="8" t="str">
        <f t="shared" si="134"/>
        <v>女</v>
      </c>
    </row>
    <row r="1277" spans="1:5" ht="30" customHeight="1">
      <c r="A1277" s="8">
        <v>1274</v>
      </c>
      <c r="B1277" s="8" t="str">
        <f>"38492022042110541626308"</f>
        <v>38492022042110541626308</v>
      </c>
      <c r="C1277" s="8" t="s">
        <v>21</v>
      </c>
      <c r="D1277" s="8" t="str">
        <f>"邓雯尹"</f>
        <v>邓雯尹</v>
      </c>
      <c r="E1277" s="8" t="str">
        <f aca="true" t="shared" si="135" ref="E1277:E1283">"男"</f>
        <v>男</v>
      </c>
    </row>
    <row r="1278" spans="1:5" ht="30" customHeight="1">
      <c r="A1278" s="8">
        <v>1275</v>
      </c>
      <c r="B1278" s="8" t="str">
        <f>"38492022042110542926311"</f>
        <v>38492022042110542926311</v>
      </c>
      <c r="C1278" s="8" t="s">
        <v>21</v>
      </c>
      <c r="D1278" s="8" t="str">
        <f>"林源杉"</f>
        <v>林源杉</v>
      </c>
      <c r="E1278" s="8" t="str">
        <f t="shared" si="135"/>
        <v>男</v>
      </c>
    </row>
    <row r="1279" spans="1:5" ht="30" customHeight="1">
      <c r="A1279" s="8">
        <v>1276</v>
      </c>
      <c r="B1279" s="8" t="str">
        <f>"38492022042110544626313"</f>
        <v>38492022042110544626313</v>
      </c>
      <c r="C1279" s="8" t="s">
        <v>21</v>
      </c>
      <c r="D1279" s="8" t="str">
        <f>"蔡小娜"</f>
        <v>蔡小娜</v>
      </c>
      <c r="E1279" s="8" t="str">
        <f aca="true" t="shared" si="136" ref="E1279:E1284">"女"</f>
        <v>女</v>
      </c>
    </row>
    <row r="1280" spans="1:5" ht="30" customHeight="1">
      <c r="A1280" s="8">
        <v>1277</v>
      </c>
      <c r="B1280" s="8" t="str">
        <f>"38492022042110550026315"</f>
        <v>38492022042110550026315</v>
      </c>
      <c r="C1280" s="8" t="s">
        <v>21</v>
      </c>
      <c r="D1280" s="8" t="str">
        <f>"邢艳冰"</f>
        <v>邢艳冰</v>
      </c>
      <c r="E1280" s="8" t="str">
        <f t="shared" si="136"/>
        <v>女</v>
      </c>
    </row>
    <row r="1281" spans="1:5" ht="30" customHeight="1">
      <c r="A1281" s="8">
        <v>1278</v>
      </c>
      <c r="B1281" s="8" t="str">
        <f>"38492022042110551626318"</f>
        <v>38492022042110551626318</v>
      </c>
      <c r="C1281" s="8" t="s">
        <v>21</v>
      </c>
      <c r="D1281" s="8" t="str">
        <f>"苏豪"</f>
        <v>苏豪</v>
      </c>
      <c r="E1281" s="8" t="str">
        <f t="shared" si="135"/>
        <v>男</v>
      </c>
    </row>
    <row r="1282" spans="1:5" ht="30" customHeight="1">
      <c r="A1282" s="8">
        <v>1279</v>
      </c>
      <c r="B1282" s="8" t="str">
        <f>"38492022042110575126345"</f>
        <v>38492022042110575126345</v>
      </c>
      <c r="C1282" s="8" t="s">
        <v>21</v>
      </c>
      <c r="D1282" s="8" t="str">
        <f>"华琛"</f>
        <v>华琛</v>
      </c>
      <c r="E1282" s="8" t="str">
        <f t="shared" si="135"/>
        <v>男</v>
      </c>
    </row>
    <row r="1283" spans="1:5" ht="30" customHeight="1">
      <c r="A1283" s="8">
        <v>1280</v>
      </c>
      <c r="B1283" s="8" t="str">
        <f>"38492022042110582826354"</f>
        <v>38492022042110582826354</v>
      </c>
      <c r="C1283" s="8" t="s">
        <v>21</v>
      </c>
      <c r="D1283" s="8" t="str">
        <f>"曾德杰"</f>
        <v>曾德杰</v>
      </c>
      <c r="E1283" s="8" t="str">
        <f t="shared" si="135"/>
        <v>男</v>
      </c>
    </row>
    <row r="1284" spans="1:5" ht="30" customHeight="1">
      <c r="A1284" s="8">
        <v>1281</v>
      </c>
      <c r="B1284" s="8" t="str">
        <f>"38492022042110585826361"</f>
        <v>38492022042110585826361</v>
      </c>
      <c r="C1284" s="8" t="s">
        <v>21</v>
      </c>
      <c r="D1284" s="8" t="str">
        <f>"许海霞"</f>
        <v>许海霞</v>
      </c>
      <c r="E1284" s="8" t="str">
        <f t="shared" si="136"/>
        <v>女</v>
      </c>
    </row>
    <row r="1285" spans="1:5" ht="30" customHeight="1">
      <c r="A1285" s="8">
        <v>1282</v>
      </c>
      <c r="B1285" s="8" t="str">
        <f>"38492022042110590626364"</f>
        <v>38492022042110590626364</v>
      </c>
      <c r="C1285" s="8" t="s">
        <v>21</v>
      </c>
      <c r="D1285" s="8" t="str">
        <f>"卢元东"</f>
        <v>卢元东</v>
      </c>
      <c r="E1285" s="8" t="str">
        <f aca="true" t="shared" si="137" ref="E1285:E1290">"男"</f>
        <v>男</v>
      </c>
    </row>
    <row r="1286" spans="1:5" ht="30" customHeight="1">
      <c r="A1286" s="8">
        <v>1283</v>
      </c>
      <c r="B1286" s="8" t="str">
        <f>"38492022042110592326368"</f>
        <v>38492022042110592326368</v>
      </c>
      <c r="C1286" s="8" t="s">
        <v>21</v>
      </c>
      <c r="D1286" s="8" t="str">
        <f>"彭翎"</f>
        <v>彭翎</v>
      </c>
      <c r="E1286" s="8" t="str">
        <f>"女"</f>
        <v>女</v>
      </c>
    </row>
    <row r="1287" spans="1:5" ht="30" customHeight="1">
      <c r="A1287" s="8">
        <v>1284</v>
      </c>
      <c r="B1287" s="8" t="str">
        <f>"38492022042111013926387"</f>
        <v>38492022042111013926387</v>
      </c>
      <c r="C1287" s="8" t="s">
        <v>21</v>
      </c>
      <c r="D1287" s="8" t="str">
        <f>"刘教伟"</f>
        <v>刘教伟</v>
      </c>
      <c r="E1287" s="8" t="str">
        <f t="shared" si="137"/>
        <v>男</v>
      </c>
    </row>
    <row r="1288" spans="1:5" ht="30" customHeight="1">
      <c r="A1288" s="8">
        <v>1285</v>
      </c>
      <c r="B1288" s="8" t="str">
        <f>"38492022042111085526456"</f>
        <v>38492022042111085526456</v>
      </c>
      <c r="C1288" s="8" t="s">
        <v>21</v>
      </c>
      <c r="D1288" s="8" t="str">
        <f>"郭仁海"</f>
        <v>郭仁海</v>
      </c>
      <c r="E1288" s="8" t="str">
        <f t="shared" si="137"/>
        <v>男</v>
      </c>
    </row>
    <row r="1289" spans="1:5" ht="30" customHeight="1">
      <c r="A1289" s="8">
        <v>1286</v>
      </c>
      <c r="B1289" s="8" t="str">
        <f>"38492022042111090226458"</f>
        <v>38492022042111090226458</v>
      </c>
      <c r="C1289" s="8" t="s">
        <v>21</v>
      </c>
      <c r="D1289" s="8" t="str">
        <f>"苏德豪"</f>
        <v>苏德豪</v>
      </c>
      <c r="E1289" s="8" t="str">
        <f t="shared" si="137"/>
        <v>男</v>
      </c>
    </row>
    <row r="1290" spans="1:5" ht="30" customHeight="1">
      <c r="A1290" s="8">
        <v>1287</v>
      </c>
      <c r="B1290" s="8" t="str">
        <f>"38492022042111091826462"</f>
        <v>38492022042111091826462</v>
      </c>
      <c r="C1290" s="8" t="s">
        <v>21</v>
      </c>
      <c r="D1290" s="8" t="str">
        <f>"林斌"</f>
        <v>林斌</v>
      </c>
      <c r="E1290" s="8" t="str">
        <f t="shared" si="137"/>
        <v>男</v>
      </c>
    </row>
    <row r="1291" spans="1:5" ht="30" customHeight="1">
      <c r="A1291" s="8">
        <v>1288</v>
      </c>
      <c r="B1291" s="8" t="str">
        <f>"38492022042111115126484"</f>
        <v>38492022042111115126484</v>
      </c>
      <c r="C1291" s="8" t="s">
        <v>21</v>
      </c>
      <c r="D1291" s="8" t="str">
        <f>"王萍"</f>
        <v>王萍</v>
      </c>
      <c r="E1291" s="8" t="str">
        <f aca="true" t="shared" si="138" ref="E1291:E1300">"女"</f>
        <v>女</v>
      </c>
    </row>
    <row r="1292" spans="1:5" ht="30" customHeight="1">
      <c r="A1292" s="8">
        <v>1289</v>
      </c>
      <c r="B1292" s="8" t="str">
        <f>"38492022042111123026489"</f>
        <v>38492022042111123026489</v>
      </c>
      <c r="C1292" s="8" t="s">
        <v>21</v>
      </c>
      <c r="D1292" s="8" t="str">
        <f>"韦荟岚"</f>
        <v>韦荟岚</v>
      </c>
      <c r="E1292" s="8" t="str">
        <f t="shared" si="138"/>
        <v>女</v>
      </c>
    </row>
    <row r="1293" spans="1:5" ht="30" customHeight="1">
      <c r="A1293" s="8">
        <v>1290</v>
      </c>
      <c r="B1293" s="8" t="str">
        <f>"38492022042111123026490"</f>
        <v>38492022042111123026490</v>
      </c>
      <c r="C1293" s="8" t="s">
        <v>21</v>
      </c>
      <c r="D1293" s="8" t="str">
        <f>"刘青旺"</f>
        <v>刘青旺</v>
      </c>
      <c r="E1293" s="8" t="str">
        <f>"男"</f>
        <v>男</v>
      </c>
    </row>
    <row r="1294" spans="1:5" ht="30" customHeight="1">
      <c r="A1294" s="8">
        <v>1291</v>
      </c>
      <c r="B1294" s="8" t="str">
        <f>"38492022042111123826491"</f>
        <v>38492022042111123826491</v>
      </c>
      <c r="C1294" s="8" t="s">
        <v>21</v>
      </c>
      <c r="D1294" s="8" t="str">
        <f>"王如玉"</f>
        <v>王如玉</v>
      </c>
      <c r="E1294" s="8" t="str">
        <f t="shared" si="138"/>
        <v>女</v>
      </c>
    </row>
    <row r="1295" spans="1:5" ht="30" customHeight="1">
      <c r="A1295" s="8">
        <v>1292</v>
      </c>
      <c r="B1295" s="8" t="str">
        <f>"38492022042111130626496"</f>
        <v>38492022042111130626496</v>
      </c>
      <c r="C1295" s="8" t="s">
        <v>21</v>
      </c>
      <c r="D1295" s="8" t="str">
        <f>"孙文"</f>
        <v>孙文</v>
      </c>
      <c r="E1295" s="8" t="str">
        <f t="shared" si="138"/>
        <v>女</v>
      </c>
    </row>
    <row r="1296" spans="1:5" ht="30" customHeight="1">
      <c r="A1296" s="8">
        <v>1293</v>
      </c>
      <c r="B1296" s="8" t="str">
        <f>"38492022042111131326498"</f>
        <v>38492022042111131326498</v>
      </c>
      <c r="C1296" s="8" t="s">
        <v>21</v>
      </c>
      <c r="D1296" s="8" t="str">
        <f>"陈月兰"</f>
        <v>陈月兰</v>
      </c>
      <c r="E1296" s="8" t="str">
        <f t="shared" si="138"/>
        <v>女</v>
      </c>
    </row>
    <row r="1297" spans="1:5" ht="30" customHeight="1">
      <c r="A1297" s="8">
        <v>1294</v>
      </c>
      <c r="B1297" s="8" t="str">
        <f>"38492022042111153926518"</f>
        <v>38492022042111153926518</v>
      </c>
      <c r="C1297" s="8" t="s">
        <v>21</v>
      </c>
      <c r="D1297" s="8" t="str">
        <f>"符彩花"</f>
        <v>符彩花</v>
      </c>
      <c r="E1297" s="8" t="str">
        <f t="shared" si="138"/>
        <v>女</v>
      </c>
    </row>
    <row r="1298" spans="1:5" ht="30" customHeight="1">
      <c r="A1298" s="8">
        <v>1295</v>
      </c>
      <c r="B1298" s="8" t="str">
        <f>"38492022042111154526519"</f>
        <v>38492022042111154526519</v>
      </c>
      <c r="C1298" s="8" t="s">
        <v>21</v>
      </c>
      <c r="D1298" s="8" t="str">
        <f>"陈彩娇"</f>
        <v>陈彩娇</v>
      </c>
      <c r="E1298" s="8" t="str">
        <f t="shared" si="138"/>
        <v>女</v>
      </c>
    </row>
    <row r="1299" spans="1:5" ht="30" customHeight="1">
      <c r="A1299" s="8">
        <v>1296</v>
      </c>
      <c r="B1299" s="8" t="str">
        <f>"38492022042111164126526"</f>
        <v>38492022042111164126526</v>
      </c>
      <c r="C1299" s="8" t="s">
        <v>21</v>
      </c>
      <c r="D1299" s="8" t="str">
        <f>"陈光菊"</f>
        <v>陈光菊</v>
      </c>
      <c r="E1299" s="8" t="str">
        <f t="shared" si="138"/>
        <v>女</v>
      </c>
    </row>
    <row r="1300" spans="1:5" ht="30" customHeight="1">
      <c r="A1300" s="8">
        <v>1297</v>
      </c>
      <c r="B1300" s="8" t="str">
        <f>"38492022042111171926534"</f>
        <v>38492022042111171926534</v>
      </c>
      <c r="C1300" s="8" t="s">
        <v>21</v>
      </c>
      <c r="D1300" s="8" t="str">
        <f>"文子双"</f>
        <v>文子双</v>
      </c>
      <c r="E1300" s="8" t="str">
        <f t="shared" si="138"/>
        <v>女</v>
      </c>
    </row>
    <row r="1301" spans="1:5" ht="30" customHeight="1">
      <c r="A1301" s="8">
        <v>1298</v>
      </c>
      <c r="B1301" s="8" t="str">
        <f>"38492022042111173726537"</f>
        <v>38492022042111173726537</v>
      </c>
      <c r="C1301" s="8" t="s">
        <v>21</v>
      </c>
      <c r="D1301" s="8" t="str">
        <f>"陈晓斌"</f>
        <v>陈晓斌</v>
      </c>
      <c r="E1301" s="8" t="str">
        <f aca="true" t="shared" si="139" ref="E1301:E1305">"男"</f>
        <v>男</v>
      </c>
    </row>
    <row r="1302" spans="1:5" ht="30" customHeight="1">
      <c r="A1302" s="8">
        <v>1299</v>
      </c>
      <c r="B1302" s="8" t="str">
        <f>"38492022042111182526543"</f>
        <v>38492022042111182526543</v>
      </c>
      <c r="C1302" s="8" t="s">
        <v>21</v>
      </c>
      <c r="D1302" s="8" t="str">
        <f>"羊嘉球"</f>
        <v>羊嘉球</v>
      </c>
      <c r="E1302" s="8" t="str">
        <f t="shared" si="139"/>
        <v>男</v>
      </c>
    </row>
    <row r="1303" spans="1:5" ht="30" customHeight="1">
      <c r="A1303" s="8">
        <v>1300</v>
      </c>
      <c r="B1303" s="8" t="str">
        <f>"38492022042111200026558"</f>
        <v>38492022042111200026558</v>
      </c>
      <c r="C1303" s="8" t="s">
        <v>21</v>
      </c>
      <c r="D1303" s="8" t="str">
        <f>"吴春燕"</f>
        <v>吴春燕</v>
      </c>
      <c r="E1303" s="8" t="str">
        <f aca="true" t="shared" si="140" ref="E1303:E1309">"女"</f>
        <v>女</v>
      </c>
    </row>
    <row r="1304" spans="1:5" ht="30" customHeight="1">
      <c r="A1304" s="8">
        <v>1301</v>
      </c>
      <c r="B1304" s="8" t="str">
        <f>"38492022042111205326564"</f>
        <v>38492022042111205326564</v>
      </c>
      <c r="C1304" s="8" t="s">
        <v>21</v>
      </c>
      <c r="D1304" s="8" t="str">
        <f>"龚业平"</f>
        <v>龚业平</v>
      </c>
      <c r="E1304" s="8" t="str">
        <f t="shared" si="139"/>
        <v>男</v>
      </c>
    </row>
    <row r="1305" spans="1:5" ht="30" customHeight="1">
      <c r="A1305" s="8">
        <v>1302</v>
      </c>
      <c r="B1305" s="8" t="str">
        <f>"38492022042111213626569"</f>
        <v>38492022042111213626569</v>
      </c>
      <c r="C1305" s="8" t="s">
        <v>21</v>
      </c>
      <c r="D1305" s="8" t="str">
        <f>"李桂林"</f>
        <v>李桂林</v>
      </c>
      <c r="E1305" s="8" t="str">
        <f t="shared" si="139"/>
        <v>男</v>
      </c>
    </row>
    <row r="1306" spans="1:5" ht="30" customHeight="1">
      <c r="A1306" s="8">
        <v>1303</v>
      </c>
      <c r="B1306" s="8" t="str">
        <f>"38492022042111220926573"</f>
        <v>38492022042111220926573</v>
      </c>
      <c r="C1306" s="8" t="s">
        <v>21</v>
      </c>
      <c r="D1306" s="8" t="str">
        <f>"卢福美"</f>
        <v>卢福美</v>
      </c>
      <c r="E1306" s="8" t="str">
        <f t="shared" si="140"/>
        <v>女</v>
      </c>
    </row>
    <row r="1307" spans="1:5" ht="30" customHeight="1">
      <c r="A1307" s="8">
        <v>1304</v>
      </c>
      <c r="B1307" s="8" t="str">
        <f>"38492022042111225326581"</f>
        <v>38492022042111225326581</v>
      </c>
      <c r="C1307" s="8" t="s">
        <v>21</v>
      </c>
      <c r="D1307" s="8" t="str">
        <f>"卢玉辉"</f>
        <v>卢玉辉</v>
      </c>
      <c r="E1307" s="8" t="str">
        <f>"男"</f>
        <v>男</v>
      </c>
    </row>
    <row r="1308" spans="1:5" ht="30" customHeight="1">
      <c r="A1308" s="8">
        <v>1305</v>
      </c>
      <c r="B1308" s="8" t="str">
        <f>"38492022042111241826595"</f>
        <v>38492022042111241826595</v>
      </c>
      <c r="C1308" s="8" t="s">
        <v>21</v>
      </c>
      <c r="D1308" s="8" t="str">
        <f>"郑莲英"</f>
        <v>郑莲英</v>
      </c>
      <c r="E1308" s="8" t="str">
        <f t="shared" si="140"/>
        <v>女</v>
      </c>
    </row>
    <row r="1309" spans="1:5" ht="30" customHeight="1">
      <c r="A1309" s="8">
        <v>1306</v>
      </c>
      <c r="B1309" s="8" t="str">
        <f>"38492022042111254126601"</f>
        <v>38492022042111254126601</v>
      </c>
      <c r="C1309" s="8" t="s">
        <v>21</v>
      </c>
      <c r="D1309" s="8" t="str">
        <f>"郭仁暖"</f>
        <v>郭仁暖</v>
      </c>
      <c r="E1309" s="8" t="str">
        <f t="shared" si="140"/>
        <v>女</v>
      </c>
    </row>
    <row r="1310" spans="1:5" ht="30" customHeight="1">
      <c r="A1310" s="8">
        <v>1307</v>
      </c>
      <c r="B1310" s="8" t="str">
        <f>"38492022042111293326634"</f>
        <v>38492022042111293326634</v>
      </c>
      <c r="C1310" s="8" t="s">
        <v>21</v>
      </c>
      <c r="D1310" s="8" t="str">
        <f>"吴武晋"</f>
        <v>吴武晋</v>
      </c>
      <c r="E1310" s="8" t="str">
        <f>"男"</f>
        <v>男</v>
      </c>
    </row>
    <row r="1311" spans="1:5" ht="30" customHeight="1">
      <c r="A1311" s="8">
        <v>1308</v>
      </c>
      <c r="B1311" s="8" t="str">
        <f>"38492022042111304226642"</f>
        <v>38492022042111304226642</v>
      </c>
      <c r="C1311" s="8" t="s">
        <v>21</v>
      </c>
      <c r="D1311" s="8" t="str">
        <f>"王淑莺"</f>
        <v>王淑莺</v>
      </c>
      <c r="E1311" s="8" t="str">
        <f aca="true" t="shared" si="141" ref="E1311:E1313">"女"</f>
        <v>女</v>
      </c>
    </row>
    <row r="1312" spans="1:5" ht="30" customHeight="1">
      <c r="A1312" s="8">
        <v>1309</v>
      </c>
      <c r="B1312" s="8" t="str">
        <f>"38492022042111305926644"</f>
        <v>38492022042111305926644</v>
      </c>
      <c r="C1312" s="8" t="s">
        <v>21</v>
      </c>
      <c r="D1312" s="8" t="str">
        <f>"闫铭"</f>
        <v>闫铭</v>
      </c>
      <c r="E1312" s="8" t="str">
        <f t="shared" si="141"/>
        <v>女</v>
      </c>
    </row>
    <row r="1313" spans="1:5" ht="30" customHeight="1">
      <c r="A1313" s="8">
        <v>1310</v>
      </c>
      <c r="B1313" s="8" t="str">
        <f>"38492022042111310826645"</f>
        <v>38492022042111310826645</v>
      </c>
      <c r="C1313" s="8" t="s">
        <v>21</v>
      </c>
      <c r="D1313" s="8" t="str">
        <f>"王万丹"</f>
        <v>王万丹</v>
      </c>
      <c r="E1313" s="8" t="str">
        <f t="shared" si="141"/>
        <v>女</v>
      </c>
    </row>
    <row r="1314" spans="1:5" ht="30" customHeight="1">
      <c r="A1314" s="8">
        <v>1311</v>
      </c>
      <c r="B1314" s="8" t="str">
        <f>"38492022042111314826652"</f>
        <v>38492022042111314826652</v>
      </c>
      <c r="C1314" s="8" t="s">
        <v>21</v>
      </c>
      <c r="D1314" s="8" t="str">
        <f>"黎道远"</f>
        <v>黎道远</v>
      </c>
      <c r="E1314" s="8" t="str">
        <f>"男"</f>
        <v>男</v>
      </c>
    </row>
    <row r="1315" spans="1:5" ht="30" customHeight="1">
      <c r="A1315" s="8">
        <v>1312</v>
      </c>
      <c r="B1315" s="8" t="str">
        <f>"38492022042111340826673"</f>
        <v>38492022042111340826673</v>
      </c>
      <c r="C1315" s="8" t="s">
        <v>21</v>
      </c>
      <c r="D1315" s="8" t="str">
        <f>"李珂琪"</f>
        <v>李珂琪</v>
      </c>
      <c r="E1315" s="8" t="str">
        <f aca="true" t="shared" si="142" ref="E1315:E1318">"女"</f>
        <v>女</v>
      </c>
    </row>
    <row r="1316" spans="1:5" ht="30" customHeight="1">
      <c r="A1316" s="8">
        <v>1313</v>
      </c>
      <c r="B1316" s="8" t="str">
        <f>"38492022042111342526675"</f>
        <v>38492022042111342526675</v>
      </c>
      <c r="C1316" s="8" t="s">
        <v>21</v>
      </c>
      <c r="D1316" s="8" t="str">
        <f>"薛蔚芳"</f>
        <v>薛蔚芳</v>
      </c>
      <c r="E1316" s="8" t="str">
        <f t="shared" si="142"/>
        <v>女</v>
      </c>
    </row>
    <row r="1317" spans="1:5" ht="30" customHeight="1">
      <c r="A1317" s="8">
        <v>1314</v>
      </c>
      <c r="B1317" s="8" t="str">
        <f>"38492022042111353626688"</f>
        <v>38492022042111353626688</v>
      </c>
      <c r="C1317" s="8" t="s">
        <v>21</v>
      </c>
      <c r="D1317" s="8" t="str">
        <f>"骆柳女"</f>
        <v>骆柳女</v>
      </c>
      <c r="E1317" s="8" t="str">
        <f t="shared" si="142"/>
        <v>女</v>
      </c>
    </row>
    <row r="1318" spans="1:5" ht="30" customHeight="1">
      <c r="A1318" s="8">
        <v>1315</v>
      </c>
      <c r="B1318" s="8" t="str">
        <f>"38492022042111362026695"</f>
        <v>38492022042111362026695</v>
      </c>
      <c r="C1318" s="8" t="s">
        <v>21</v>
      </c>
      <c r="D1318" s="8" t="str">
        <f>"张燕榕"</f>
        <v>张燕榕</v>
      </c>
      <c r="E1318" s="8" t="str">
        <f t="shared" si="142"/>
        <v>女</v>
      </c>
    </row>
    <row r="1319" spans="1:5" ht="30" customHeight="1">
      <c r="A1319" s="8">
        <v>1316</v>
      </c>
      <c r="B1319" s="8" t="str">
        <f>"38492022042111372826708"</f>
        <v>38492022042111372826708</v>
      </c>
      <c r="C1319" s="8" t="s">
        <v>21</v>
      </c>
      <c r="D1319" s="8" t="str">
        <f>"钟赞臣"</f>
        <v>钟赞臣</v>
      </c>
      <c r="E1319" s="8" t="str">
        <f aca="true" t="shared" si="143" ref="E1319:E1323">"男"</f>
        <v>男</v>
      </c>
    </row>
    <row r="1320" spans="1:5" ht="30" customHeight="1">
      <c r="A1320" s="8">
        <v>1317</v>
      </c>
      <c r="B1320" s="8" t="str">
        <f>"38492022042111391826742"</f>
        <v>38492022042111391826742</v>
      </c>
      <c r="C1320" s="8" t="s">
        <v>21</v>
      </c>
      <c r="D1320" s="8" t="str">
        <f>"李开华"</f>
        <v>李开华</v>
      </c>
      <c r="E1320" s="8" t="str">
        <f t="shared" si="143"/>
        <v>男</v>
      </c>
    </row>
    <row r="1321" spans="1:5" ht="30" customHeight="1">
      <c r="A1321" s="8">
        <v>1318</v>
      </c>
      <c r="B1321" s="8" t="str">
        <f>"38492022042111394926748"</f>
        <v>38492022042111394926748</v>
      </c>
      <c r="C1321" s="8" t="s">
        <v>21</v>
      </c>
      <c r="D1321" s="8" t="str">
        <f>"许茗茸"</f>
        <v>许茗茸</v>
      </c>
      <c r="E1321" s="8" t="str">
        <f aca="true" t="shared" si="144" ref="E1321:E1326">"女"</f>
        <v>女</v>
      </c>
    </row>
    <row r="1322" spans="1:5" ht="30" customHeight="1">
      <c r="A1322" s="8">
        <v>1319</v>
      </c>
      <c r="B1322" s="8" t="str">
        <f>"38492022042111402926755"</f>
        <v>38492022042111402926755</v>
      </c>
      <c r="C1322" s="8" t="s">
        <v>21</v>
      </c>
      <c r="D1322" s="8" t="str">
        <f>"曾小松"</f>
        <v>曾小松</v>
      </c>
      <c r="E1322" s="8" t="str">
        <f t="shared" si="143"/>
        <v>男</v>
      </c>
    </row>
    <row r="1323" spans="1:5" ht="30" customHeight="1">
      <c r="A1323" s="8">
        <v>1320</v>
      </c>
      <c r="B1323" s="8" t="str">
        <f>"38492022042111425826771"</f>
        <v>38492022042111425826771</v>
      </c>
      <c r="C1323" s="8" t="s">
        <v>21</v>
      </c>
      <c r="D1323" s="8" t="str">
        <f>"简子庞"</f>
        <v>简子庞</v>
      </c>
      <c r="E1323" s="8" t="str">
        <f t="shared" si="143"/>
        <v>男</v>
      </c>
    </row>
    <row r="1324" spans="1:5" ht="30" customHeight="1">
      <c r="A1324" s="8">
        <v>1321</v>
      </c>
      <c r="B1324" s="8" t="str">
        <f>"38492022042111431626776"</f>
        <v>38492022042111431626776</v>
      </c>
      <c r="C1324" s="8" t="s">
        <v>21</v>
      </c>
      <c r="D1324" s="8" t="str">
        <f>"黄宇"</f>
        <v>黄宇</v>
      </c>
      <c r="E1324" s="8" t="str">
        <f t="shared" si="144"/>
        <v>女</v>
      </c>
    </row>
    <row r="1325" spans="1:5" ht="30" customHeight="1">
      <c r="A1325" s="8">
        <v>1322</v>
      </c>
      <c r="B1325" s="8" t="str">
        <f>"38492022042111441126784"</f>
        <v>38492022042111441126784</v>
      </c>
      <c r="C1325" s="8" t="s">
        <v>21</v>
      </c>
      <c r="D1325" s="8" t="str">
        <f>"赵海燕"</f>
        <v>赵海燕</v>
      </c>
      <c r="E1325" s="8" t="str">
        <f t="shared" si="144"/>
        <v>女</v>
      </c>
    </row>
    <row r="1326" spans="1:5" ht="30" customHeight="1">
      <c r="A1326" s="8">
        <v>1323</v>
      </c>
      <c r="B1326" s="8" t="str">
        <f>"38492022042111451026794"</f>
        <v>38492022042111451026794</v>
      </c>
      <c r="C1326" s="8" t="s">
        <v>21</v>
      </c>
      <c r="D1326" s="8" t="str">
        <f>"刘英"</f>
        <v>刘英</v>
      </c>
      <c r="E1326" s="8" t="str">
        <f t="shared" si="144"/>
        <v>女</v>
      </c>
    </row>
    <row r="1327" spans="1:5" ht="30" customHeight="1">
      <c r="A1327" s="8">
        <v>1324</v>
      </c>
      <c r="B1327" s="8" t="str">
        <f>"38492022042111481326811"</f>
        <v>38492022042111481326811</v>
      </c>
      <c r="C1327" s="8" t="s">
        <v>21</v>
      </c>
      <c r="D1327" s="8" t="str">
        <f>"黄达鸣"</f>
        <v>黄达鸣</v>
      </c>
      <c r="E1327" s="8" t="str">
        <f aca="true" t="shared" si="145" ref="E1327:E1332">"男"</f>
        <v>男</v>
      </c>
    </row>
    <row r="1328" spans="1:5" ht="30" customHeight="1">
      <c r="A1328" s="8">
        <v>1325</v>
      </c>
      <c r="B1328" s="8" t="str">
        <f>"38492022042111481526812"</f>
        <v>38492022042111481526812</v>
      </c>
      <c r="C1328" s="8" t="s">
        <v>21</v>
      </c>
      <c r="D1328" s="8" t="str">
        <f>"王壮莲"</f>
        <v>王壮莲</v>
      </c>
      <c r="E1328" s="8" t="str">
        <f>"女"</f>
        <v>女</v>
      </c>
    </row>
    <row r="1329" spans="1:5" ht="30" customHeight="1">
      <c r="A1329" s="8">
        <v>1326</v>
      </c>
      <c r="B1329" s="8" t="str">
        <f>"38492022042111492926818"</f>
        <v>38492022042111492926818</v>
      </c>
      <c r="C1329" s="8" t="s">
        <v>21</v>
      </c>
      <c r="D1329" s="8" t="str">
        <f>"蔡泽翔"</f>
        <v>蔡泽翔</v>
      </c>
      <c r="E1329" s="8" t="str">
        <f t="shared" si="145"/>
        <v>男</v>
      </c>
    </row>
    <row r="1330" spans="1:5" ht="30" customHeight="1">
      <c r="A1330" s="8">
        <v>1327</v>
      </c>
      <c r="B1330" s="8" t="str">
        <f>"38492022042111513126836"</f>
        <v>38492022042111513126836</v>
      </c>
      <c r="C1330" s="8" t="s">
        <v>21</v>
      </c>
      <c r="D1330" s="8" t="str">
        <f>"黄浩"</f>
        <v>黄浩</v>
      </c>
      <c r="E1330" s="8" t="str">
        <f t="shared" si="145"/>
        <v>男</v>
      </c>
    </row>
    <row r="1331" spans="1:5" ht="30" customHeight="1">
      <c r="A1331" s="8">
        <v>1328</v>
      </c>
      <c r="B1331" s="8" t="str">
        <f>"38492022042111521726840"</f>
        <v>38492022042111521726840</v>
      </c>
      <c r="C1331" s="8" t="s">
        <v>21</v>
      </c>
      <c r="D1331" s="8" t="str">
        <f>"林仙"</f>
        <v>林仙</v>
      </c>
      <c r="E1331" s="8" t="str">
        <f t="shared" si="145"/>
        <v>男</v>
      </c>
    </row>
    <row r="1332" spans="1:5" ht="30" customHeight="1">
      <c r="A1332" s="8">
        <v>1329</v>
      </c>
      <c r="B1332" s="8" t="str">
        <f>"38492022042111532126846"</f>
        <v>38492022042111532126846</v>
      </c>
      <c r="C1332" s="8" t="s">
        <v>21</v>
      </c>
      <c r="D1332" s="8" t="str">
        <f>"符翔超"</f>
        <v>符翔超</v>
      </c>
      <c r="E1332" s="8" t="str">
        <f t="shared" si="145"/>
        <v>男</v>
      </c>
    </row>
    <row r="1333" spans="1:5" ht="30" customHeight="1">
      <c r="A1333" s="8">
        <v>1330</v>
      </c>
      <c r="B1333" s="8" t="str">
        <f>"38492022042111532226847"</f>
        <v>38492022042111532226847</v>
      </c>
      <c r="C1333" s="8" t="s">
        <v>21</v>
      </c>
      <c r="D1333" s="8" t="str">
        <f>"沈秋静"</f>
        <v>沈秋静</v>
      </c>
      <c r="E1333" s="8" t="str">
        <f>"女"</f>
        <v>女</v>
      </c>
    </row>
    <row r="1334" spans="1:5" ht="30" customHeight="1">
      <c r="A1334" s="8">
        <v>1331</v>
      </c>
      <c r="B1334" s="8" t="str">
        <f>"38492022042111535826863"</f>
        <v>38492022042111535826863</v>
      </c>
      <c r="C1334" s="8" t="s">
        <v>21</v>
      </c>
      <c r="D1334" s="8" t="str">
        <f>"羊江花"</f>
        <v>羊江花</v>
      </c>
      <c r="E1334" s="8" t="str">
        <f>"女"</f>
        <v>女</v>
      </c>
    </row>
    <row r="1335" spans="1:5" ht="30" customHeight="1">
      <c r="A1335" s="8">
        <v>1332</v>
      </c>
      <c r="B1335" s="8" t="str">
        <f>"38492022042111543526867"</f>
        <v>38492022042111543526867</v>
      </c>
      <c r="C1335" s="8" t="s">
        <v>21</v>
      </c>
      <c r="D1335" s="8" t="str">
        <f>"尹智强"</f>
        <v>尹智强</v>
      </c>
      <c r="E1335" s="8" t="str">
        <f aca="true" t="shared" si="146" ref="E1335:E1340">"男"</f>
        <v>男</v>
      </c>
    </row>
    <row r="1336" spans="1:5" ht="30" customHeight="1">
      <c r="A1336" s="8">
        <v>1333</v>
      </c>
      <c r="B1336" s="8" t="str">
        <f>"38492022042111554326873"</f>
        <v>38492022042111554326873</v>
      </c>
      <c r="C1336" s="8" t="s">
        <v>21</v>
      </c>
      <c r="D1336" s="8" t="str">
        <f>"梁知皇"</f>
        <v>梁知皇</v>
      </c>
      <c r="E1336" s="8" t="str">
        <f t="shared" si="146"/>
        <v>男</v>
      </c>
    </row>
    <row r="1337" spans="1:5" ht="30" customHeight="1">
      <c r="A1337" s="8">
        <v>1334</v>
      </c>
      <c r="B1337" s="8" t="str">
        <f>"38492022042111555126875"</f>
        <v>38492022042111555126875</v>
      </c>
      <c r="C1337" s="8" t="s">
        <v>21</v>
      </c>
      <c r="D1337" s="8" t="str">
        <f>"陈冲"</f>
        <v>陈冲</v>
      </c>
      <c r="E1337" s="8" t="str">
        <f t="shared" si="146"/>
        <v>男</v>
      </c>
    </row>
    <row r="1338" spans="1:5" ht="30" customHeight="1">
      <c r="A1338" s="8">
        <v>1335</v>
      </c>
      <c r="B1338" s="8" t="str">
        <f>"38492022042111555426877"</f>
        <v>38492022042111555426877</v>
      </c>
      <c r="C1338" s="8" t="s">
        <v>21</v>
      </c>
      <c r="D1338" s="8" t="str">
        <f>"叶思立"</f>
        <v>叶思立</v>
      </c>
      <c r="E1338" s="8" t="str">
        <f t="shared" si="146"/>
        <v>男</v>
      </c>
    </row>
    <row r="1339" spans="1:5" ht="30" customHeight="1">
      <c r="A1339" s="8">
        <v>1336</v>
      </c>
      <c r="B1339" s="8" t="str">
        <f>"38492022042111575126892"</f>
        <v>38492022042111575126892</v>
      </c>
      <c r="C1339" s="8" t="s">
        <v>21</v>
      </c>
      <c r="D1339" s="8" t="str">
        <f>"吴云"</f>
        <v>吴云</v>
      </c>
      <c r="E1339" s="8" t="str">
        <f t="shared" si="146"/>
        <v>男</v>
      </c>
    </row>
    <row r="1340" spans="1:5" ht="30" customHeight="1">
      <c r="A1340" s="8">
        <v>1337</v>
      </c>
      <c r="B1340" s="8" t="str">
        <f>"38492022042112011026909"</f>
        <v>38492022042112011026909</v>
      </c>
      <c r="C1340" s="8" t="s">
        <v>21</v>
      </c>
      <c r="D1340" s="8" t="str">
        <f>"郑煌"</f>
        <v>郑煌</v>
      </c>
      <c r="E1340" s="8" t="str">
        <f t="shared" si="146"/>
        <v>男</v>
      </c>
    </row>
    <row r="1341" spans="1:5" ht="30" customHeight="1">
      <c r="A1341" s="8">
        <v>1338</v>
      </c>
      <c r="B1341" s="8" t="str">
        <f>"38492022042112034326921"</f>
        <v>38492022042112034326921</v>
      </c>
      <c r="C1341" s="8" t="s">
        <v>21</v>
      </c>
      <c r="D1341" s="8" t="str">
        <f>"林子"</f>
        <v>林子</v>
      </c>
      <c r="E1341" s="8" t="str">
        <f>"女"</f>
        <v>女</v>
      </c>
    </row>
    <row r="1342" spans="1:5" ht="30" customHeight="1">
      <c r="A1342" s="8">
        <v>1339</v>
      </c>
      <c r="B1342" s="8" t="str">
        <f>"38492022042112074926952"</f>
        <v>38492022042112074926952</v>
      </c>
      <c r="C1342" s="8" t="s">
        <v>21</v>
      </c>
      <c r="D1342" s="8" t="str">
        <f>"林师锐"</f>
        <v>林师锐</v>
      </c>
      <c r="E1342" s="8" t="str">
        <f aca="true" t="shared" si="147" ref="E1342:E1344">"男"</f>
        <v>男</v>
      </c>
    </row>
    <row r="1343" spans="1:5" ht="30" customHeight="1">
      <c r="A1343" s="8">
        <v>1340</v>
      </c>
      <c r="B1343" s="8" t="str">
        <f>"38492022042112084026958"</f>
        <v>38492022042112084026958</v>
      </c>
      <c r="C1343" s="8" t="s">
        <v>21</v>
      </c>
      <c r="D1343" s="8" t="str">
        <f>"薛之峥"</f>
        <v>薛之峥</v>
      </c>
      <c r="E1343" s="8" t="str">
        <f t="shared" si="147"/>
        <v>男</v>
      </c>
    </row>
    <row r="1344" spans="1:5" ht="30" customHeight="1">
      <c r="A1344" s="8">
        <v>1341</v>
      </c>
      <c r="B1344" s="8" t="str">
        <f>"38492022042112092926966"</f>
        <v>38492022042112092926966</v>
      </c>
      <c r="C1344" s="8" t="s">
        <v>21</v>
      </c>
      <c r="D1344" s="8" t="str">
        <f>"洪光明"</f>
        <v>洪光明</v>
      </c>
      <c r="E1344" s="8" t="str">
        <f t="shared" si="147"/>
        <v>男</v>
      </c>
    </row>
    <row r="1345" spans="1:5" ht="30" customHeight="1">
      <c r="A1345" s="8">
        <v>1342</v>
      </c>
      <c r="B1345" s="8" t="str">
        <f>"38492022042112154326994"</f>
        <v>38492022042112154326994</v>
      </c>
      <c r="C1345" s="8" t="s">
        <v>21</v>
      </c>
      <c r="D1345" s="8" t="str">
        <f>"王雅"</f>
        <v>王雅</v>
      </c>
      <c r="E1345" s="8" t="str">
        <f>"女"</f>
        <v>女</v>
      </c>
    </row>
    <row r="1346" spans="1:5" ht="30" customHeight="1">
      <c r="A1346" s="8">
        <v>1343</v>
      </c>
      <c r="B1346" s="8" t="str">
        <f>"38492022042112232727043"</f>
        <v>38492022042112232727043</v>
      </c>
      <c r="C1346" s="8" t="s">
        <v>21</v>
      </c>
      <c r="D1346" s="8" t="str">
        <f>"何伟"</f>
        <v>何伟</v>
      </c>
      <c r="E1346" s="8" t="str">
        <f aca="true" t="shared" si="148" ref="E1346:E1350">"男"</f>
        <v>男</v>
      </c>
    </row>
    <row r="1347" spans="1:5" ht="30" customHeight="1">
      <c r="A1347" s="8">
        <v>1344</v>
      </c>
      <c r="B1347" s="8" t="str">
        <f>"38492022042112242027049"</f>
        <v>38492022042112242027049</v>
      </c>
      <c r="C1347" s="8" t="s">
        <v>21</v>
      </c>
      <c r="D1347" s="8" t="str">
        <f>"王健生"</f>
        <v>王健生</v>
      </c>
      <c r="E1347" s="8" t="str">
        <f t="shared" si="148"/>
        <v>男</v>
      </c>
    </row>
    <row r="1348" spans="1:5" ht="30" customHeight="1">
      <c r="A1348" s="8">
        <v>1345</v>
      </c>
      <c r="B1348" s="8" t="str">
        <f>"38492022042112255627063"</f>
        <v>38492022042112255627063</v>
      </c>
      <c r="C1348" s="8" t="s">
        <v>21</v>
      </c>
      <c r="D1348" s="8" t="str">
        <f>"黎祺昕"</f>
        <v>黎祺昕</v>
      </c>
      <c r="E1348" s="8" t="str">
        <f t="shared" si="148"/>
        <v>男</v>
      </c>
    </row>
    <row r="1349" spans="1:5" ht="30" customHeight="1">
      <c r="A1349" s="8">
        <v>1346</v>
      </c>
      <c r="B1349" s="8" t="str">
        <f>"38492022042112295727090"</f>
        <v>38492022042112295727090</v>
      </c>
      <c r="C1349" s="8" t="s">
        <v>21</v>
      </c>
      <c r="D1349" s="8" t="str">
        <f>"王宝新"</f>
        <v>王宝新</v>
      </c>
      <c r="E1349" s="8" t="str">
        <f t="shared" si="148"/>
        <v>男</v>
      </c>
    </row>
    <row r="1350" spans="1:5" ht="30" customHeight="1">
      <c r="A1350" s="8">
        <v>1347</v>
      </c>
      <c r="B1350" s="8" t="str">
        <f>"38492022042112300627092"</f>
        <v>38492022042112300627092</v>
      </c>
      <c r="C1350" s="8" t="s">
        <v>21</v>
      </c>
      <c r="D1350" s="8" t="str">
        <f>"吴江澈"</f>
        <v>吴江澈</v>
      </c>
      <c r="E1350" s="8" t="str">
        <f t="shared" si="148"/>
        <v>男</v>
      </c>
    </row>
    <row r="1351" spans="1:5" ht="30" customHeight="1">
      <c r="A1351" s="8">
        <v>1348</v>
      </c>
      <c r="B1351" s="8" t="str">
        <f>"38492022042112302027095"</f>
        <v>38492022042112302027095</v>
      </c>
      <c r="C1351" s="8" t="s">
        <v>21</v>
      </c>
      <c r="D1351" s="8" t="str">
        <f>"冯铄斐"</f>
        <v>冯铄斐</v>
      </c>
      <c r="E1351" s="8" t="str">
        <f aca="true" t="shared" si="149" ref="E1351:E1353">"女"</f>
        <v>女</v>
      </c>
    </row>
    <row r="1352" spans="1:5" ht="30" customHeight="1">
      <c r="A1352" s="8">
        <v>1349</v>
      </c>
      <c r="B1352" s="8" t="str">
        <f>"38492022042112324327114"</f>
        <v>38492022042112324327114</v>
      </c>
      <c r="C1352" s="8" t="s">
        <v>21</v>
      </c>
      <c r="D1352" s="8" t="str">
        <f>"黄美珠"</f>
        <v>黄美珠</v>
      </c>
      <c r="E1352" s="8" t="str">
        <f t="shared" si="149"/>
        <v>女</v>
      </c>
    </row>
    <row r="1353" spans="1:5" ht="30" customHeight="1">
      <c r="A1353" s="8">
        <v>1350</v>
      </c>
      <c r="B1353" s="8" t="str">
        <f>"38492022042112335027123"</f>
        <v>38492022042112335027123</v>
      </c>
      <c r="C1353" s="8" t="s">
        <v>21</v>
      </c>
      <c r="D1353" s="8" t="str">
        <f>"廖燕娇"</f>
        <v>廖燕娇</v>
      </c>
      <c r="E1353" s="8" t="str">
        <f t="shared" si="149"/>
        <v>女</v>
      </c>
    </row>
    <row r="1354" spans="1:5" ht="30" customHeight="1">
      <c r="A1354" s="8">
        <v>1351</v>
      </c>
      <c r="B1354" s="8" t="str">
        <f>"38492022042112410527171"</f>
        <v>38492022042112410527171</v>
      </c>
      <c r="C1354" s="8" t="s">
        <v>21</v>
      </c>
      <c r="D1354" s="8" t="str">
        <f>"黄仁健"</f>
        <v>黄仁健</v>
      </c>
      <c r="E1354" s="8" t="str">
        <f aca="true" t="shared" si="150" ref="E1354:E1362">"男"</f>
        <v>男</v>
      </c>
    </row>
    <row r="1355" spans="1:5" ht="30" customHeight="1">
      <c r="A1355" s="8">
        <v>1352</v>
      </c>
      <c r="B1355" s="8" t="str">
        <f>"38492022042112443027195"</f>
        <v>38492022042112443027195</v>
      </c>
      <c r="C1355" s="8" t="s">
        <v>21</v>
      </c>
      <c r="D1355" s="8" t="str">
        <f>"王雪芬"</f>
        <v>王雪芬</v>
      </c>
      <c r="E1355" s="8" t="str">
        <f aca="true" t="shared" si="151" ref="E1355:E1358">"女"</f>
        <v>女</v>
      </c>
    </row>
    <row r="1356" spans="1:5" ht="30" customHeight="1">
      <c r="A1356" s="8">
        <v>1353</v>
      </c>
      <c r="B1356" s="8" t="str">
        <f>"38492022042112551827248"</f>
        <v>38492022042112551827248</v>
      </c>
      <c r="C1356" s="8" t="s">
        <v>21</v>
      </c>
      <c r="D1356" s="8" t="str">
        <f>"唐萍"</f>
        <v>唐萍</v>
      </c>
      <c r="E1356" s="8" t="str">
        <f t="shared" si="151"/>
        <v>女</v>
      </c>
    </row>
    <row r="1357" spans="1:5" ht="30" customHeight="1">
      <c r="A1357" s="8">
        <v>1354</v>
      </c>
      <c r="B1357" s="8" t="str">
        <f>"38492022042112554827249"</f>
        <v>38492022042112554827249</v>
      </c>
      <c r="C1357" s="8" t="s">
        <v>21</v>
      </c>
      <c r="D1357" s="8" t="str">
        <f>"王彬"</f>
        <v>王彬</v>
      </c>
      <c r="E1357" s="8" t="str">
        <f t="shared" si="150"/>
        <v>男</v>
      </c>
    </row>
    <row r="1358" spans="1:5" ht="30" customHeight="1">
      <c r="A1358" s="8">
        <v>1355</v>
      </c>
      <c r="B1358" s="8" t="str">
        <f>"38492022042112571427260"</f>
        <v>38492022042112571427260</v>
      </c>
      <c r="C1358" s="8" t="s">
        <v>21</v>
      </c>
      <c r="D1358" s="8" t="str">
        <f>"王燕敏"</f>
        <v>王燕敏</v>
      </c>
      <c r="E1358" s="8" t="str">
        <f t="shared" si="151"/>
        <v>女</v>
      </c>
    </row>
    <row r="1359" spans="1:5" ht="30" customHeight="1">
      <c r="A1359" s="8">
        <v>1356</v>
      </c>
      <c r="B1359" s="8" t="str">
        <f>"38492022042112574927267"</f>
        <v>38492022042112574927267</v>
      </c>
      <c r="C1359" s="8" t="s">
        <v>21</v>
      </c>
      <c r="D1359" s="8" t="str">
        <f>"孙考业"</f>
        <v>孙考业</v>
      </c>
      <c r="E1359" s="8" t="str">
        <f t="shared" si="150"/>
        <v>男</v>
      </c>
    </row>
    <row r="1360" spans="1:5" ht="30" customHeight="1">
      <c r="A1360" s="8">
        <v>1357</v>
      </c>
      <c r="B1360" s="8" t="str">
        <f>"38492022042113003227285"</f>
        <v>38492022042113003227285</v>
      </c>
      <c r="C1360" s="8" t="s">
        <v>21</v>
      </c>
      <c r="D1360" s="8" t="str">
        <f>"苏文海"</f>
        <v>苏文海</v>
      </c>
      <c r="E1360" s="8" t="str">
        <f t="shared" si="150"/>
        <v>男</v>
      </c>
    </row>
    <row r="1361" spans="1:5" ht="30" customHeight="1">
      <c r="A1361" s="8">
        <v>1358</v>
      </c>
      <c r="B1361" s="8" t="str">
        <f>"38492022042113004827287"</f>
        <v>38492022042113004827287</v>
      </c>
      <c r="C1361" s="8" t="s">
        <v>21</v>
      </c>
      <c r="D1361" s="8" t="str">
        <f>"林声伟"</f>
        <v>林声伟</v>
      </c>
      <c r="E1361" s="8" t="str">
        <f t="shared" si="150"/>
        <v>男</v>
      </c>
    </row>
    <row r="1362" spans="1:5" ht="30" customHeight="1">
      <c r="A1362" s="8">
        <v>1359</v>
      </c>
      <c r="B1362" s="8" t="str">
        <f>"38492022042113023427294"</f>
        <v>38492022042113023427294</v>
      </c>
      <c r="C1362" s="8" t="s">
        <v>21</v>
      </c>
      <c r="D1362" s="8" t="str">
        <f>"邢开成"</f>
        <v>邢开成</v>
      </c>
      <c r="E1362" s="8" t="str">
        <f t="shared" si="150"/>
        <v>男</v>
      </c>
    </row>
    <row r="1363" spans="1:5" ht="30" customHeight="1">
      <c r="A1363" s="8">
        <v>1360</v>
      </c>
      <c r="B1363" s="8" t="str">
        <f>"38492022042113025627297"</f>
        <v>38492022042113025627297</v>
      </c>
      <c r="C1363" s="8" t="s">
        <v>21</v>
      </c>
      <c r="D1363" s="8" t="str">
        <f>"刘丽"</f>
        <v>刘丽</v>
      </c>
      <c r="E1363" s="8" t="str">
        <f aca="true" t="shared" si="152" ref="E1363:E1365">"女"</f>
        <v>女</v>
      </c>
    </row>
    <row r="1364" spans="1:5" ht="30" customHeight="1">
      <c r="A1364" s="8">
        <v>1361</v>
      </c>
      <c r="B1364" s="8" t="str">
        <f>"38492022042113031327300"</f>
        <v>38492022042113031327300</v>
      </c>
      <c r="C1364" s="8" t="s">
        <v>21</v>
      </c>
      <c r="D1364" s="8" t="str">
        <f>"陈林燕"</f>
        <v>陈林燕</v>
      </c>
      <c r="E1364" s="8" t="str">
        <f t="shared" si="152"/>
        <v>女</v>
      </c>
    </row>
    <row r="1365" spans="1:5" ht="30" customHeight="1">
      <c r="A1365" s="8">
        <v>1362</v>
      </c>
      <c r="B1365" s="8" t="str">
        <f>"38492022042113060427324"</f>
        <v>38492022042113060427324</v>
      </c>
      <c r="C1365" s="8" t="s">
        <v>21</v>
      </c>
      <c r="D1365" s="8" t="str">
        <f>"羊玉秋"</f>
        <v>羊玉秋</v>
      </c>
      <c r="E1365" s="8" t="str">
        <f t="shared" si="152"/>
        <v>女</v>
      </c>
    </row>
    <row r="1366" spans="1:5" ht="30" customHeight="1">
      <c r="A1366" s="8">
        <v>1363</v>
      </c>
      <c r="B1366" s="8" t="str">
        <f>"38492022042113082127334"</f>
        <v>38492022042113082127334</v>
      </c>
      <c r="C1366" s="8" t="s">
        <v>21</v>
      </c>
      <c r="D1366" s="8" t="str">
        <f>"罗丁高"</f>
        <v>罗丁高</v>
      </c>
      <c r="E1366" s="8" t="str">
        <f aca="true" t="shared" si="153" ref="E1366:E1371">"男"</f>
        <v>男</v>
      </c>
    </row>
    <row r="1367" spans="1:5" ht="30" customHeight="1">
      <c r="A1367" s="8">
        <v>1364</v>
      </c>
      <c r="B1367" s="8" t="str">
        <f>"38492022042113100127345"</f>
        <v>38492022042113100127345</v>
      </c>
      <c r="C1367" s="8" t="s">
        <v>21</v>
      </c>
      <c r="D1367" s="8" t="str">
        <f>"吴燕梅"</f>
        <v>吴燕梅</v>
      </c>
      <c r="E1367" s="8" t="str">
        <f>"女"</f>
        <v>女</v>
      </c>
    </row>
    <row r="1368" spans="1:5" ht="30" customHeight="1">
      <c r="A1368" s="8">
        <v>1365</v>
      </c>
      <c r="B1368" s="8" t="str">
        <f>"38492022042113125227358"</f>
        <v>38492022042113125227358</v>
      </c>
      <c r="C1368" s="8" t="s">
        <v>21</v>
      </c>
      <c r="D1368" s="8" t="str">
        <f>"符其荣"</f>
        <v>符其荣</v>
      </c>
      <c r="E1368" s="8" t="str">
        <f t="shared" si="153"/>
        <v>男</v>
      </c>
    </row>
    <row r="1369" spans="1:5" ht="30" customHeight="1">
      <c r="A1369" s="8">
        <v>1366</v>
      </c>
      <c r="B1369" s="8" t="str">
        <f>"38492022042113155627367"</f>
        <v>38492022042113155627367</v>
      </c>
      <c r="C1369" s="8" t="s">
        <v>21</v>
      </c>
      <c r="D1369" s="8" t="str">
        <f>"梁昌俊"</f>
        <v>梁昌俊</v>
      </c>
      <c r="E1369" s="8" t="str">
        <f t="shared" si="153"/>
        <v>男</v>
      </c>
    </row>
    <row r="1370" spans="1:5" ht="30" customHeight="1">
      <c r="A1370" s="8">
        <v>1367</v>
      </c>
      <c r="B1370" s="8" t="str">
        <f>"38492022042113223127396"</f>
        <v>38492022042113223127396</v>
      </c>
      <c r="C1370" s="8" t="s">
        <v>21</v>
      </c>
      <c r="D1370" s="8" t="str">
        <f>"蔡夫谦"</f>
        <v>蔡夫谦</v>
      </c>
      <c r="E1370" s="8" t="str">
        <f t="shared" si="153"/>
        <v>男</v>
      </c>
    </row>
    <row r="1371" spans="1:5" ht="30" customHeight="1">
      <c r="A1371" s="8">
        <v>1368</v>
      </c>
      <c r="B1371" s="8" t="str">
        <f>"38492022042113250227412"</f>
        <v>38492022042113250227412</v>
      </c>
      <c r="C1371" s="8" t="s">
        <v>21</v>
      </c>
      <c r="D1371" s="8" t="str">
        <f>"许俊华"</f>
        <v>许俊华</v>
      </c>
      <c r="E1371" s="8" t="str">
        <f t="shared" si="153"/>
        <v>男</v>
      </c>
    </row>
    <row r="1372" spans="1:5" ht="30" customHeight="1">
      <c r="A1372" s="8">
        <v>1369</v>
      </c>
      <c r="B1372" s="8" t="str">
        <f>"38492022042113253927414"</f>
        <v>38492022042113253927414</v>
      </c>
      <c r="C1372" s="8" t="s">
        <v>21</v>
      </c>
      <c r="D1372" s="8" t="str">
        <f>"符丹玉"</f>
        <v>符丹玉</v>
      </c>
      <c r="E1372" s="8" t="str">
        <f aca="true" t="shared" si="154" ref="E1372:E1376">"女"</f>
        <v>女</v>
      </c>
    </row>
    <row r="1373" spans="1:5" ht="30" customHeight="1">
      <c r="A1373" s="8">
        <v>1370</v>
      </c>
      <c r="B1373" s="8" t="str">
        <f>"38492022042113313327435"</f>
        <v>38492022042113313327435</v>
      </c>
      <c r="C1373" s="8" t="s">
        <v>21</v>
      </c>
      <c r="D1373" s="8" t="str">
        <f>"谢宗明"</f>
        <v>谢宗明</v>
      </c>
      <c r="E1373" s="8" t="str">
        <f aca="true" t="shared" si="155" ref="E1373:E1377">"男"</f>
        <v>男</v>
      </c>
    </row>
    <row r="1374" spans="1:5" ht="30" customHeight="1">
      <c r="A1374" s="8">
        <v>1371</v>
      </c>
      <c r="B1374" s="8" t="str">
        <f>"38492022042113334627445"</f>
        <v>38492022042113334627445</v>
      </c>
      <c r="C1374" s="8" t="s">
        <v>21</v>
      </c>
      <c r="D1374" s="8" t="str">
        <f>"廖贤策"</f>
        <v>廖贤策</v>
      </c>
      <c r="E1374" s="8" t="str">
        <f t="shared" si="155"/>
        <v>男</v>
      </c>
    </row>
    <row r="1375" spans="1:5" ht="30" customHeight="1">
      <c r="A1375" s="8">
        <v>1372</v>
      </c>
      <c r="B1375" s="8" t="str">
        <f>"38492022042113351527449"</f>
        <v>38492022042113351527449</v>
      </c>
      <c r="C1375" s="8" t="s">
        <v>21</v>
      </c>
      <c r="D1375" s="8" t="str">
        <f>"陈美玲"</f>
        <v>陈美玲</v>
      </c>
      <c r="E1375" s="8" t="str">
        <f t="shared" si="154"/>
        <v>女</v>
      </c>
    </row>
    <row r="1376" spans="1:5" ht="30" customHeight="1">
      <c r="A1376" s="8">
        <v>1373</v>
      </c>
      <c r="B1376" s="8" t="str">
        <f>"38492022042113382427463"</f>
        <v>38492022042113382427463</v>
      </c>
      <c r="C1376" s="8" t="s">
        <v>21</v>
      </c>
      <c r="D1376" s="8" t="str">
        <f>"羊精月"</f>
        <v>羊精月</v>
      </c>
      <c r="E1376" s="8" t="str">
        <f t="shared" si="154"/>
        <v>女</v>
      </c>
    </row>
    <row r="1377" spans="1:5" ht="30" customHeight="1">
      <c r="A1377" s="8">
        <v>1374</v>
      </c>
      <c r="B1377" s="8" t="str">
        <f>"38492022042113412127476"</f>
        <v>38492022042113412127476</v>
      </c>
      <c r="C1377" s="8" t="s">
        <v>21</v>
      </c>
      <c r="D1377" s="8" t="str">
        <f>"叶秀江"</f>
        <v>叶秀江</v>
      </c>
      <c r="E1377" s="8" t="str">
        <f t="shared" si="155"/>
        <v>男</v>
      </c>
    </row>
    <row r="1378" spans="1:5" ht="30" customHeight="1">
      <c r="A1378" s="8">
        <v>1375</v>
      </c>
      <c r="B1378" s="8" t="str">
        <f>"38492022042113523327520"</f>
        <v>38492022042113523327520</v>
      </c>
      <c r="C1378" s="8" t="s">
        <v>21</v>
      </c>
      <c r="D1378" s="8" t="str">
        <f>"李珍燕"</f>
        <v>李珍燕</v>
      </c>
      <c r="E1378" s="8" t="str">
        <f aca="true" t="shared" si="156" ref="E1378:E1381">"女"</f>
        <v>女</v>
      </c>
    </row>
    <row r="1379" spans="1:5" ht="30" customHeight="1">
      <c r="A1379" s="8">
        <v>1376</v>
      </c>
      <c r="B1379" s="8" t="str">
        <f>"38492022042113532727526"</f>
        <v>38492022042113532727526</v>
      </c>
      <c r="C1379" s="8" t="s">
        <v>21</v>
      </c>
      <c r="D1379" s="8" t="str">
        <f>"潘孝柳"</f>
        <v>潘孝柳</v>
      </c>
      <c r="E1379" s="8" t="str">
        <f t="shared" si="156"/>
        <v>女</v>
      </c>
    </row>
    <row r="1380" spans="1:5" ht="30" customHeight="1">
      <c r="A1380" s="8">
        <v>1377</v>
      </c>
      <c r="B1380" s="8" t="str">
        <f>"38492022042113534527530"</f>
        <v>38492022042113534527530</v>
      </c>
      <c r="C1380" s="8" t="s">
        <v>21</v>
      </c>
      <c r="D1380" s="8" t="str">
        <f>"吴清科"</f>
        <v>吴清科</v>
      </c>
      <c r="E1380" s="8" t="str">
        <f aca="true" t="shared" si="157" ref="E1380:E1389">"男"</f>
        <v>男</v>
      </c>
    </row>
    <row r="1381" spans="1:5" ht="30" customHeight="1">
      <c r="A1381" s="8">
        <v>1378</v>
      </c>
      <c r="B1381" s="8" t="str">
        <f>"38492022042113590827549"</f>
        <v>38492022042113590827549</v>
      </c>
      <c r="C1381" s="8" t="s">
        <v>21</v>
      </c>
      <c r="D1381" s="8" t="str">
        <f>"陈泽颖"</f>
        <v>陈泽颖</v>
      </c>
      <c r="E1381" s="8" t="str">
        <f t="shared" si="156"/>
        <v>女</v>
      </c>
    </row>
    <row r="1382" spans="1:5" ht="30" customHeight="1">
      <c r="A1382" s="8">
        <v>1379</v>
      </c>
      <c r="B1382" s="8" t="str">
        <f>"38492022042114065127577"</f>
        <v>38492022042114065127577</v>
      </c>
      <c r="C1382" s="8" t="s">
        <v>21</v>
      </c>
      <c r="D1382" s="8" t="str">
        <f>"黄伟才"</f>
        <v>黄伟才</v>
      </c>
      <c r="E1382" s="8" t="str">
        <f t="shared" si="157"/>
        <v>男</v>
      </c>
    </row>
    <row r="1383" spans="1:5" ht="30" customHeight="1">
      <c r="A1383" s="8">
        <v>1380</v>
      </c>
      <c r="B1383" s="8" t="str">
        <f>"38492022042114082227584"</f>
        <v>38492022042114082227584</v>
      </c>
      <c r="C1383" s="8" t="s">
        <v>21</v>
      </c>
      <c r="D1383" s="8" t="str">
        <f>"吴彩妹"</f>
        <v>吴彩妹</v>
      </c>
      <c r="E1383" s="8" t="str">
        <f>"女"</f>
        <v>女</v>
      </c>
    </row>
    <row r="1384" spans="1:5" ht="30" customHeight="1">
      <c r="A1384" s="8">
        <v>1381</v>
      </c>
      <c r="B1384" s="8" t="str">
        <f>"38492022042114091527590"</f>
        <v>38492022042114091527590</v>
      </c>
      <c r="C1384" s="8" t="s">
        <v>21</v>
      </c>
      <c r="D1384" s="8" t="str">
        <f>"张天勇"</f>
        <v>张天勇</v>
      </c>
      <c r="E1384" s="8" t="str">
        <f t="shared" si="157"/>
        <v>男</v>
      </c>
    </row>
    <row r="1385" spans="1:5" ht="30" customHeight="1">
      <c r="A1385" s="8">
        <v>1382</v>
      </c>
      <c r="B1385" s="8" t="str">
        <f>"38492022042114102427596"</f>
        <v>38492022042114102427596</v>
      </c>
      <c r="C1385" s="8" t="s">
        <v>21</v>
      </c>
      <c r="D1385" s="8" t="str">
        <f>"冯学宇"</f>
        <v>冯学宇</v>
      </c>
      <c r="E1385" s="8" t="str">
        <f t="shared" si="157"/>
        <v>男</v>
      </c>
    </row>
    <row r="1386" spans="1:5" ht="30" customHeight="1">
      <c r="A1386" s="8">
        <v>1383</v>
      </c>
      <c r="B1386" s="8" t="str">
        <f>"38492022042114104527599"</f>
        <v>38492022042114104527599</v>
      </c>
      <c r="C1386" s="8" t="s">
        <v>21</v>
      </c>
      <c r="D1386" s="8" t="str">
        <f>"梁遗优"</f>
        <v>梁遗优</v>
      </c>
      <c r="E1386" s="8" t="str">
        <f t="shared" si="157"/>
        <v>男</v>
      </c>
    </row>
    <row r="1387" spans="1:5" ht="30" customHeight="1">
      <c r="A1387" s="8">
        <v>1384</v>
      </c>
      <c r="B1387" s="8" t="str">
        <f>"38492022042114112927606"</f>
        <v>38492022042114112927606</v>
      </c>
      <c r="C1387" s="8" t="s">
        <v>21</v>
      </c>
      <c r="D1387" s="8" t="str">
        <f>"唐廷英"</f>
        <v>唐廷英</v>
      </c>
      <c r="E1387" s="8" t="str">
        <f t="shared" si="157"/>
        <v>男</v>
      </c>
    </row>
    <row r="1388" spans="1:5" ht="30" customHeight="1">
      <c r="A1388" s="8">
        <v>1385</v>
      </c>
      <c r="B1388" s="8" t="str">
        <f>"38492022042114113227609"</f>
        <v>38492022042114113227609</v>
      </c>
      <c r="C1388" s="8" t="s">
        <v>21</v>
      </c>
      <c r="D1388" s="8" t="str">
        <f>"曾雪光"</f>
        <v>曾雪光</v>
      </c>
      <c r="E1388" s="8" t="str">
        <f t="shared" si="157"/>
        <v>男</v>
      </c>
    </row>
    <row r="1389" spans="1:5" ht="30" customHeight="1">
      <c r="A1389" s="8">
        <v>1386</v>
      </c>
      <c r="B1389" s="8" t="str">
        <f>"38492022042114113927610"</f>
        <v>38492022042114113927610</v>
      </c>
      <c r="C1389" s="8" t="s">
        <v>21</v>
      </c>
      <c r="D1389" s="8" t="str">
        <f>"符家波"</f>
        <v>符家波</v>
      </c>
      <c r="E1389" s="8" t="str">
        <f t="shared" si="157"/>
        <v>男</v>
      </c>
    </row>
    <row r="1390" spans="1:5" ht="30" customHeight="1">
      <c r="A1390" s="8">
        <v>1387</v>
      </c>
      <c r="B1390" s="8" t="str">
        <f>"38492022042114125227623"</f>
        <v>38492022042114125227623</v>
      </c>
      <c r="C1390" s="8" t="s">
        <v>21</v>
      </c>
      <c r="D1390" s="8" t="str">
        <f>"邱云妮"</f>
        <v>邱云妮</v>
      </c>
      <c r="E1390" s="8" t="str">
        <f aca="true" t="shared" si="158" ref="E1390:E1393">"女"</f>
        <v>女</v>
      </c>
    </row>
    <row r="1391" spans="1:5" ht="30" customHeight="1">
      <c r="A1391" s="8">
        <v>1388</v>
      </c>
      <c r="B1391" s="8" t="str">
        <f>"38492022042114125927624"</f>
        <v>38492022042114125927624</v>
      </c>
      <c r="C1391" s="8" t="s">
        <v>21</v>
      </c>
      <c r="D1391" s="8" t="str">
        <f>"符展雯"</f>
        <v>符展雯</v>
      </c>
      <c r="E1391" s="8" t="str">
        <f t="shared" si="158"/>
        <v>女</v>
      </c>
    </row>
    <row r="1392" spans="1:5" ht="30" customHeight="1">
      <c r="A1392" s="8">
        <v>1389</v>
      </c>
      <c r="B1392" s="8" t="str">
        <f>"38492022042114131227627"</f>
        <v>38492022042114131227627</v>
      </c>
      <c r="C1392" s="8" t="s">
        <v>21</v>
      </c>
      <c r="D1392" s="8" t="str">
        <f>"吴关娇"</f>
        <v>吴关娇</v>
      </c>
      <c r="E1392" s="8" t="str">
        <f t="shared" si="158"/>
        <v>女</v>
      </c>
    </row>
    <row r="1393" spans="1:5" ht="30" customHeight="1">
      <c r="A1393" s="8">
        <v>1390</v>
      </c>
      <c r="B1393" s="8" t="str">
        <f>"38492022042114203227664"</f>
        <v>38492022042114203227664</v>
      </c>
      <c r="C1393" s="8" t="s">
        <v>21</v>
      </c>
      <c r="D1393" s="8" t="str">
        <f>"吴艳"</f>
        <v>吴艳</v>
      </c>
      <c r="E1393" s="8" t="str">
        <f t="shared" si="158"/>
        <v>女</v>
      </c>
    </row>
    <row r="1394" spans="1:5" ht="30" customHeight="1">
      <c r="A1394" s="8">
        <v>1391</v>
      </c>
      <c r="B1394" s="8" t="str">
        <f>"38492022042114250327685"</f>
        <v>38492022042114250327685</v>
      </c>
      <c r="C1394" s="8" t="s">
        <v>21</v>
      </c>
      <c r="D1394" s="8" t="str">
        <f>"何高龙"</f>
        <v>何高龙</v>
      </c>
      <c r="E1394" s="8" t="str">
        <f>"男"</f>
        <v>男</v>
      </c>
    </row>
    <row r="1395" spans="1:5" ht="30" customHeight="1">
      <c r="A1395" s="8">
        <v>1392</v>
      </c>
      <c r="B1395" s="8" t="str">
        <f>"38492022042114293827712"</f>
        <v>38492022042114293827712</v>
      </c>
      <c r="C1395" s="8" t="s">
        <v>21</v>
      </c>
      <c r="D1395" s="8" t="str">
        <f>"王彩欣"</f>
        <v>王彩欣</v>
      </c>
      <c r="E1395" s="8" t="str">
        <f aca="true" t="shared" si="159" ref="E1395:E1397">"女"</f>
        <v>女</v>
      </c>
    </row>
    <row r="1396" spans="1:5" ht="30" customHeight="1">
      <c r="A1396" s="8">
        <v>1393</v>
      </c>
      <c r="B1396" s="8" t="str">
        <f>"38492022042114295527715"</f>
        <v>38492022042114295527715</v>
      </c>
      <c r="C1396" s="8" t="s">
        <v>21</v>
      </c>
      <c r="D1396" s="8" t="str">
        <f>"王文瑰"</f>
        <v>王文瑰</v>
      </c>
      <c r="E1396" s="8" t="str">
        <f t="shared" si="159"/>
        <v>女</v>
      </c>
    </row>
    <row r="1397" spans="1:5" ht="30" customHeight="1">
      <c r="A1397" s="8">
        <v>1394</v>
      </c>
      <c r="B1397" s="8" t="str">
        <f>"38492022042114331327738"</f>
        <v>38492022042114331327738</v>
      </c>
      <c r="C1397" s="8" t="s">
        <v>21</v>
      </c>
      <c r="D1397" s="8" t="str">
        <f>"罗雅怡"</f>
        <v>罗雅怡</v>
      </c>
      <c r="E1397" s="8" t="str">
        <f t="shared" si="159"/>
        <v>女</v>
      </c>
    </row>
    <row r="1398" spans="1:5" ht="30" customHeight="1">
      <c r="A1398" s="8">
        <v>1395</v>
      </c>
      <c r="B1398" s="8" t="str">
        <f>"38492022042114364127760"</f>
        <v>38492022042114364127760</v>
      </c>
      <c r="C1398" s="8" t="s">
        <v>21</v>
      </c>
      <c r="D1398" s="8" t="str">
        <f>"孙伟"</f>
        <v>孙伟</v>
      </c>
      <c r="E1398" s="8" t="str">
        <f aca="true" t="shared" si="160" ref="E1398:E1402">"男"</f>
        <v>男</v>
      </c>
    </row>
    <row r="1399" spans="1:5" ht="30" customHeight="1">
      <c r="A1399" s="8">
        <v>1396</v>
      </c>
      <c r="B1399" s="8" t="str">
        <f>"38492022042114373927768"</f>
        <v>38492022042114373927768</v>
      </c>
      <c r="C1399" s="8" t="s">
        <v>21</v>
      </c>
      <c r="D1399" s="8" t="str">
        <f>"李秋萍"</f>
        <v>李秋萍</v>
      </c>
      <c r="E1399" s="8" t="str">
        <f aca="true" t="shared" si="161" ref="E1399:E1403">"女"</f>
        <v>女</v>
      </c>
    </row>
    <row r="1400" spans="1:5" ht="30" customHeight="1">
      <c r="A1400" s="8">
        <v>1397</v>
      </c>
      <c r="B1400" s="8" t="str">
        <f>"38492022042114391727783"</f>
        <v>38492022042114391727783</v>
      </c>
      <c r="C1400" s="8" t="s">
        <v>21</v>
      </c>
      <c r="D1400" s="8" t="str">
        <f>"杨晖"</f>
        <v>杨晖</v>
      </c>
      <c r="E1400" s="8" t="str">
        <f t="shared" si="160"/>
        <v>男</v>
      </c>
    </row>
    <row r="1401" spans="1:5" ht="30" customHeight="1">
      <c r="A1401" s="8">
        <v>1398</v>
      </c>
      <c r="B1401" s="8" t="str">
        <f>"38492022042114394427788"</f>
        <v>38492022042114394427788</v>
      </c>
      <c r="C1401" s="8" t="s">
        <v>21</v>
      </c>
      <c r="D1401" s="8" t="str">
        <f>"赵妹菊"</f>
        <v>赵妹菊</v>
      </c>
      <c r="E1401" s="8" t="str">
        <f t="shared" si="161"/>
        <v>女</v>
      </c>
    </row>
    <row r="1402" spans="1:5" ht="30" customHeight="1">
      <c r="A1402" s="8">
        <v>1399</v>
      </c>
      <c r="B1402" s="8" t="str">
        <f>"38492022042114395027789"</f>
        <v>38492022042114395027789</v>
      </c>
      <c r="C1402" s="8" t="s">
        <v>21</v>
      </c>
      <c r="D1402" s="8" t="str">
        <f>"占良涛"</f>
        <v>占良涛</v>
      </c>
      <c r="E1402" s="8" t="str">
        <f t="shared" si="160"/>
        <v>男</v>
      </c>
    </row>
    <row r="1403" spans="1:5" ht="30" customHeight="1">
      <c r="A1403" s="8">
        <v>1400</v>
      </c>
      <c r="B1403" s="8" t="str">
        <f>"38492022042114405327797"</f>
        <v>38492022042114405327797</v>
      </c>
      <c r="C1403" s="8" t="s">
        <v>21</v>
      </c>
      <c r="D1403" s="8" t="str">
        <f>"邢迎"</f>
        <v>邢迎</v>
      </c>
      <c r="E1403" s="8" t="str">
        <f t="shared" si="161"/>
        <v>女</v>
      </c>
    </row>
    <row r="1404" spans="1:5" ht="30" customHeight="1">
      <c r="A1404" s="8">
        <v>1401</v>
      </c>
      <c r="B1404" s="8" t="str">
        <f>"38492022042114455527837"</f>
        <v>38492022042114455527837</v>
      </c>
      <c r="C1404" s="8" t="s">
        <v>21</v>
      </c>
      <c r="D1404" s="8" t="str">
        <f>"符式鸿"</f>
        <v>符式鸿</v>
      </c>
      <c r="E1404" s="8" t="str">
        <f aca="true" t="shared" si="162" ref="E1404:E1409">"男"</f>
        <v>男</v>
      </c>
    </row>
    <row r="1405" spans="1:5" ht="30" customHeight="1">
      <c r="A1405" s="8">
        <v>1402</v>
      </c>
      <c r="B1405" s="8" t="str">
        <f>"38492022042114481527857"</f>
        <v>38492022042114481527857</v>
      </c>
      <c r="C1405" s="8" t="s">
        <v>21</v>
      </c>
      <c r="D1405" s="8" t="str">
        <f>"王小惠"</f>
        <v>王小惠</v>
      </c>
      <c r="E1405" s="8" t="str">
        <f aca="true" t="shared" si="163" ref="E1405:E1408">"女"</f>
        <v>女</v>
      </c>
    </row>
    <row r="1406" spans="1:5" ht="30" customHeight="1">
      <c r="A1406" s="8">
        <v>1403</v>
      </c>
      <c r="B1406" s="8" t="str">
        <f>"38492022042114484427861"</f>
        <v>38492022042114484427861</v>
      </c>
      <c r="C1406" s="8" t="s">
        <v>21</v>
      </c>
      <c r="D1406" s="8" t="str">
        <f>"王家宇"</f>
        <v>王家宇</v>
      </c>
      <c r="E1406" s="8" t="str">
        <f t="shared" si="162"/>
        <v>男</v>
      </c>
    </row>
    <row r="1407" spans="1:5" ht="30" customHeight="1">
      <c r="A1407" s="8">
        <v>1404</v>
      </c>
      <c r="B1407" s="8" t="str">
        <f>"38492022042114520927899"</f>
        <v>38492022042114520927899</v>
      </c>
      <c r="C1407" s="8" t="s">
        <v>21</v>
      </c>
      <c r="D1407" s="8" t="str">
        <f>"陈壮婷"</f>
        <v>陈壮婷</v>
      </c>
      <c r="E1407" s="8" t="str">
        <f t="shared" si="163"/>
        <v>女</v>
      </c>
    </row>
    <row r="1408" spans="1:5" ht="30" customHeight="1">
      <c r="A1408" s="8">
        <v>1405</v>
      </c>
      <c r="B1408" s="8" t="str">
        <f>"38492022042114535827913"</f>
        <v>38492022042114535827913</v>
      </c>
      <c r="C1408" s="8" t="s">
        <v>21</v>
      </c>
      <c r="D1408" s="8" t="str">
        <f>"龙秋婷"</f>
        <v>龙秋婷</v>
      </c>
      <c r="E1408" s="8" t="str">
        <f t="shared" si="163"/>
        <v>女</v>
      </c>
    </row>
    <row r="1409" spans="1:5" ht="30" customHeight="1">
      <c r="A1409" s="8">
        <v>1406</v>
      </c>
      <c r="B1409" s="8" t="str">
        <f>"38492022042114553127928"</f>
        <v>38492022042114553127928</v>
      </c>
      <c r="C1409" s="8" t="s">
        <v>21</v>
      </c>
      <c r="D1409" s="8" t="str">
        <f>"陈益健"</f>
        <v>陈益健</v>
      </c>
      <c r="E1409" s="8" t="str">
        <f t="shared" si="162"/>
        <v>男</v>
      </c>
    </row>
    <row r="1410" spans="1:5" ht="30" customHeight="1">
      <c r="A1410" s="8">
        <v>1407</v>
      </c>
      <c r="B1410" s="8" t="str">
        <f>"38492022042114585427951"</f>
        <v>38492022042114585427951</v>
      </c>
      <c r="C1410" s="8" t="s">
        <v>21</v>
      </c>
      <c r="D1410" s="8" t="str">
        <f>"陈虹"</f>
        <v>陈虹</v>
      </c>
      <c r="E1410" s="8" t="str">
        <f aca="true" t="shared" si="164" ref="E1410:E1413">"女"</f>
        <v>女</v>
      </c>
    </row>
    <row r="1411" spans="1:5" ht="30" customHeight="1">
      <c r="A1411" s="8">
        <v>1408</v>
      </c>
      <c r="B1411" s="8" t="str">
        <f>"38492022042115002027962"</f>
        <v>38492022042115002027962</v>
      </c>
      <c r="C1411" s="8" t="s">
        <v>21</v>
      </c>
      <c r="D1411" s="8" t="str">
        <f>"许焕铭"</f>
        <v>许焕铭</v>
      </c>
      <c r="E1411" s="8" t="str">
        <f>"男"</f>
        <v>男</v>
      </c>
    </row>
    <row r="1412" spans="1:5" ht="30" customHeight="1">
      <c r="A1412" s="8">
        <v>1409</v>
      </c>
      <c r="B1412" s="8" t="str">
        <f>"38492022042115014027971"</f>
        <v>38492022042115014027971</v>
      </c>
      <c r="C1412" s="8" t="s">
        <v>21</v>
      </c>
      <c r="D1412" s="8" t="str">
        <f>"符晓玉"</f>
        <v>符晓玉</v>
      </c>
      <c r="E1412" s="8" t="str">
        <f t="shared" si="164"/>
        <v>女</v>
      </c>
    </row>
    <row r="1413" spans="1:5" ht="30" customHeight="1">
      <c r="A1413" s="8">
        <v>1410</v>
      </c>
      <c r="B1413" s="8" t="str">
        <f>"38492022042115014527973"</f>
        <v>38492022042115014527973</v>
      </c>
      <c r="C1413" s="8" t="s">
        <v>21</v>
      </c>
      <c r="D1413" s="8" t="str">
        <f>"王一桔"</f>
        <v>王一桔</v>
      </c>
      <c r="E1413" s="8" t="str">
        <f t="shared" si="164"/>
        <v>女</v>
      </c>
    </row>
    <row r="1414" spans="1:5" ht="30" customHeight="1">
      <c r="A1414" s="8">
        <v>1411</v>
      </c>
      <c r="B1414" s="8" t="str">
        <f>"38492022042115023627980"</f>
        <v>38492022042115023627980</v>
      </c>
      <c r="C1414" s="8" t="s">
        <v>21</v>
      </c>
      <c r="D1414" s="8" t="str">
        <f>"周帅"</f>
        <v>周帅</v>
      </c>
      <c r="E1414" s="8" t="str">
        <f>"男"</f>
        <v>男</v>
      </c>
    </row>
    <row r="1415" spans="1:5" ht="30" customHeight="1">
      <c r="A1415" s="8">
        <v>1412</v>
      </c>
      <c r="B1415" s="8" t="str">
        <f>"38492022042115024927983"</f>
        <v>38492022042115024927983</v>
      </c>
      <c r="C1415" s="8" t="s">
        <v>21</v>
      </c>
      <c r="D1415" s="8" t="str">
        <f>"陈堂兵"</f>
        <v>陈堂兵</v>
      </c>
      <c r="E1415" s="8" t="str">
        <f aca="true" t="shared" si="165" ref="E1415:E1419">"女"</f>
        <v>女</v>
      </c>
    </row>
    <row r="1416" spans="1:5" ht="30" customHeight="1">
      <c r="A1416" s="8">
        <v>1413</v>
      </c>
      <c r="B1416" s="8" t="str">
        <f>"38492022042115031327986"</f>
        <v>38492022042115031327986</v>
      </c>
      <c r="C1416" s="8" t="s">
        <v>21</v>
      </c>
      <c r="D1416" s="8" t="str">
        <f>"郭海娜"</f>
        <v>郭海娜</v>
      </c>
      <c r="E1416" s="8" t="str">
        <f t="shared" si="165"/>
        <v>女</v>
      </c>
    </row>
    <row r="1417" spans="1:5" ht="30" customHeight="1">
      <c r="A1417" s="8">
        <v>1414</v>
      </c>
      <c r="B1417" s="8" t="str">
        <f>"38492022042115042527998"</f>
        <v>38492022042115042527998</v>
      </c>
      <c r="C1417" s="8" t="s">
        <v>21</v>
      </c>
      <c r="D1417" s="8" t="str">
        <f>"林传溪"</f>
        <v>林传溪</v>
      </c>
      <c r="E1417" s="8" t="str">
        <f aca="true" t="shared" si="166" ref="E1417:E1424">"男"</f>
        <v>男</v>
      </c>
    </row>
    <row r="1418" spans="1:5" ht="30" customHeight="1">
      <c r="A1418" s="8">
        <v>1415</v>
      </c>
      <c r="B1418" s="8" t="str">
        <f>"38492022042115045228003"</f>
        <v>38492022042115045228003</v>
      </c>
      <c r="C1418" s="8" t="s">
        <v>21</v>
      </c>
      <c r="D1418" s="8" t="str">
        <f>"盘乃瑞"</f>
        <v>盘乃瑞</v>
      </c>
      <c r="E1418" s="8" t="str">
        <f t="shared" si="165"/>
        <v>女</v>
      </c>
    </row>
    <row r="1419" spans="1:5" ht="30" customHeight="1">
      <c r="A1419" s="8">
        <v>1416</v>
      </c>
      <c r="B1419" s="8" t="str">
        <f>"38492022042115054728013"</f>
        <v>38492022042115054728013</v>
      </c>
      <c r="C1419" s="8" t="s">
        <v>21</v>
      </c>
      <c r="D1419" s="8" t="str">
        <f>"符丽"</f>
        <v>符丽</v>
      </c>
      <c r="E1419" s="8" t="str">
        <f t="shared" si="165"/>
        <v>女</v>
      </c>
    </row>
    <row r="1420" spans="1:5" ht="30" customHeight="1">
      <c r="A1420" s="8">
        <v>1417</v>
      </c>
      <c r="B1420" s="8" t="str">
        <f>"38492022042115062928015"</f>
        <v>38492022042115062928015</v>
      </c>
      <c r="C1420" s="8" t="s">
        <v>21</v>
      </c>
      <c r="D1420" s="8" t="str">
        <f>"文良春"</f>
        <v>文良春</v>
      </c>
      <c r="E1420" s="8" t="str">
        <f t="shared" si="166"/>
        <v>男</v>
      </c>
    </row>
    <row r="1421" spans="1:5" ht="30" customHeight="1">
      <c r="A1421" s="8">
        <v>1418</v>
      </c>
      <c r="B1421" s="8" t="str">
        <f>"38492022042115071628022"</f>
        <v>38492022042115071628022</v>
      </c>
      <c r="C1421" s="8" t="s">
        <v>21</v>
      </c>
      <c r="D1421" s="8" t="str">
        <f>"农志兴"</f>
        <v>农志兴</v>
      </c>
      <c r="E1421" s="8" t="str">
        <f t="shared" si="166"/>
        <v>男</v>
      </c>
    </row>
    <row r="1422" spans="1:5" ht="30" customHeight="1">
      <c r="A1422" s="8">
        <v>1419</v>
      </c>
      <c r="B1422" s="8" t="str">
        <f>"38492022042115073728024"</f>
        <v>38492022042115073728024</v>
      </c>
      <c r="C1422" s="8" t="s">
        <v>21</v>
      </c>
      <c r="D1422" s="8" t="str">
        <f>"李绍历"</f>
        <v>李绍历</v>
      </c>
      <c r="E1422" s="8" t="str">
        <f t="shared" si="166"/>
        <v>男</v>
      </c>
    </row>
    <row r="1423" spans="1:5" ht="30" customHeight="1">
      <c r="A1423" s="8">
        <v>1420</v>
      </c>
      <c r="B1423" s="8" t="str">
        <f>"38492022042115074828027"</f>
        <v>38492022042115074828027</v>
      </c>
      <c r="C1423" s="8" t="s">
        <v>21</v>
      </c>
      <c r="D1423" s="8" t="str">
        <f>"孙有波"</f>
        <v>孙有波</v>
      </c>
      <c r="E1423" s="8" t="str">
        <f t="shared" si="166"/>
        <v>男</v>
      </c>
    </row>
    <row r="1424" spans="1:5" ht="30" customHeight="1">
      <c r="A1424" s="8">
        <v>1421</v>
      </c>
      <c r="B1424" s="8" t="str">
        <f>"38492022042115083128030"</f>
        <v>38492022042115083128030</v>
      </c>
      <c r="C1424" s="8" t="s">
        <v>21</v>
      </c>
      <c r="D1424" s="8" t="str">
        <f>"刘强"</f>
        <v>刘强</v>
      </c>
      <c r="E1424" s="8" t="str">
        <f t="shared" si="166"/>
        <v>男</v>
      </c>
    </row>
    <row r="1425" spans="1:5" ht="30" customHeight="1">
      <c r="A1425" s="8">
        <v>1422</v>
      </c>
      <c r="B1425" s="8" t="str">
        <f>"38492022042115083328031"</f>
        <v>38492022042115083328031</v>
      </c>
      <c r="C1425" s="8" t="s">
        <v>21</v>
      </c>
      <c r="D1425" s="8" t="str">
        <f>"陈殷"</f>
        <v>陈殷</v>
      </c>
      <c r="E1425" s="8" t="str">
        <f aca="true" t="shared" si="167" ref="E1425:E1427">"女"</f>
        <v>女</v>
      </c>
    </row>
    <row r="1426" spans="1:5" ht="30" customHeight="1">
      <c r="A1426" s="8">
        <v>1423</v>
      </c>
      <c r="B1426" s="8" t="str">
        <f>"38492022042115102728056"</f>
        <v>38492022042115102728056</v>
      </c>
      <c r="C1426" s="8" t="s">
        <v>21</v>
      </c>
      <c r="D1426" s="8" t="str">
        <f>"羊必芳"</f>
        <v>羊必芳</v>
      </c>
      <c r="E1426" s="8" t="str">
        <f t="shared" si="167"/>
        <v>女</v>
      </c>
    </row>
    <row r="1427" spans="1:5" ht="30" customHeight="1">
      <c r="A1427" s="8">
        <v>1424</v>
      </c>
      <c r="B1427" s="8" t="str">
        <f>"38492022042115120728070"</f>
        <v>38492022042115120728070</v>
      </c>
      <c r="C1427" s="8" t="s">
        <v>21</v>
      </c>
      <c r="D1427" s="8" t="str">
        <f>"林兰玉"</f>
        <v>林兰玉</v>
      </c>
      <c r="E1427" s="8" t="str">
        <f t="shared" si="167"/>
        <v>女</v>
      </c>
    </row>
    <row r="1428" spans="1:5" ht="30" customHeight="1">
      <c r="A1428" s="8">
        <v>1425</v>
      </c>
      <c r="B1428" s="8" t="str">
        <f>"38492022042115124428077"</f>
        <v>38492022042115124428077</v>
      </c>
      <c r="C1428" s="8" t="s">
        <v>21</v>
      </c>
      <c r="D1428" s="8" t="str">
        <f>"赵文蔚"</f>
        <v>赵文蔚</v>
      </c>
      <c r="E1428" s="8" t="str">
        <f aca="true" t="shared" si="168" ref="E1428:E1433">"男"</f>
        <v>男</v>
      </c>
    </row>
    <row r="1429" spans="1:5" ht="30" customHeight="1">
      <c r="A1429" s="8">
        <v>1426</v>
      </c>
      <c r="B1429" s="8" t="str">
        <f>"38492022042115140128092"</f>
        <v>38492022042115140128092</v>
      </c>
      <c r="C1429" s="8" t="s">
        <v>21</v>
      </c>
      <c r="D1429" s="8" t="str">
        <f>"黎寿方"</f>
        <v>黎寿方</v>
      </c>
      <c r="E1429" s="8" t="str">
        <f aca="true" t="shared" si="169" ref="E1429:E1432">"女"</f>
        <v>女</v>
      </c>
    </row>
    <row r="1430" spans="1:5" ht="30" customHeight="1">
      <c r="A1430" s="8">
        <v>1427</v>
      </c>
      <c r="B1430" s="8" t="str">
        <f>"38492022042115141128093"</f>
        <v>38492022042115141128093</v>
      </c>
      <c r="C1430" s="8" t="s">
        <v>21</v>
      </c>
      <c r="D1430" s="8" t="str">
        <f>"冯冬春"</f>
        <v>冯冬春</v>
      </c>
      <c r="E1430" s="8" t="str">
        <f t="shared" si="169"/>
        <v>女</v>
      </c>
    </row>
    <row r="1431" spans="1:5" ht="30" customHeight="1">
      <c r="A1431" s="8">
        <v>1428</v>
      </c>
      <c r="B1431" s="8" t="str">
        <f>"38492022042115164128121"</f>
        <v>38492022042115164128121</v>
      </c>
      <c r="C1431" s="8" t="s">
        <v>21</v>
      </c>
      <c r="D1431" s="8" t="str">
        <f>"王庸乾"</f>
        <v>王庸乾</v>
      </c>
      <c r="E1431" s="8" t="str">
        <f t="shared" si="168"/>
        <v>男</v>
      </c>
    </row>
    <row r="1432" spans="1:5" ht="30" customHeight="1">
      <c r="A1432" s="8">
        <v>1429</v>
      </c>
      <c r="B1432" s="8" t="str">
        <f>"38492022042115165228124"</f>
        <v>38492022042115165228124</v>
      </c>
      <c r="C1432" s="8" t="s">
        <v>21</v>
      </c>
      <c r="D1432" s="8" t="str">
        <f>"严凌艳"</f>
        <v>严凌艳</v>
      </c>
      <c r="E1432" s="8" t="str">
        <f t="shared" si="169"/>
        <v>女</v>
      </c>
    </row>
    <row r="1433" spans="1:5" ht="30" customHeight="1">
      <c r="A1433" s="8">
        <v>1430</v>
      </c>
      <c r="B1433" s="8" t="str">
        <f>"38492022042115184128139"</f>
        <v>38492022042115184128139</v>
      </c>
      <c r="C1433" s="8" t="s">
        <v>21</v>
      </c>
      <c r="D1433" s="8" t="str">
        <f>"朱小甲"</f>
        <v>朱小甲</v>
      </c>
      <c r="E1433" s="8" t="str">
        <f t="shared" si="168"/>
        <v>男</v>
      </c>
    </row>
    <row r="1434" spans="1:5" ht="30" customHeight="1">
      <c r="A1434" s="8">
        <v>1431</v>
      </c>
      <c r="B1434" s="8" t="str">
        <f>"38492022042115185728140"</f>
        <v>38492022042115185728140</v>
      </c>
      <c r="C1434" s="8" t="s">
        <v>21</v>
      </c>
      <c r="D1434" s="8" t="str">
        <f>"陈丹蔓"</f>
        <v>陈丹蔓</v>
      </c>
      <c r="E1434" s="8" t="str">
        <f aca="true" t="shared" si="170" ref="E1434:E1442">"女"</f>
        <v>女</v>
      </c>
    </row>
    <row r="1435" spans="1:5" ht="30" customHeight="1">
      <c r="A1435" s="8">
        <v>1432</v>
      </c>
      <c r="B1435" s="8" t="str">
        <f>"38492022042115193528145"</f>
        <v>38492022042115193528145</v>
      </c>
      <c r="C1435" s="8" t="s">
        <v>21</v>
      </c>
      <c r="D1435" s="8" t="str">
        <f>"张杰"</f>
        <v>张杰</v>
      </c>
      <c r="E1435" s="8" t="str">
        <f aca="true" t="shared" si="171" ref="E1435:E1437">"男"</f>
        <v>男</v>
      </c>
    </row>
    <row r="1436" spans="1:5" ht="30" customHeight="1">
      <c r="A1436" s="8">
        <v>1433</v>
      </c>
      <c r="B1436" s="8" t="str">
        <f>"38492022042115201928149"</f>
        <v>38492022042115201928149</v>
      </c>
      <c r="C1436" s="8" t="s">
        <v>21</v>
      </c>
      <c r="D1436" s="8" t="str">
        <f>"李春燕"</f>
        <v>李春燕</v>
      </c>
      <c r="E1436" s="8" t="str">
        <f t="shared" si="171"/>
        <v>男</v>
      </c>
    </row>
    <row r="1437" spans="1:5" ht="30" customHeight="1">
      <c r="A1437" s="8">
        <v>1434</v>
      </c>
      <c r="B1437" s="8" t="str">
        <f>"38492022042115205928155"</f>
        <v>38492022042115205928155</v>
      </c>
      <c r="C1437" s="8" t="s">
        <v>21</v>
      </c>
      <c r="D1437" s="8" t="str">
        <f>"吴英祥"</f>
        <v>吴英祥</v>
      </c>
      <c r="E1437" s="8" t="str">
        <f t="shared" si="171"/>
        <v>男</v>
      </c>
    </row>
    <row r="1438" spans="1:5" ht="30" customHeight="1">
      <c r="A1438" s="8">
        <v>1435</v>
      </c>
      <c r="B1438" s="8" t="str">
        <f>"38492022042115223528169"</f>
        <v>38492022042115223528169</v>
      </c>
      <c r="C1438" s="8" t="s">
        <v>21</v>
      </c>
      <c r="D1438" s="8" t="str">
        <f>"李昂"</f>
        <v>李昂</v>
      </c>
      <c r="E1438" s="8" t="str">
        <f t="shared" si="170"/>
        <v>女</v>
      </c>
    </row>
    <row r="1439" spans="1:5" ht="30" customHeight="1">
      <c r="A1439" s="8">
        <v>1436</v>
      </c>
      <c r="B1439" s="8" t="str">
        <f>"38492022042115235528183"</f>
        <v>38492022042115235528183</v>
      </c>
      <c r="C1439" s="8" t="s">
        <v>21</v>
      </c>
      <c r="D1439" s="8" t="str">
        <f>"洪真荣"</f>
        <v>洪真荣</v>
      </c>
      <c r="E1439" s="8" t="str">
        <f t="shared" si="170"/>
        <v>女</v>
      </c>
    </row>
    <row r="1440" spans="1:5" ht="30" customHeight="1">
      <c r="A1440" s="8">
        <v>1437</v>
      </c>
      <c r="B1440" s="8" t="str">
        <f>"38492022042115280528220"</f>
        <v>38492022042115280528220</v>
      </c>
      <c r="C1440" s="8" t="s">
        <v>21</v>
      </c>
      <c r="D1440" s="8" t="str">
        <f>"余仙华"</f>
        <v>余仙华</v>
      </c>
      <c r="E1440" s="8" t="str">
        <f t="shared" si="170"/>
        <v>女</v>
      </c>
    </row>
    <row r="1441" spans="1:5" ht="30" customHeight="1">
      <c r="A1441" s="8">
        <v>1438</v>
      </c>
      <c r="B1441" s="8" t="str">
        <f>"38492022042115281728221"</f>
        <v>38492022042115281728221</v>
      </c>
      <c r="C1441" s="8" t="s">
        <v>21</v>
      </c>
      <c r="D1441" s="8" t="str">
        <f>"邓莉莉"</f>
        <v>邓莉莉</v>
      </c>
      <c r="E1441" s="8" t="str">
        <f t="shared" si="170"/>
        <v>女</v>
      </c>
    </row>
    <row r="1442" spans="1:5" ht="30" customHeight="1">
      <c r="A1442" s="8">
        <v>1439</v>
      </c>
      <c r="B1442" s="8" t="str">
        <f>"38492022042115283628224"</f>
        <v>38492022042115283628224</v>
      </c>
      <c r="C1442" s="8" t="s">
        <v>21</v>
      </c>
      <c r="D1442" s="8" t="str">
        <f>"蔡小芯"</f>
        <v>蔡小芯</v>
      </c>
      <c r="E1442" s="8" t="str">
        <f t="shared" si="170"/>
        <v>女</v>
      </c>
    </row>
    <row r="1443" spans="1:5" ht="30" customHeight="1">
      <c r="A1443" s="8">
        <v>1440</v>
      </c>
      <c r="B1443" s="8" t="str">
        <f>"38492022042115291628227"</f>
        <v>38492022042115291628227</v>
      </c>
      <c r="C1443" s="8" t="s">
        <v>21</v>
      </c>
      <c r="D1443" s="8" t="str">
        <f>"许春南"</f>
        <v>许春南</v>
      </c>
      <c r="E1443" s="8" t="str">
        <f aca="true" t="shared" si="172" ref="E1443:E1447">"男"</f>
        <v>男</v>
      </c>
    </row>
    <row r="1444" spans="1:5" ht="30" customHeight="1">
      <c r="A1444" s="8">
        <v>1441</v>
      </c>
      <c r="B1444" s="8" t="str">
        <f>"38492022042115292028228"</f>
        <v>38492022042115292028228</v>
      </c>
      <c r="C1444" s="8" t="s">
        <v>21</v>
      </c>
      <c r="D1444" s="8" t="str">
        <f>"唐发敏"</f>
        <v>唐发敏</v>
      </c>
      <c r="E1444" s="8" t="str">
        <f t="shared" si="172"/>
        <v>男</v>
      </c>
    </row>
    <row r="1445" spans="1:5" ht="30" customHeight="1">
      <c r="A1445" s="8">
        <v>1442</v>
      </c>
      <c r="B1445" s="8" t="str">
        <f>"38492022042115293428229"</f>
        <v>38492022042115293428229</v>
      </c>
      <c r="C1445" s="8" t="s">
        <v>21</v>
      </c>
      <c r="D1445" s="8" t="str">
        <f>"李婷婷"</f>
        <v>李婷婷</v>
      </c>
      <c r="E1445" s="8" t="str">
        <f aca="true" t="shared" si="173" ref="E1445:E1450">"女"</f>
        <v>女</v>
      </c>
    </row>
    <row r="1446" spans="1:5" ht="30" customHeight="1">
      <c r="A1446" s="8">
        <v>1443</v>
      </c>
      <c r="B1446" s="8" t="str">
        <f>"38492022042115314328248"</f>
        <v>38492022042115314328248</v>
      </c>
      <c r="C1446" s="8" t="s">
        <v>21</v>
      </c>
      <c r="D1446" s="8" t="str">
        <f>"吴海桂"</f>
        <v>吴海桂</v>
      </c>
      <c r="E1446" s="8" t="str">
        <f t="shared" si="173"/>
        <v>女</v>
      </c>
    </row>
    <row r="1447" spans="1:5" ht="30" customHeight="1">
      <c r="A1447" s="8">
        <v>1444</v>
      </c>
      <c r="B1447" s="8" t="str">
        <f>"38492022042115333928259"</f>
        <v>38492022042115333928259</v>
      </c>
      <c r="C1447" s="8" t="s">
        <v>21</v>
      </c>
      <c r="D1447" s="8" t="str">
        <f>"吴贻浩"</f>
        <v>吴贻浩</v>
      </c>
      <c r="E1447" s="8" t="str">
        <f t="shared" si="172"/>
        <v>男</v>
      </c>
    </row>
    <row r="1448" spans="1:5" ht="30" customHeight="1">
      <c r="A1448" s="8">
        <v>1445</v>
      </c>
      <c r="B1448" s="8" t="str">
        <f>"38492022042115351928273"</f>
        <v>38492022042115351928273</v>
      </c>
      <c r="C1448" s="8" t="s">
        <v>21</v>
      </c>
      <c r="D1448" s="8" t="str">
        <f>"范老钦"</f>
        <v>范老钦</v>
      </c>
      <c r="E1448" s="8" t="str">
        <f t="shared" si="173"/>
        <v>女</v>
      </c>
    </row>
    <row r="1449" spans="1:5" ht="30" customHeight="1">
      <c r="A1449" s="8">
        <v>1446</v>
      </c>
      <c r="B1449" s="8" t="str">
        <f>"38492022042115353428277"</f>
        <v>38492022042115353428277</v>
      </c>
      <c r="C1449" s="8" t="s">
        <v>21</v>
      </c>
      <c r="D1449" s="8" t="str">
        <f>"符元带"</f>
        <v>符元带</v>
      </c>
      <c r="E1449" s="8" t="str">
        <f t="shared" si="173"/>
        <v>女</v>
      </c>
    </row>
    <row r="1450" spans="1:5" ht="30" customHeight="1">
      <c r="A1450" s="8">
        <v>1447</v>
      </c>
      <c r="B1450" s="8" t="str">
        <f>"38492022042115361628282"</f>
        <v>38492022042115361628282</v>
      </c>
      <c r="C1450" s="8" t="s">
        <v>21</v>
      </c>
      <c r="D1450" s="8" t="str">
        <f>"张修娟"</f>
        <v>张修娟</v>
      </c>
      <c r="E1450" s="8" t="str">
        <f t="shared" si="173"/>
        <v>女</v>
      </c>
    </row>
    <row r="1451" spans="1:5" ht="30" customHeight="1">
      <c r="A1451" s="8">
        <v>1448</v>
      </c>
      <c r="B1451" s="8" t="str">
        <f>"38492022042115365228285"</f>
        <v>38492022042115365228285</v>
      </c>
      <c r="C1451" s="8" t="s">
        <v>21</v>
      </c>
      <c r="D1451" s="8" t="str">
        <f>"陈声晓"</f>
        <v>陈声晓</v>
      </c>
      <c r="E1451" s="8" t="str">
        <f>"男"</f>
        <v>男</v>
      </c>
    </row>
    <row r="1452" spans="1:5" ht="30" customHeight="1">
      <c r="A1452" s="8">
        <v>1449</v>
      </c>
      <c r="B1452" s="8" t="str">
        <f>"38492022042115375228293"</f>
        <v>38492022042115375228293</v>
      </c>
      <c r="C1452" s="8" t="s">
        <v>21</v>
      </c>
      <c r="D1452" s="8" t="str">
        <f>"曾颖莹"</f>
        <v>曾颖莹</v>
      </c>
      <c r="E1452" s="8" t="str">
        <f aca="true" t="shared" si="174" ref="E1452:E1457">"女"</f>
        <v>女</v>
      </c>
    </row>
    <row r="1453" spans="1:5" ht="30" customHeight="1">
      <c r="A1453" s="8">
        <v>1450</v>
      </c>
      <c r="B1453" s="8" t="str">
        <f>"38492022042115393928303"</f>
        <v>38492022042115393928303</v>
      </c>
      <c r="C1453" s="8" t="s">
        <v>21</v>
      </c>
      <c r="D1453" s="8" t="str">
        <f>"沈小玉"</f>
        <v>沈小玉</v>
      </c>
      <c r="E1453" s="8" t="str">
        <f t="shared" si="174"/>
        <v>女</v>
      </c>
    </row>
    <row r="1454" spans="1:5" ht="30" customHeight="1">
      <c r="A1454" s="8">
        <v>1451</v>
      </c>
      <c r="B1454" s="8" t="str">
        <f>"38492022042115425828328"</f>
        <v>38492022042115425828328</v>
      </c>
      <c r="C1454" s="8" t="s">
        <v>21</v>
      </c>
      <c r="D1454" s="8" t="str">
        <f>"王求丽"</f>
        <v>王求丽</v>
      </c>
      <c r="E1454" s="8" t="str">
        <f t="shared" si="174"/>
        <v>女</v>
      </c>
    </row>
    <row r="1455" spans="1:5" ht="30" customHeight="1">
      <c r="A1455" s="8">
        <v>1452</v>
      </c>
      <c r="B1455" s="8" t="str">
        <f>"38492022042115432828330"</f>
        <v>38492022042115432828330</v>
      </c>
      <c r="C1455" s="8" t="s">
        <v>21</v>
      </c>
      <c r="D1455" s="8" t="str">
        <f>"文妍妍"</f>
        <v>文妍妍</v>
      </c>
      <c r="E1455" s="8" t="str">
        <f t="shared" si="174"/>
        <v>女</v>
      </c>
    </row>
    <row r="1456" spans="1:5" ht="30" customHeight="1">
      <c r="A1456" s="8">
        <v>1453</v>
      </c>
      <c r="B1456" s="8" t="str">
        <f>"38492022042115441928338"</f>
        <v>38492022042115441928338</v>
      </c>
      <c r="C1456" s="8" t="s">
        <v>21</v>
      </c>
      <c r="D1456" s="8" t="str">
        <f>"符克芳"</f>
        <v>符克芳</v>
      </c>
      <c r="E1456" s="8" t="str">
        <f t="shared" si="174"/>
        <v>女</v>
      </c>
    </row>
    <row r="1457" spans="1:5" ht="30" customHeight="1">
      <c r="A1457" s="8">
        <v>1454</v>
      </c>
      <c r="B1457" s="8" t="str">
        <f>"38492022042115445228346"</f>
        <v>38492022042115445228346</v>
      </c>
      <c r="C1457" s="8" t="s">
        <v>21</v>
      </c>
      <c r="D1457" s="8" t="str">
        <f>"蒙海梅"</f>
        <v>蒙海梅</v>
      </c>
      <c r="E1457" s="8" t="str">
        <f t="shared" si="174"/>
        <v>女</v>
      </c>
    </row>
    <row r="1458" spans="1:5" ht="30" customHeight="1">
      <c r="A1458" s="8">
        <v>1455</v>
      </c>
      <c r="B1458" s="8" t="str">
        <f>"38492022042115454928361"</f>
        <v>38492022042115454928361</v>
      </c>
      <c r="C1458" s="8" t="s">
        <v>21</v>
      </c>
      <c r="D1458" s="8" t="str">
        <f>"吕武庆"</f>
        <v>吕武庆</v>
      </c>
      <c r="E1458" s="8" t="str">
        <f>"男"</f>
        <v>男</v>
      </c>
    </row>
    <row r="1459" spans="1:5" ht="30" customHeight="1">
      <c r="A1459" s="8">
        <v>1456</v>
      </c>
      <c r="B1459" s="8" t="str">
        <f>"38492022042115474228370"</f>
        <v>38492022042115474228370</v>
      </c>
      <c r="C1459" s="8" t="s">
        <v>21</v>
      </c>
      <c r="D1459" s="8" t="str">
        <f>"陈艺靖"</f>
        <v>陈艺靖</v>
      </c>
      <c r="E1459" s="8" t="str">
        <f aca="true" t="shared" si="175" ref="E1459:E1462">"女"</f>
        <v>女</v>
      </c>
    </row>
    <row r="1460" spans="1:5" ht="30" customHeight="1">
      <c r="A1460" s="8">
        <v>1457</v>
      </c>
      <c r="B1460" s="8" t="str">
        <f>"38492022042115483728378"</f>
        <v>38492022042115483728378</v>
      </c>
      <c r="C1460" s="8" t="s">
        <v>21</v>
      </c>
      <c r="D1460" s="8" t="str">
        <f>"陈永够"</f>
        <v>陈永够</v>
      </c>
      <c r="E1460" s="8" t="str">
        <f t="shared" si="175"/>
        <v>女</v>
      </c>
    </row>
    <row r="1461" spans="1:5" ht="30" customHeight="1">
      <c r="A1461" s="8">
        <v>1458</v>
      </c>
      <c r="B1461" s="8" t="str">
        <f>"38492022042115502128394"</f>
        <v>38492022042115502128394</v>
      </c>
      <c r="C1461" s="8" t="s">
        <v>21</v>
      </c>
      <c r="D1461" s="8" t="str">
        <f>"冯颖颖"</f>
        <v>冯颖颖</v>
      </c>
      <c r="E1461" s="8" t="str">
        <f t="shared" si="175"/>
        <v>女</v>
      </c>
    </row>
    <row r="1462" spans="1:5" ht="30" customHeight="1">
      <c r="A1462" s="8">
        <v>1459</v>
      </c>
      <c r="B1462" s="8" t="str">
        <f>"38492022042115544328423"</f>
        <v>38492022042115544328423</v>
      </c>
      <c r="C1462" s="8" t="s">
        <v>21</v>
      </c>
      <c r="D1462" s="8" t="str">
        <f>"冯晓玲"</f>
        <v>冯晓玲</v>
      </c>
      <c r="E1462" s="8" t="str">
        <f t="shared" si="175"/>
        <v>女</v>
      </c>
    </row>
    <row r="1463" spans="1:5" ht="30" customHeight="1">
      <c r="A1463" s="8">
        <v>1460</v>
      </c>
      <c r="B1463" s="8" t="str">
        <f>"38492022042115573128435"</f>
        <v>38492022042115573128435</v>
      </c>
      <c r="C1463" s="8" t="s">
        <v>21</v>
      </c>
      <c r="D1463" s="8" t="str">
        <f>"周家龙"</f>
        <v>周家龙</v>
      </c>
      <c r="E1463" s="8" t="str">
        <f>"男"</f>
        <v>男</v>
      </c>
    </row>
    <row r="1464" spans="1:5" ht="30" customHeight="1">
      <c r="A1464" s="8">
        <v>1461</v>
      </c>
      <c r="B1464" s="8" t="str">
        <f>"38492022042115583828442"</f>
        <v>38492022042115583828442</v>
      </c>
      <c r="C1464" s="8" t="s">
        <v>21</v>
      </c>
      <c r="D1464" s="8" t="str">
        <f>"樊嘉慧"</f>
        <v>樊嘉慧</v>
      </c>
      <c r="E1464" s="8" t="str">
        <f aca="true" t="shared" si="176" ref="E1464:E1468">"女"</f>
        <v>女</v>
      </c>
    </row>
    <row r="1465" spans="1:5" ht="30" customHeight="1">
      <c r="A1465" s="8">
        <v>1462</v>
      </c>
      <c r="B1465" s="8" t="str">
        <f>"38492022042116001728449"</f>
        <v>38492022042116001728449</v>
      </c>
      <c r="C1465" s="8" t="s">
        <v>21</v>
      </c>
      <c r="D1465" s="8" t="str">
        <f>"符鹤玲"</f>
        <v>符鹤玲</v>
      </c>
      <c r="E1465" s="8" t="str">
        <f t="shared" si="176"/>
        <v>女</v>
      </c>
    </row>
    <row r="1466" spans="1:5" ht="30" customHeight="1">
      <c r="A1466" s="8">
        <v>1463</v>
      </c>
      <c r="B1466" s="8" t="str">
        <f>"38492022042116011328457"</f>
        <v>38492022042116011328457</v>
      </c>
      <c r="C1466" s="8" t="s">
        <v>21</v>
      </c>
      <c r="D1466" s="8" t="str">
        <f>"周唐姝"</f>
        <v>周唐姝</v>
      </c>
      <c r="E1466" s="8" t="str">
        <f t="shared" si="176"/>
        <v>女</v>
      </c>
    </row>
    <row r="1467" spans="1:5" ht="30" customHeight="1">
      <c r="A1467" s="8">
        <v>1464</v>
      </c>
      <c r="B1467" s="8" t="str">
        <f>"38492022042116084028500"</f>
        <v>38492022042116084028500</v>
      </c>
      <c r="C1467" s="8" t="s">
        <v>21</v>
      </c>
      <c r="D1467" s="8" t="str">
        <f>"黄晓倩"</f>
        <v>黄晓倩</v>
      </c>
      <c r="E1467" s="8" t="str">
        <f t="shared" si="176"/>
        <v>女</v>
      </c>
    </row>
    <row r="1468" spans="1:5" ht="30" customHeight="1">
      <c r="A1468" s="8">
        <v>1465</v>
      </c>
      <c r="B1468" s="8" t="str">
        <f>"38492022042116120628521"</f>
        <v>38492022042116120628521</v>
      </c>
      <c r="C1468" s="8" t="s">
        <v>21</v>
      </c>
      <c r="D1468" s="8" t="str">
        <f>"王玉文"</f>
        <v>王玉文</v>
      </c>
      <c r="E1468" s="8" t="str">
        <f t="shared" si="176"/>
        <v>女</v>
      </c>
    </row>
    <row r="1469" spans="1:5" ht="30" customHeight="1">
      <c r="A1469" s="8">
        <v>1466</v>
      </c>
      <c r="B1469" s="8" t="str">
        <f>"38492022042116130528533"</f>
        <v>38492022042116130528533</v>
      </c>
      <c r="C1469" s="8" t="s">
        <v>21</v>
      </c>
      <c r="D1469" s="8" t="str">
        <f>"秦子康"</f>
        <v>秦子康</v>
      </c>
      <c r="E1469" s="8" t="str">
        <f>"男"</f>
        <v>男</v>
      </c>
    </row>
    <row r="1470" spans="1:5" ht="30" customHeight="1">
      <c r="A1470" s="8">
        <v>1467</v>
      </c>
      <c r="B1470" s="8" t="str">
        <f>"38492022042116152728551"</f>
        <v>38492022042116152728551</v>
      </c>
      <c r="C1470" s="8" t="s">
        <v>21</v>
      </c>
      <c r="D1470" s="8" t="str">
        <f>"王宽瑾"</f>
        <v>王宽瑾</v>
      </c>
      <c r="E1470" s="8" t="str">
        <f>"男"</f>
        <v>男</v>
      </c>
    </row>
    <row r="1471" spans="1:5" ht="30" customHeight="1">
      <c r="A1471" s="8">
        <v>1468</v>
      </c>
      <c r="B1471" s="8" t="str">
        <f>"38492022042116164628559"</f>
        <v>38492022042116164628559</v>
      </c>
      <c r="C1471" s="8" t="s">
        <v>21</v>
      </c>
      <c r="D1471" s="8" t="str">
        <f>"苏莹"</f>
        <v>苏莹</v>
      </c>
      <c r="E1471" s="8" t="str">
        <f aca="true" t="shared" si="177" ref="E1471:E1478">"女"</f>
        <v>女</v>
      </c>
    </row>
    <row r="1472" spans="1:5" ht="30" customHeight="1">
      <c r="A1472" s="8">
        <v>1469</v>
      </c>
      <c r="B1472" s="8" t="str">
        <f>"38492022042116175328573"</f>
        <v>38492022042116175328573</v>
      </c>
      <c r="C1472" s="8" t="s">
        <v>21</v>
      </c>
      <c r="D1472" s="8" t="str">
        <f>"黎正蓉"</f>
        <v>黎正蓉</v>
      </c>
      <c r="E1472" s="8" t="str">
        <f t="shared" si="177"/>
        <v>女</v>
      </c>
    </row>
    <row r="1473" spans="1:5" ht="30" customHeight="1">
      <c r="A1473" s="8">
        <v>1470</v>
      </c>
      <c r="B1473" s="8" t="str">
        <f>"38492022042116183628580"</f>
        <v>38492022042116183628580</v>
      </c>
      <c r="C1473" s="8" t="s">
        <v>21</v>
      </c>
      <c r="D1473" s="8" t="str">
        <f>"黄娇冬"</f>
        <v>黄娇冬</v>
      </c>
      <c r="E1473" s="8" t="str">
        <f t="shared" si="177"/>
        <v>女</v>
      </c>
    </row>
    <row r="1474" spans="1:5" ht="30" customHeight="1">
      <c r="A1474" s="8">
        <v>1471</v>
      </c>
      <c r="B1474" s="8" t="str">
        <f>"38492022042116214728608"</f>
        <v>38492022042116214728608</v>
      </c>
      <c r="C1474" s="8" t="s">
        <v>21</v>
      </c>
      <c r="D1474" s="8" t="str">
        <f>"符明路"</f>
        <v>符明路</v>
      </c>
      <c r="E1474" s="8" t="str">
        <f t="shared" si="177"/>
        <v>女</v>
      </c>
    </row>
    <row r="1475" spans="1:5" ht="30" customHeight="1">
      <c r="A1475" s="8">
        <v>1472</v>
      </c>
      <c r="B1475" s="8" t="str">
        <f>"38492022042116242028623"</f>
        <v>38492022042116242028623</v>
      </c>
      <c r="C1475" s="8" t="s">
        <v>21</v>
      </c>
      <c r="D1475" s="8" t="str">
        <f>"黄美佳"</f>
        <v>黄美佳</v>
      </c>
      <c r="E1475" s="8" t="str">
        <f t="shared" si="177"/>
        <v>女</v>
      </c>
    </row>
    <row r="1476" spans="1:5" ht="30" customHeight="1">
      <c r="A1476" s="8">
        <v>1473</v>
      </c>
      <c r="B1476" s="8" t="str">
        <f>"38492022042116245328628"</f>
        <v>38492022042116245328628</v>
      </c>
      <c r="C1476" s="8" t="s">
        <v>21</v>
      </c>
      <c r="D1476" s="8" t="str">
        <f>"陈嘉琪"</f>
        <v>陈嘉琪</v>
      </c>
      <c r="E1476" s="8" t="str">
        <f t="shared" si="177"/>
        <v>女</v>
      </c>
    </row>
    <row r="1477" spans="1:5" ht="30" customHeight="1">
      <c r="A1477" s="8">
        <v>1474</v>
      </c>
      <c r="B1477" s="8" t="str">
        <f>"38492022042116245928630"</f>
        <v>38492022042116245928630</v>
      </c>
      <c r="C1477" s="8" t="s">
        <v>21</v>
      </c>
      <c r="D1477" s="8" t="str">
        <f>"梅国英"</f>
        <v>梅国英</v>
      </c>
      <c r="E1477" s="8" t="str">
        <f t="shared" si="177"/>
        <v>女</v>
      </c>
    </row>
    <row r="1478" spans="1:5" ht="30" customHeight="1">
      <c r="A1478" s="8">
        <v>1475</v>
      </c>
      <c r="B1478" s="8" t="str">
        <f>"38492022042116255628639"</f>
        <v>38492022042116255628639</v>
      </c>
      <c r="C1478" s="8" t="s">
        <v>21</v>
      </c>
      <c r="D1478" s="8" t="str">
        <f>"谢秋池"</f>
        <v>谢秋池</v>
      </c>
      <c r="E1478" s="8" t="str">
        <f t="shared" si="177"/>
        <v>女</v>
      </c>
    </row>
    <row r="1479" spans="1:5" ht="30" customHeight="1">
      <c r="A1479" s="8">
        <v>1476</v>
      </c>
      <c r="B1479" s="8" t="str">
        <f>"38492022042116255828640"</f>
        <v>38492022042116255828640</v>
      </c>
      <c r="C1479" s="8" t="s">
        <v>21</v>
      </c>
      <c r="D1479" s="8" t="str">
        <f>"邢增策"</f>
        <v>邢增策</v>
      </c>
      <c r="E1479" s="8" t="str">
        <f aca="true" t="shared" si="178" ref="E1479:E1482">"男"</f>
        <v>男</v>
      </c>
    </row>
    <row r="1480" spans="1:5" ht="30" customHeight="1">
      <c r="A1480" s="8">
        <v>1477</v>
      </c>
      <c r="B1480" s="8" t="str">
        <f>"38492022042116330228675"</f>
        <v>38492022042116330228675</v>
      </c>
      <c r="C1480" s="8" t="s">
        <v>21</v>
      </c>
      <c r="D1480" s="8" t="str">
        <f>"符涛"</f>
        <v>符涛</v>
      </c>
      <c r="E1480" s="8" t="str">
        <f t="shared" si="178"/>
        <v>男</v>
      </c>
    </row>
    <row r="1481" spans="1:5" ht="30" customHeight="1">
      <c r="A1481" s="8">
        <v>1478</v>
      </c>
      <c r="B1481" s="8" t="str">
        <f>"38492022042116351128692"</f>
        <v>38492022042116351128692</v>
      </c>
      <c r="C1481" s="8" t="s">
        <v>21</v>
      </c>
      <c r="D1481" s="8" t="str">
        <f>"吴秋露"</f>
        <v>吴秋露</v>
      </c>
      <c r="E1481" s="8" t="str">
        <f aca="true" t="shared" si="179" ref="E1481:E1486">"女"</f>
        <v>女</v>
      </c>
    </row>
    <row r="1482" spans="1:5" ht="30" customHeight="1">
      <c r="A1482" s="8">
        <v>1479</v>
      </c>
      <c r="B1482" s="8" t="str">
        <f>"38492022042116371028702"</f>
        <v>38492022042116371028702</v>
      </c>
      <c r="C1482" s="8" t="s">
        <v>21</v>
      </c>
      <c r="D1482" s="8" t="str">
        <f>"符方伟"</f>
        <v>符方伟</v>
      </c>
      <c r="E1482" s="8" t="str">
        <f t="shared" si="178"/>
        <v>男</v>
      </c>
    </row>
    <row r="1483" spans="1:5" ht="30" customHeight="1">
      <c r="A1483" s="8">
        <v>1480</v>
      </c>
      <c r="B1483" s="8" t="str">
        <f>"38492022042116371428703"</f>
        <v>38492022042116371428703</v>
      </c>
      <c r="C1483" s="8" t="s">
        <v>21</v>
      </c>
      <c r="D1483" s="8" t="str">
        <f>"薛彩虹"</f>
        <v>薛彩虹</v>
      </c>
      <c r="E1483" s="8" t="str">
        <f t="shared" si="179"/>
        <v>女</v>
      </c>
    </row>
    <row r="1484" spans="1:5" ht="30" customHeight="1">
      <c r="A1484" s="8">
        <v>1481</v>
      </c>
      <c r="B1484" s="8" t="str">
        <f>"38492022042116373528707"</f>
        <v>38492022042116373528707</v>
      </c>
      <c r="C1484" s="8" t="s">
        <v>21</v>
      </c>
      <c r="D1484" s="8" t="str">
        <f>"王虹"</f>
        <v>王虹</v>
      </c>
      <c r="E1484" s="8" t="str">
        <f t="shared" si="179"/>
        <v>女</v>
      </c>
    </row>
    <row r="1485" spans="1:5" ht="30" customHeight="1">
      <c r="A1485" s="8">
        <v>1482</v>
      </c>
      <c r="B1485" s="8" t="str">
        <f>"38492022042116423528743"</f>
        <v>38492022042116423528743</v>
      </c>
      <c r="C1485" s="8" t="s">
        <v>21</v>
      </c>
      <c r="D1485" s="8" t="str">
        <f>"郑安彤"</f>
        <v>郑安彤</v>
      </c>
      <c r="E1485" s="8" t="str">
        <f t="shared" si="179"/>
        <v>女</v>
      </c>
    </row>
    <row r="1486" spans="1:5" ht="30" customHeight="1">
      <c r="A1486" s="8">
        <v>1483</v>
      </c>
      <c r="B1486" s="8" t="str">
        <f>"38492022042116460828764"</f>
        <v>38492022042116460828764</v>
      </c>
      <c r="C1486" s="8" t="s">
        <v>21</v>
      </c>
      <c r="D1486" s="8" t="str">
        <f>"程源"</f>
        <v>程源</v>
      </c>
      <c r="E1486" s="8" t="str">
        <f t="shared" si="179"/>
        <v>女</v>
      </c>
    </row>
    <row r="1487" spans="1:5" ht="30" customHeight="1">
      <c r="A1487" s="8">
        <v>1484</v>
      </c>
      <c r="B1487" s="8" t="str">
        <f>"38492022042116470728771"</f>
        <v>38492022042116470728771</v>
      </c>
      <c r="C1487" s="8" t="s">
        <v>21</v>
      </c>
      <c r="D1487" s="8" t="str">
        <f>"梁彬"</f>
        <v>梁彬</v>
      </c>
      <c r="E1487" s="8" t="str">
        <f aca="true" t="shared" si="180" ref="E1487:E1490">"男"</f>
        <v>男</v>
      </c>
    </row>
    <row r="1488" spans="1:5" ht="30" customHeight="1">
      <c r="A1488" s="8">
        <v>1485</v>
      </c>
      <c r="B1488" s="8" t="str">
        <f>"38492022042116480928778"</f>
        <v>38492022042116480928778</v>
      </c>
      <c r="C1488" s="8" t="s">
        <v>21</v>
      </c>
      <c r="D1488" s="8" t="str">
        <f>"杨泽健"</f>
        <v>杨泽健</v>
      </c>
      <c r="E1488" s="8" t="str">
        <f t="shared" si="180"/>
        <v>男</v>
      </c>
    </row>
    <row r="1489" spans="1:5" ht="30" customHeight="1">
      <c r="A1489" s="8">
        <v>1486</v>
      </c>
      <c r="B1489" s="8" t="str">
        <f>"38492022042116503628794"</f>
        <v>38492022042116503628794</v>
      </c>
      <c r="C1489" s="8" t="s">
        <v>21</v>
      </c>
      <c r="D1489" s="8" t="str">
        <f>"卢家全"</f>
        <v>卢家全</v>
      </c>
      <c r="E1489" s="8" t="str">
        <f t="shared" si="180"/>
        <v>男</v>
      </c>
    </row>
    <row r="1490" spans="1:5" ht="30" customHeight="1">
      <c r="A1490" s="8">
        <v>1487</v>
      </c>
      <c r="B1490" s="8" t="str">
        <f>"38492022042116514728801"</f>
        <v>38492022042116514728801</v>
      </c>
      <c r="C1490" s="8" t="s">
        <v>21</v>
      </c>
      <c r="D1490" s="8" t="str">
        <f>"韦道威"</f>
        <v>韦道威</v>
      </c>
      <c r="E1490" s="8" t="str">
        <f t="shared" si="180"/>
        <v>男</v>
      </c>
    </row>
    <row r="1491" spans="1:5" ht="30" customHeight="1">
      <c r="A1491" s="8">
        <v>1488</v>
      </c>
      <c r="B1491" s="8" t="str">
        <f>"38492022042116523528810"</f>
        <v>38492022042116523528810</v>
      </c>
      <c r="C1491" s="8" t="s">
        <v>21</v>
      </c>
      <c r="D1491" s="8" t="str">
        <f>"罗孟珠"</f>
        <v>罗孟珠</v>
      </c>
      <c r="E1491" s="8" t="str">
        <f aca="true" t="shared" si="181" ref="E1491:E1496">"女"</f>
        <v>女</v>
      </c>
    </row>
    <row r="1492" spans="1:5" ht="30" customHeight="1">
      <c r="A1492" s="8">
        <v>1489</v>
      </c>
      <c r="B1492" s="8" t="str">
        <f>"38492022042116524628811"</f>
        <v>38492022042116524628811</v>
      </c>
      <c r="C1492" s="8" t="s">
        <v>21</v>
      </c>
      <c r="D1492" s="8" t="str">
        <f>"李翼达"</f>
        <v>李翼达</v>
      </c>
      <c r="E1492" s="8" t="str">
        <f aca="true" t="shared" si="182" ref="E1492:E1498">"男"</f>
        <v>男</v>
      </c>
    </row>
    <row r="1493" spans="1:5" ht="30" customHeight="1">
      <c r="A1493" s="8">
        <v>1490</v>
      </c>
      <c r="B1493" s="8" t="str">
        <f>"38492022042116541628821"</f>
        <v>38492022042116541628821</v>
      </c>
      <c r="C1493" s="8" t="s">
        <v>21</v>
      </c>
      <c r="D1493" s="8" t="str">
        <f>"何世豪"</f>
        <v>何世豪</v>
      </c>
      <c r="E1493" s="8" t="str">
        <f t="shared" si="182"/>
        <v>男</v>
      </c>
    </row>
    <row r="1494" spans="1:5" ht="30" customHeight="1">
      <c r="A1494" s="8">
        <v>1491</v>
      </c>
      <c r="B1494" s="8" t="str">
        <f>"38492022042116542028822"</f>
        <v>38492022042116542028822</v>
      </c>
      <c r="C1494" s="8" t="s">
        <v>21</v>
      </c>
      <c r="D1494" s="8" t="str">
        <f>"秦娇凤"</f>
        <v>秦娇凤</v>
      </c>
      <c r="E1494" s="8" t="str">
        <f t="shared" si="181"/>
        <v>女</v>
      </c>
    </row>
    <row r="1495" spans="1:5" ht="30" customHeight="1">
      <c r="A1495" s="8">
        <v>1492</v>
      </c>
      <c r="B1495" s="8" t="str">
        <f>"38492022042116572428838"</f>
        <v>38492022042116572428838</v>
      </c>
      <c r="C1495" s="8" t="s">
        <v>21</v>
      </c>
      <c r="D1495" s="8" t="str">
        <f>"李姣"</f>
        <v>李姣</v>
      </c>
      <c r="E1495" s="8" t="str">
        <f t="shared" si="181"/>
        <v>女</v>
      </c>
    </row>
    <row r="1496" spans="1:5" ht="30" customHeight="1">
      <c r="A1496" s="8">
        <v>1493</v>
      </c>
      <c r="B1496" s="8" t="str">
        <f>"38492022042116573428840"</f>
        <v>38492022042116573428840</v>
      </c>
      <c r="C1496" s="8" t="s">
        <v>21</v>
      </c>
      <c r="D1496" s="8" t="str">
        <f>"黄文际"</f>
        <v>黄文际</v>
      </c>
      <c r="E1496" s="8" t="str">
        <f t="shared" si="181"/>
        <v>女</v>
      </c>
    </row>
    <row r="1497" spans="1:5" ht="30" customHeight="1">
      <c r="A1497" s="8">
        <v>1494</v>
      </c>
      <c r="B1497" s="8" t="str">
        <f>"38492022042116582528846"</f>
        <v>38492022042116582528846</v>
      </c>
      <c r="C1497" s="8" t="s">
        <v>21</v>
      </c>
      <c r="D1497" s="8" t="str">
        <f>"张学友"</f>
        <v>张学友</v>
      </c>
      <c r="E1497" s="8" t="str">
        <f t="shared" si="182"/>
        <v>男</v>
      </c>
    </row>
    <row r="1498" spans="1:5" ht="30" customHeight="1">
      <c r="A1498" s="8">
        <v>1495</v>
      </c>
      <c r="B1498" s="8" t="str">
        <f>"38492022042117014728862"</f>
        <v>38492022042117014728862</v>
      </c>
      <c r="C1498" s="8" t="s">
        <v>21</v>
      </c>
      <c r="D1498" s="8" t="str">
        <f>"石翠隆"</f>
        <v>石翠隆</v>
      </c>
      <c r="E1498" s="8" t="str">
        <f t="shared" si="182"/>
        <v>男</v>
      </c>
    </row>
    <row r="1499" spans="1:5" ht="30" customHeight="1">
      <c r="A1499" s="8">
        <v>1496</v>
      </c>
      <c r="B1499" s="8" t="str">
        <f>"38492022042117030928869"</f>
        <v>38492022042117030928869</v>
      </c>
      <c r="C1499" s="8" t="s">
        <v>21</v>
      </c>
      <c r="D1499" s="8" t="str">
        <f>"钟小碧"</f>
        <v>钟小碧</v>
      </c>
      <c r="E1499" s="8" t="str">
        <f>"女"</f>
        <v>女</v>
      </c>
    </row>
    <row r="1500" spans="1:5" ht="30" customHeight="1">
      <c r="A1500" s="8">
        <v>1497</v>
      </c>
      <c r="B1500" s="8" t="str">
        <f>"38492022042117041528877"</f>
        <v>38492022042117041528877</v>
      </c>
      <c r="C1500" s="8" t="s">
        <v>21</v>
      </c>
      <c r="D1500" s="8" t="str">
        <f>"王道洲"</f>
        <v>王道洲</v>
      </c>
      <c r="E1500" s="8" t="str">
        <f aca="true" t="shared" si="183" ref="E1500:E1502">"男"</f>
        <v>男</v>
      </c>
    </row>
    <row r="1501" spans="1:5" ht="30" customHeight="1">
      <c r="A1501" s="8">
        <v>1498</v>
      </c>
      <c r="B1501" s="8" t="str">
        <f>"38492022042117071328898"</f>
        <v>38492022042117071328898</v>
      </c>
      <c r="C1501" s="8" t="s">
        <v>21</v>
      </c>
      <c r="D1501" s="8" t="str">
        <f>"刘柄"</f>
        <v>刘柄</v>
      </c>
      <c r="E1501" s="8" t="str">
        <f t="shared" si="183"/>
        <v>男</v>
      </c>
    </row>
    <row r="1502" spans="1:5" ht="30" customHeight="1">
      <c r="A1502" s="8">
        <v>1499</v>
      </c>
      <c r="B1502" s="8" t="str">
        <f>"38492022042117082128909"</f>
        <v>38492022042117082128909</v>
      </c>
      <c r="C1502" s="8" t="s">
        <v>21</v>
      </c>
      <c r="D1502" s="8" t="str">
        <f>"林师崇"</f>
        <v>林师崇</v>
      </c>
      <c r="E1502" s="8" t="str">
        <f t="shared" si="183"/>
        <v>男</v>
      </c>
    </row>
    <row r="1503" spans="1:5" ht="30" customHeight="1">
      <c r="A1503" s="8">
        <v>1500</v>
      </c>
      <c r="B1503" s="8" t="str">
        <f>"38492022042117122928938"</f>
        <v>38492022042117122928938</v>
      </c>
      <c r="C1503" s="8" t="s">
        <v>21</v>
      </c>
      <c r="D1503" s="8" t="str">
        <f>"陈文霞"</f>
        <v>陈文霞</v>
      </c>
      <c r="E1503" s="8" t="str">
        <f aca="true" t="shared" si="184" ref="E1503:E1506">"女"</f>
        <v>女</v>
      </c>
    </row>
    <row r="1504" spans="1:5" ht="30" customHeight="1">
      <c r="A1504" s="8">
        <v>1501</v>
      </c>
      <c r="B1504" s="8" t="str">
        <f>"38492022042117130928941"</f>
        <v>38492022042117130928941</v>
      </c>
      <c r="C1504" s="8" t="s">
        <v>21</v>
      </c>
      <c r="D1504" s="8" t="str">
        <f>"李文烂"</f>
        <v>李文烂</v>
      </c>
      <c r="E1504" s="8" t="str">
        <f aca="true" t="shared" si="185" ref="E1504:E1509">"男"</f>
        <v>男</v>
      </c>
    </row>
    <row r="1505" spans="1:5" ht="30" customHeight="1">
      <c r="A1505" s="8">
        <v>1502</v>
      </c>
      <c r="B1505" s="8" t="str">
        <f>"38492022042117134128948"</f>
        <v>38492022042117134128948</v>
      </c>
      <c r="C1505" s="8" t="s">
        <v>21</v>
      </c>
      <c r="D1505" s="8" t="str">
        <f>"黎亚霞"</f>
        <v>黎亚霞</v>
      </c>
      <c r="E1505" s="8" t="str">
        <f t="shared" si="184"/>
        <v>女</v>
      </c>
    </row>
    <row r="1506" spans="1:5" ht="30" customHeight="1">
      <c r="A1506" s="8">
        <v>1503</v>
      </c>
      <c r="B1506" s="8" t="str">
        <f>"38492022042117134628949"</f>
        <v>38492022042117134628949</v>
      </c>
      <c r="C1506" s="8" t="s">
        <v>21</v>
      </c>
      <c r="D1506" s="8" t="str">
        <f>"曾莉莎"</f>
        <v>曾莉莎</v>
      </c>
      <c r="E1506" s="8" t="str">
        <f t="shared" si="184"/>
        <v>女</v>
      </c>
    </row>
    <row r="1507" spans="1:5" ht="30" customHeight="1">
      <c r="A1507" s="8">
        <v>1504</v>
      </c>
      <c r="B1507" s="8" t="str">
        <f>"38492022042117151228963"</f>
        <v>38492022042117151228963</v>
      </c>
      <c r="C1507" s="8" t="s">
        <v>21</v>
      </c>
      <c r="D1507" s="8" t="str">
        <f>"张孟清"</f>
        <v>张孟清</v>
      </c>
      <c r="E1507" s="8" t="str">
        <f t="shared" si="185"/>
        <v>男</v>
      </c>
    </row>
    <row r="1508" spans="1:5" ht="30" customHeight="1">
      <c r="A1508" s="8">
        <v>1505</v>
      </c>
      <c r="B1508" s="8" t="str">
        <f>"38492022042117151528964"</f>
        <v>38492022042117151528964</v>
      </c>
      <c r="C1508" s="8" t="s">
        <v>21</v>
      </c>
      <c r="D1508" s="8" t="str">
        <f>"谢明丽"</f>
        <v>谢明丽</v>
      </c>
      <c r="E1508" s="8" t="str">
        <f aca="true" t="shared" si="186" ref="E1508:E1513">"女"</f>
        <v>女</v>
      </c>
    </row>
    <row r="1509" spans="1:5" ht="30" customHeight="1">
      <c r="A1509" s="8">
        <v>1506</v>
      </c>
      <c r="B1509" s="8" t="str">
        <f>"38492022042117162728968"</f>
        <v>38492022042117162728968</v>
      </c>
      <c r="C1509" s="8" t="s">
        <v>21</v>
      </c>
      <c r="D1509" s="8" t="str">
        <f>"符杰云"</f>
        <v>符杰云</v>
      </c>
      <c r="E1509" s="8" t="str">
        <f t="shared" si="185"/>
        <v>男</v>
      </c>
    </row>
    <row r="1510" spans="1:5" ht="30" customHeight="1">
      <c r="A1510" s="8">
        <v>1507</v>
      </c>
      <c r="B1510" s="8" t="str">
        <f>"38492022042117230229010"</f>
        <v>38492022042117230229010</v>
      </c>
      <c r="C1510" s="8" t="s">
        <v>21</v>
      </c>
      <c r="D1510" s="8" t="str">
        <f>"王小春"</f>
        <v>王小春</v>
      </c>
      <c r="E1510" s="8" t="str">
        <f t="shared" si="186"/>
        <v>女</v>
      </c>
    </row>
    <row r="1511" spans="1:5" ht="30" customHeight="1">
      <c r="A1511" s="8">
        <v>1508</v>
      </c>
      <c r="B1511" s="8" t="str">
        <f>"38492022042117244629022"</f>
        <v>38492022042117244629022</v>
      </c>
      <c r="C1511" s="8" t="s">
        <v>21</v>
      </c>
      <c r="D1511" s="8" t="str">
        <f>"王雅"</f>
        <v>王雅</v>
      </c>
      <c r="E1511" s="8" t="str">
        <f t="shared" si="186"/>
        <v>女</v>
      </c>
    </row>
    <row r="1512" spans="1:5" ht="30" customHeight="1">
      <c r="A1512" s="8">
        <v>1509</v>
      </c>
      <c r="B1512" s="8" t="str">
        <f>"38492022042117254929029"</f>
        <v>38492022042117254929029</v>
      </c>
      <c r="C1512" s="8" t="s">
        <v>21</v>
      </c>
      <c r="D1512" s="8" t="str">
        <f>"王添悦"</f>
        <v>王添悦</v>
      </c>
      <c r="E1512" s="8" t="str">
        <f t="shared" si="186"/>
        <v>女</v>
      </c>
    </row>
    <row r="1513" spans="1:5" ht="30" customHeight="1">
      <c r="A1513" s="8">
        <v>1510</v>
      </c>
      <c r="B1513" s="8" t="str">
        <f>"38492022042117262729030"</f>
        <v>38492022042117262729030</v>
      </c>
      <c r="C1513" s="8" t="s">
        <v>21</v>
      </c>
      <c r="D1513" s="8" t="str">
        <f>"谢雅竹"</f>
        <v>谢雅竹</v>
      </c>
      <c r="E1513" s="8" t="str">
        <f t="shared" si="186"/>
        <v>女</v>
      </c>
    </row>
    <row r="1514" spans="1:5" ht="30" customHeight="1">
      <c r="A1514" s="8">
        <v>1511</v>
      </c>
      <c r="B1514" s="8" t="str">
        <f>"38492022042117310229045"</f>
        <v>38492022042117310229045</v>
      </c>
      <c r="C1514" s="8" t="s">
        <v>21</v>
      </c>
      <c r="D1514" s="8" t="str">
        <f>"杨昌平"</f>
        <v>杨昌平</v>
      </c>
      <c r="E1514" s="8" t="str">
        <f aca="true" t="shared" si="187" ref="E1514:E1519">"男"</f>
        <v>男</v>
      </c>
    </row>
    <row r="1515" spans="1:5" ht="30" customHeight="1">
      <c r="A1515" s="8">
        <v>1512</v>
      </c>
      <c r="B1515" s="8" t="str">
        <f>"38492022042117320729050"</f>
        <v>38492022042117320729050</v>
      </c>
      <c r="C1515" s="8" t="s">
        <v>21</v>
      </c>
      <c r="D1515" s="8" t="str">
        <f>"林晶晶"</f>
        <v>林晶晶</v>
      </c>
      <c r="E1515" s="8" t="str">
        <f aca="true" t="shared" si="188" ref="E1515:E1517">"女"</f>
        <v>女</v>
      </c>
    </row>
    <row r="1516" spans="1:5" ht="30" customHeight="1">
      <c r="A1516" s="8">
        <v>1513</v>
      </c>
      <c r="B1516" s="8" t="str">
        <f>"38492022042117325429055"</f>
        <v>38492022042117325429055</v>
      </c>
      <c r="C1516" s="8" t="s">
        <v>21</v>
      </c>
      <c r="D1516" s="8" t="str">
        <f>"吴莲彩"</f>
        <v>吴莲彩</v>
      </c>
      <c r="E1516" s="8" t="str">
        <f t="shared" si="188"/>
        <v>女</v>
      </c>
    </row>
    <row r="1517" spans="1:5" ht="30" customHeight="1">
      <c r="A1517" s="8">
        <v>1514</v>
      </c>
      <c r="B1517" s="8" t="str">
        <f>"38492022042117381029090"</f>
        <v>38492022042117381029090</v>
      </c>
      <c r="C1517" s="8" t="s">
        <v>21</v>
      </c>
      <c r="D1517" s="8" t="str">
        <f>"林玲玲"</f>
        <v>林玲玲</v>
      </c>
      <c r="E1517" s="8" t="str">
        <f t="shared" si="188"/>
        <v>女</v>
      </c>
    </row>
    <row r="1518" spans="1:5" ht="30" customHeight="1">
      <c r="A1518" s="8">
        <v>1515</v>
      </c>
      <c r="B1518" s="8" t="str">
        <f>"38492022042117425429112"</f>
        <v>38492022042117425429112</v>
      </c>
      <c r="C1518" s="8" t="s">
        <v>21</v>
      </c>
      <c r="D1518" s="8" t="str">
        <f>"李琼慧"</f>
        <v>李琼慧</v>
      </c>
      <c r="E1518" s="8" t="str">
        <f t="shared" si="187"/>
        <v>男</v>
      </c>
    </row>
    <row r="1519" spans="1:5" ht="30" customHeight="1">
      <c r="A1519" s="8">
        <v>1516</v>
      </c>
      <c r="B1519" s="8" t="str">
        <f>"38492022042117450429121"</f>
        <v>38492022042117450429121</v>
      </c>
      <c r="C1519" s="8" t="s">
        <v>21</v>
      </c>
      <c r="D1519" s="8" t="str">
        <f>"赖钻运"</f>
        <v>赖钻运</v>
      </c>
      <c r="E1519" s="8" t="str">
        <f t="shared" si="187"/>
        <v>男</v>
      </c>
    </row>
    <row r="1520" spans="1:5" ht="30" customHeight="1">
      <c r="A1520" s="8">
        <v>1517</v>
      </c>
      <c r="B1520" s="8" t="str">
        <f>"38492022042117462129127"</f>
        <v>38492022042117462129127</v>
      </c>
      <c r="C1520" s="8" t="s">
        <v>21</v>
      </c>
      <c r="D1520" s="8" t="str">
        <f>"符仙瑾"</f>
        <v>符仙瑾</v>
      </c>
      <c r="E1520" s="8" t="str">
        <f aca="true" t="shared" si="189" ref="E1520:E1523">"女"</f>
        <v>女</v>
      </c>
    </row>
    <row r="1521" spans="1:5" ht="30" customHeight="1">
      <c r="A1521" s="8">
        <v>1518</v>
      </c>
      <c r="B1521" s="8" t="str">
        <f>"38492022042117463229129"</f>
        <v>38492022042117463229129</v>
      </c>
      <c r="C1521" s="8" t="s">
        <v>21</v>
      </c>
      <c r="D1521" s="8" t="str">
        <f>"赵阳彩"</f>
        <v>赵阳彩</v>
      </c>
      <c r="E1521" s="8" t="str">
        <f t="shared" si="189"/>
        <v>女</v>
      </c>
    </row>
    <row r="1522" spans="1:5" ht="30" customHeight="1">
      <c r="A1522" s="8">
        <v>1519</v>
      </c>
      <c r="B1522" s="8" t="str">
        <f>"38492022042117473929138"</f>
        <v>38492022042117473929138</v>
      </c>
      <c r="C1522" s="8" t="s">
        <v>21</v>
      </c>
      <c r="D1522" s="8" t="str">
        <f>"邢增东"</f>
        <v>邢增东</v>
      </c>
      <c r="E1522" s="8" t="str">
        <f>"男"</f>
        <v>男</v>
      </c>
    </row>
    <row r="1523" spans="1:5" ht="30" customHeight="1">
      <c r="A1523" s="8">
        <v>1520</v>
      </c>
      <c r="B1523" s="8" t="str">
        <f>"38492022042117482329141"</f>
        <v>38492022042117482329141</v>
      </c>
      <c r="C1523" s="8" t="s">
        <v>21</v>
      </c>
      <c r="D1523" s="8" t="str">
        <f>"陈佳佳"</f>
        <v>陈佳佳</v>
      </c>
      <c r="E1523" s="8" t="str">
        <f t="shared" si="189"/>
        <v>女</v>
      </c>
    </row>
    <row r="1524" spans="1:5" ht="30" customHeight="1">
      <c r="A1524" s="8">
        <v>1521</v>
      </c>
      <c r="B1524" s="8" t="str">
        <f>"38492022042117534629173"</f>
        <v>38492022042117534629173</v>
      </c>
      <c r="C1524" s="8" t="s">
        <v>21</v>
      </c>
      <c r="D1524" s="8" t="str">
        <f>"吴振威"</f>
        <v>吴振威</v>
      </c>
      <c r="E1524" s="8" t="str">
        <f>"男"</f>
        <v>男</v>
      </c>
    </row>
    <row r="1525" spans="1:5" ht="30" customHeight="1">
      <c r="A1525" s="8">
        <v>1522</v>
      </c>
      <c r="B1525" s="8" t="str">
        <f>"38492022042117571129189"</f>
        <v>38492022042117571129189</v>
      </c>
      <c r="C1525" s="8" t="s">
        <v>21</v>
      </c>
      <c r="D1525" s="8" t="str">
        <f>"王月江"</f>
        <v>王月江</v>
      </c>
      <c r="E1525" s="8" t="str">
        <f aca="true" t="shared" si="190" ref="E1525:E1528">"女"</f>
        <v>女</v>
      </c>
    </row>
    <row r="1526" spans="1:5" ht="30" customHeight="1">
      <c r="A1526" s="8">
        <v>1523</v>
      </c>
      <c r="B1526" s="8" t="str">
        <f>"38492022042117584829196"</f>
        <v>38492022042117584829196</v>
      </c>
      <c r="C1526" s="8" t="s">
        <v>21</v>
      </c>
      <c r="D1526" s="8" t="str">
        <f>"陈靓"</f>
        <v>陈靓</v>
      </c>
      <c r="E1526" s="8" t="str">
        <f t="shared" si="190"/>
        <v>女</v>
      </c>
    </row>
    <row r="1527" spans="1:5" ht="30" customHeight="1">
      <c r="A1527" s="8">
        <v>1524</v>
      </c>
      <c r="B1527" s="8" t="str">
        <f>"38492022042117592429200"</f>
        <v>38492022042117592429200</v>
      </c>
      <c r="C1527" s="8" t="s">
        <v>21</v>
      </c>
      <c r="D1527" s="8" t="str">
        <f>"吴怡"</f>
        <v>吴怡</v>
      </c>
      <c r="E1527" s="8" t="str">
        <f t="shared" si="190"/>
        <v>女</v>
      </c>
    </row>
    <row r="1528" spans="1:5" ht="30" customHeight="1">
      <c r="A1528" s="8">
        <v>1525</v>
      </c>
      <c r="B1528" s="8" t="str">
        <f>"38492022042118004129211"</f>
        <v>38492022042118004129211</v>
      </c>
      <c r="C1528" s="8" t="s">
        <v>21</v>
      </c>
      <c r="D1528" s="8" t="str">
        <f>"段水桃"</f>
        <v>段水桃</v>
      </c>
      <c r="E1528" s="8" t="str">
        <f t="shared" si="190"/>
        <v>女</v>
      </c>
    </row>
    <row r="1529" spans="1:5" ht="30" customHeight="1">
      <c r="A1529" s="8">
        <v>1526</v>
      </c>
      <c r="B1529" s="8" t="str">
        <f>"38492022042118015329218"</f>
        <v>38492022042118015329218</v>
      </c>
      <c r="C1529" s="8" t="s">
        <v>21</v>
      </c>
      <c r="D1529" s="8" t="str">
        <f>"黄志明"</f>
        <v>黄志明</v>
      </c>
      <c r="E1529" s="8" t="str">
        <f>"男"</f>
        <v>男</v>
      </c>
    </row>
    <row r="1530" spans="1:5" ht="30" customHeight="1">
      <c r="A1530" s="8">
        <v>1527</v>
      </c>
      <c r="B1530" s="8" t="str">
        <f>"38492022042118021029220"</f>
        <v>38492022042118021029220</v>
      </c>
      <c r="C1530" s="8" t="s">
        <v>21</v>
      </c>
      <c r="D1530" s="8" t="str">
        <f>"林泽玲"</f>
        <v>林泽玲</v>
      </c>
      <c r="E1530" s="8" t="str">
        <f aca="true" t="shared" si="191" ref="E1530:E1533">"女"</f>
        <v>女</v>
      </c>
    </row>
    <row r="1531" spans="1:5" ht="30" customHeight="1">
      <c r="A1531" s="8">
        <v>1528</v>
      </c>
      <c r="B1531" s="8" t="str">
        <f>"38492022042118053129231"</f>
        <v>38492022042118053129231</v>
      </c>
      <c r="C1531" s="8" t="s">
        <v>21</v>
      </c>
      <c r="D1531" s="8" t="str">
        <f>"卞在燕"</f>
        <v>卞在燕</v>
      </c>
      <c r="E1531" s="8" t="str">
        <f t="shared" si="191"/>
        <v>女</v>
      </c>
    </row>
    <row r="1532" spans="1:5" ht="30" customHeight="1">
      <c r="A1532" s="8">
        <v>1529</v>
      </c>
      <c r="B1532" s="8" t="str">
        <f>"38492022042118101429244"</f>
        <v>38492022042118101429244</v>
      </c>
      <c r="C1532" s="8" t="s">
        <v>21</v>
      </c>
      <c r="D1532" s="8" t="str">
        <f>"吴传曼"</f>
        <v>吴传曼</v>
      </c>
      <c r="E1532" s="8" t="str">
        <f t="shared" si="191"/>
        <v>女</v>
      </c>
    </row>
    <row r="1533" spans="1:5" ht="30" customHeight="1">
      <c r="A1533" s="8">
        <v>1530</v>
      </c>
      <c r="B1533" s="8" t="str">
        <f>"38492022042118141129259"</f>
        <v>38492022042118141129259</v>
      </c>
      <c r="C1533" s="8" t="s">
        <v>21</v>
      </c>
      <c r="D1533" s="8" t="str">
        <f>"陈艳丹"</f>
        <v>陈艳丹</v>
      </c>
      <c r="E1533" s="8" t="str">
        <f t="shared" si="191"/>
        <v>女</v>
      </c>
    </row>
    <row r="1534" spans="1:5" ht="30" customHeight="1">
      <c r="A1534" s="8">
        <v>1531</v>
      </c>
      <c r="B1534" s="8" t="str">
        <f>"38492022042118141629260"</f>
        <v>38492022042118141629260</v>
      </c>
      <c r="C1534" s="8" t="s">
        <v>21</v>
      </c>
      <c r="D1534" s="8" t="str">
        <f>"夏所伟"</f>
        <v>夏所伟</v>
      </c>
      <c r="E1534" s="8" t="str">
        <f aca="true" t="shared" si="192" ref="E1534:E1538">"男"</f>
        <v>男</v>
      </c>
    </row>
    <row r="1535" spans="1:5" ht="30" customHeight="1">
      <c r="A1535" s="8">
        <v>1532</v>
      </c>
      <c r="B1535" s="8" t="str">
        <f>"38492022042118142029261"</f>
        <v>38492022042118142029261</v>
      </c>
      <c r="C1535" s="8" t="s">
        <v>21</v>
      </c>
      <c r="D1535" s="8" t="str">
        <f>"刘家声"</f>
        <v>刘家声</v>
      </c>
      <c r="E1535" s="8" t="str">
        <f t="shared" si="192"/>
        <v>男</v>
      </c>
    </row>
    <row r="1536" spans="1:5" ht="30" customHeight="1">
      <c r="A1536" s="8">
        <v>1533</v>
      </c>
      <c r="B1536" s="8" t="str">
        <f>"38492022042118153029266"</f>
        <v>38492022042118153029266</v>
      </c>
      <c r="C1536" s="8" t="s">
        <v>21</v>
      </c>
      <c r="D1536" s="8" t="str">
        <f>"卢雄烹"</f>
        <v>卢雄烹</v>
      </c>
      <c r="E1536" s="8" t="str">
        <f>"女"</f>
        <v>女</v>
      </c>
    </row>
    <row r="1537" spans="1:5" ht="30" customHeight="1">
      <c r="A1537" s="8">
        <v>1534</v>
      </c>
      <c r="B1537" s="8" t="str">
        <f>"38492022042118161629271"</f>
        <v>38492022042118161629271</v>
      </c>
      <c r="C1537" s="8" t="s">
        <v>21</v>
      </c>
      <c r="D1537" s="8" t="str">
        <f>"高飞"</f>
        <v>高飞</v>
      </c>
      <c r="E1537" s="8" t="str">
        <f t="shared" si="192"/>
        <v>男</v>
      </c>
    </row>
    <row r="1538" spans="1:5" ht="30" customHeight="1">
      <c r="A1538" s="8">
        <v>1535</v>
      </c>
      <c r="B1538" s="8" t="str">
        <f>"38492022042118171129274"</f>
        <v>38492022042118171129274</v>
      </c>
      <c r="C1538" s="8" t="s">
        <v>21</v>
      </c>
      <c r="D1538" s="8" t="str">
        <f>"黎遇敏"</f>
        <v>黎遇敏</v>
      </c>
      <c r="E1538" s="8" t="str">
        <f t="shared" si="192"/>
        <v>男</v>
      </c>
    </row>
    <row r="1539" spans="1:5" ht="30" customHeight="1">
      <c r="A1539" s="8">
        <v>1536</v>
      </c>
      <c r="B1539" s="8" t="str">
        <f>"38492022042118213429289"</f>
        <v>38492022042118213429289</v>
      </c>
      <c r="C1539" s="8" t="s">
        <v>21</v>
      </c>
      <c r="D1539" s="8" t="str">
        <f>"黄欢怡"</f>
        <v>黄欢怡</v>
      </c>
      <c r="E1539" s="8" t="str">
        <f>"女"</f>
        <v>女</v>
      </c>
    </row>
    <row r="1540" spans="1:5" ht="30" customHeight="1">
      <c r="A1540" s="8">
        <v>1537</v>
      </c>
      <c r="B1540" s="8" t="str">
        <f>"38492022042118271529310"</f>
        <v>38492022042118271529310</v>
      </c>
      <c r="C1540" s="8" t="s">
        <v>21</v>
      </c>
      <c r="D1540" s="8" t="str">
        <f>"羊栋才"</f>
        <v>羊栋才</v>
      </c>
      <c r="E1540" s="8" t="str">
        <f aca="true" t="shared" si="193" ref="E1540:E1543">"男"</f>
        <v>男</v>
      </c>
    </row>
    <row r="1541" spans="1:5" ht="30" customHeight="1">
      <c r="A1541" s="8">
        <v>1538</v>
      </c>
      <c r="B1541" s="8" t="str">
        <f>"38492022042118284229316"</f>
        <v>38492022042118284229316</v>
      </c>
      <c r="C1541" s="8" t="s">
        <v>21</v>
      </c>
      <c r="D1541" s="8" t="str">
        <f>"洪盛辉"</f>
        <v>洪盛辉</v>
      </c>
      <c r="E1541" s="8" t="str">
        <f t="shared" si="193"/>
        <v>男</v>
      </c>
    </row>
    <row r="1542" spans="1:5" ht="30" customHeight="1">
      <c r="A1542" s="8">
        <v>1539</v>
      </c>
      <c r="B1542" s="8" t="str">
        <f>"38492022042118311729326"</f>
        <v>38492022042118311729326</v>
      </c>
      <c r="C1542" s="8" t="s">
        <v>21</v>
      </c>
      <c r="D1542" s="8" t="str">
        <f>"吴清波"</f>
        <v>吴清波</v>
      </c>
      <c r="E1542" s="8" t="str">
        <f t="shared" si="193"/>
        <v>男</v>
      </c>
    </row>
    <row r="1543" spans="1:5" ht="30" customHeight="1">
      <c r="A1543" s="8">
        <v>1540</v>
      </c>
      <c r="B1543" s="8" t="str">
        <f>"38492022042118355229345"</f>
        <v>38492022042118355229345</v>
      </c>
      <c r="C1543" s="8" t="s">
        <v>21</v>
      </c>
      <c r="D1543" s="8" t="str">
        <f>"陈浩"</f>
        <v>陈浩</v>
      </c>
      <c r="E1543" s="8" t="str">
        <f t="shared" si="193"/>
        <v>男</v>
      </c>
    </row>
    <row r="1544" spans="1:5" ht="30" customHeight="1">
      <c r="A1544" s="8">
        <v>1541</v>
      </c>
      <c r="B1544" s="8" t="str">
        <f>"38492022042118371329350"</f>
        <v>38492022042118371329350</v>
      </c>
      <c r="C1544" s="8" t="s">
        <v>21</v>
      </c>
      <c r="D1544" s="8" t="str">
        <f>"蔡丽婷"</f>
        <v>蔡丽婷</v>
      </c>
      <c r="E1544" s="8" t="str">
        <f aca="true" t="shared" si="194" ref="E1544:E1551">"女"</f>
        <v>女</v>
      </c>
    </row>
    <row r="1545" spans="1:5" ht="30" customHeight="1">
      <c r="A1545" s="8">
        <v>1542</v>
      </c>
      <c r="B1545" s="8" t="str">
        <f>"38492022042118411629369"</f>
        <v>38492022042118411629369</v>
      </c>
      <c r="C1545" s="8" t="s">
        <v>21</v>
      </c>
      <c r="D1545" s="8" t="str">
        <f>"王国安"</f>
        <v>王国安</v>
      </c>
      <c r="E1545" s="8" t="str">
        <f>"男"</f>
        <v>男</v>
      </c>
    </row>
    <row r="1546" spans="1:5" ht="30" customHeight="1">
      <c r="A1546" s="8">
        <v>1543</v>
      </c>
      <c r="B1546" s="8" t="str">
        <f>"38492022042118440929380"</f>
        <v>38492022042118440929380</v>
      </c>
      <c r="C1546" s="8" t="s">
        <v>21</v>
      </c>
      <c r="D1546" s="8" t="str">
        <f>"陈尧冰"</f>
        <v>陈尧冰</v>
      </c>
      <c r="E1546" s="8" t="str">
        <f t="shared" si="194"/>
        <v>女</v>
      </c>
    </row>
    <row r="1547" spans="1:5" ht="30" customHeight="1">
      <c r="A1547" s="8">
        <v>1544</v>
      </c>
      <c r="B1547" s="8" t="str">
        <f>"38492022042118451629384"</f>
        <v>38492022042118451629384</v>
      </c>
      <c r="C1547" s="8" t="s">
        <v>21</v>
      </c>
      <c r="D1547" s="8" t="str">
        <f>"唐总部"</f>
        <v>唐总部</v>
      </c>
      <c r="E1547" s="8" t="str">
        <f>"男"</f>
        <v>男</v>
      </c>
    </row>
    <row r="1548" spans="1:5" ht="30" customHeight="1">
      <c r="A1548" s="8">
        <v>1545</v>
      </c>
      <c r="B1548" s="8" t="str">
        <f>"38492022042118455029388"</f>
        <v>38492022042118455029388</v>
      </c>
      <c r="C1548" s="8" t="s">
        <v>21</v>
      </c>
      <c r="D1548" s="8" t="str">
        <f>"彭夏芳"</f>
        <v>彭夏芳</v>
      </c>
      <c r="E1548" s="8" t="str">
        <f t="shared" si="194"/>
        <v>女</v>
      </c>
    </row>
    <row r="1549" spans="1:5" ht="30" customHeight="1">
      <c r="A1549" s="8">
        <v>1546</v>
      </c>
      <c r="B1549" s="8" t="str">
        <f>"38492022042118485629398"</f>
        <v>38492022042118485629398</v>
      </c>
      <c r="C1549" s="8" t="s">
        <v>21</v>
      </c>
      <c r="D1549" s="8" t="str">
        <f>"陈海丽"</f>
        <v>陈海丽</v>
      </c>
      <c r="E1549" s="8" t="str">
        <f t="shared" si="194"/>
        <v>女</v>
      </c>
    </row>
    <row r="1550" spans="1:5" ht="30" customHeight="1">
      <c r="A1550" s="8">
        <v>1547</v>
      </c>
      <c r="B1550" s="8" t="str">
        <f>"38492022042118534629418"</f>
        <v>38492022042118534629418</v>
      </c>
      <c r="C1550" s="8" t="s">
        <v>21</v>
      </c>
      <c r="D1550" s="8" t="str">
        <f>"符昌梅"</f>
        <v>符昌梅</v>
      </c>
      <c r="E1550" s="8" t="str">
        <f t="shared" si="194"/>
        <v>女</v>
      </c>
    </row>
    <row r="1551" spans="1:5" ht="30" customHeight="1">
      <c r="A1551" s="8">
        <v>1548</v>
      </c>
      <c r="B1551" s="8" t="str">
        <f>"38492022042118545529422"</f>
        <v>38492022042118545529422</v>
      </c>
      <c r="C1551" s="8" t="s">
        <v>21</v>
      </c>
      <c r="D1551" s="8" t="str">
        <f>"李明丹"</f>
        <v>李明丹</v>
      </c>
      <c r="E1551" s="8" t="str">
        <f t="shared" si="194"/>
        <v>女</v>
      </c>
    </row>
    <row r="1552" spans="1:5" ht="30" customHeight="1">
      <c r="A1552" s="8">
        <v>1549</v>
      </c>
      <c r="B1552" s="8" t="str">
        <f>"38492022042118555129428"</f>
        <v>38492022042118555129428</v>
      </c>
      <c r="C1552" s="8" t="s">
        <v>21</v>
      </c>
      <c r="D1552" s="8" t="str">
        <f>"陈德"</f>
        <v>陈德</v>
      </c>
      <c r="E1552" s="8" t="str">
        <f>"男"</f>
        <v>男</v>
      </c>
    </row>
    <row r="1553" spans="1:5" ht="30" customHeight="1">
      <c r="A1553" s="8">
        <v>1550</v>
      </c>
      <c r="B1553" s="8" t="str">
        <f>"38492022042119005329454"</f>
        <v>38492022042119005329454</v>
      </c>
      <c r="C1553" s="8" t="s">
        <v>21</v>
      </c>
      <c r="D1553" s="8" t="str">
        <f>"李依诺"</f>
        <v>李依诺</v>
      </c>
      <c r="E1553" s="8" t="str">
        <f aca="true" t="shared" si="195" ref="E1553:E1555">"女"</f>
        <v>女</v>
      </c>
    </row>
    <row r="1554" spans="1:5" ht="30" customHeight="1">
      <c r="A1554" s="8">
        <v>1551</v>
      </c>
      <c r="B1554" s="8" t="str">
        <f>"38492022042119020029459"</f>
        <v>38492022042119020029459</v>
      </c>
      <c r="C1554" s="8" t="s">
        <v>21</v>
      </c>
      <c r="D1554" s="8" t="str">
        <f>"吕秀娥"</f>
        <v>吕秀娥</v>
      </c>
      <c r="E1554" s="8" t="str">
        <f t="shared" si="195"/>
        <v>女</v>
      </c>
    </row>
    <row r="1555" spans="1:5" ht="30" customHeight="1">
      <c r="A1555" s="8">
        <v>1552</v>
      </c>
      <c r="B1555" s="8" t="str">
        <f>"38492022042119085129488"</f>
        <v>38492022042119085129488</v>
      </c>
      <c r="C1555" s="8" t="s">
        <v>21</v>
      </c>
      <c r="D1555" s="8" t="str">
        <f>"刘少茹"</f>
        <v>刘少茹</v>
      </c>
      <c r="E1555" s="8" t="str">
        <f t="shared" si="195"/>
        <v>女</v>
      </c>
    </row>
    <row r="1556" spans="1:5" ht="30" customHeight="1">
      <c r="A1556" s="8">
        <v>1553</v>
      </c>
      <c r="B1556" s="8" t="str">
        <f>"38492022042119093729490"</f>
        <v>38492022042119093729490</v>
      </c>
      <c r="C1556" s="8" t="s">
        <v>21</v>
      </c>
      <c r="D1556" s="8" t="str">
        <f>"王巧升"</f>
        <v>王巧升</v>
      </c>
      <c r="E1556" s="8" t="str">
        <f>"男"</f>
        <v>男</v>
      </c>
    </row>
    <row r="1557" spans="1:5" ht="30" customHeight="1">
      <c r="A1557" s="8">
        <v>1554</v>
      </c>
      <c r="B1557" s="8" t="str">
        <f>"38492022042119114929495"</f>
        <v>38492022042119114929495</v>
      </c>
      <c r="C1557" s="8" t="s">
        <v>21</v>
      </c>
      <c r="D1557" s="8" t="str">
        <f>"李家艳"</f>
        <v>李家艳</v>
      </c>
      <c r="E1557" s="8" t="str">
        <f aca="true" t="shared" si="196" ref="E1557:E1561">"女"</f>
        <v>女</v>
      </c>
    </row>
    <row r="1558" spans="1:5" ht="30" customHeight="1">
      <c r="A1558" s="8">
        <v>1555</v>
      </c>
      <c r="B1558" s="8" t="str">
        <f>"38492022042119122529499"</f>
        <v>38492022042119122529499</v>
      </c>
      <c r="C1558" s="8" t="s">
        <v>21</v>
      </c>
      <c r="D1558" s="8" t="str">
        <f>"林金丽"</f>
        <v>林金丽</v>
      </c>
      <c r="E1558" s="8" t="str">
        <f t="shared" si="196"/>
        <v>女</v>
      </c>
    </row>
    <row r="1559" spans="1:5" ht="30" customHeight="1">
      <c r="A1559" s="8">
        <v>1556</v>
      </c>
      <c r="B1559" s="8" t="str">
        <f>"38492022042119172929526"</f>
        <v>38492022042119172929526</v>
      </c>
      <c r="C1559" s="8" t="s">
        <v>21</v>
      </c>
      <c r="D1559" s="8" t="str">
        <f>"王丽燕"</f>
        <v>王丽燕</v>
      </c>
      <c r="E1559" s="8" t="str">
        <f t="shared" si="196"/>
        <v>女</v>
      </c>
    </row>
    <row r="1560" spans="1:5" ht="30" customHeight="1">
      <c r="A1560" s="8">
        <v>1557</v>
      </c>
      <c r="B1560" s="8" t="str">
        <f>"38492022042119182429530"</f>
        <v>38492022042119182429530</v>
      </c>
      <c r="C1560" s="8" t="s">
        <v>21</v>
      </c>
      <c r="D1560" s="8" t="str">
        <f>"卢良萍"</f>
        <v>卢良萍</v>
      </c>
      <c r="E1560" s="8" t="str">
        <f t="shared" si="196"/>
        <v>女</v>
      </c>
    </row>
    <row r="1561" spans="1:5" ht="30" customHeight="1">
      <c r="A1561" s="8">
        <v>1558</v>
      </c>
      <c r="B1561" s="8" t="str">
        <f>"38492022042119201629540"</f>
        <v>38492022042119201629540</v>
      </c>
      <c r="C1561" s="8" t="s">
        <v>21</v>
      </c>
      <c r="D1561" s="8" t="str">
        <f>"郭妹香"</f>
        <v>郭妹香</v>
      </c>
      <c r="E1561" s="8" t="str">
        <f t="shared" si="196"/>
        <v>女</v>
      </c>
    </row>
    <row r="1562" spans="1:5" ht="30" customHeight="1">
      <c r="A1562" s="8">
        <v>1559</v>
      </c>
      <c r="B1562" s="8" t="str">
        <f>"38492022042119252229564"</f>
        <v>38492022042119252229564</v>
      </c>
      <c r="C1562" s="8" t="s">
        <v>21</v>
      </c>
      <c r="D1562" s="8" t="str">
        <f>"陈文位"</f>
        <v>陈文位</v>
      </c>
      <c r="E1562" s="8" t="str">
        <f aca="true" t="shared" si="197" ref="E1562:E1568">"男"</f>
        <v>男</v>
      </c>
    </row>
    <row r="1563" spans="1:5" ht="30" customHeight="1">
      <c r="A1563" s="8">
        <v>1560</v>
      </c>
      <c r="B1563" s="8" t="str">
        <f>"38492022042119312929593"</f>
        <v>38492022042119312929593</v>
      </c>
      <c r="C1563" s="8" t="s">
        <v>21</v>
      </c>
      <c r="D1563" s="8" t="str">
        <f>"曾婕"</f>
        <v>曾婕</v>
      </c>
      <c r="E1563" s="8" t="str">
        <f aca="true" t="shared" si="198" ref="E1563:E1566">"女"</f>
        <v>女</v>
      </c>
    </row>
    <row r="1564" spans="1:5" ht="30" customHeight="1">
      <c r="A1564" s="8">
        <v>1561</v>
      </c>
      <c r="B1564" s="8" t="str">
        <f>"38492022042119365329623"</f>
        <v>38492022042119365329623</v>
      </c>
      <c r="C1564" s="8" t="s">
        <v>21</v>
      </c>
      <c r="D1564" s="8" t="str">
        <f>"文水清"</f>
        <v>文水清</v>
      </c>
      <c r="E1564" s="8" t="str">
        <f t="shared" si="197"/>
        <v>男</v>
      </c>
    </row>
    <row r="1565" spans="1:5" ht="30" customHeight="1">
      <c r="A1565" s="8">
        <v>1562</v>
      </c>
      <c r="B1565" s="8" t="str">
        <f>"38492022042119390029630"</f>
        <v>38492022042119390029630</v>
      </c>
      <c r="C1565" s="8" t="s">
        <v>21</v>
      </c>
      <c r="D1565" s="8" t="str">
        <f>"吴娟"</f>
        <v>吴娟</v>
      </c>
      <c r="E1565" s="8" t="str">
        <f t="shared" si="198"/>
        <v>女</v>
      </c>
    </row>
    <row r="1566" spans="1:5" ht="30" customHeight="1">
      <c r="A1566" s="8">
        <v>1563</v>
      </c>
      <c r="B1566" s="8" t="str">
        <f>"38492022042119403629640"</f>
        <v>38492022042119403629640</v>
      </c>
      <c r="C1566" s="8" t="s">
        <v>21</v>
      </c>
      <c r="D1566" s="8" t="str">
        <f>"曾福丽"</f>
        <v>曾福丽</v>
      </c>
      <c r="E1566" s="8" t="str">
        <f t="shared" si="198"/>
        <v>女</v>
      </c>
    </row>
    <row r="1567" spans="1:5" ht="30" customHeight="1">
      <c r="A1567" s="8">
        <v>1564</v>
      </c>
      <c r="B1567" s="8" t="str">
        <f>"38492022042119413929642"</f>
        <v>38492022042119413929642</v>
      </c>
      <c r="C1567" s="8" t="s">
        <v>21</v>
      </c>
      <c r="D1567" s="8" t="str">
        <f>"林明杰"</f>
        <v>林明杰</v>
      </c>
      <c r="E1567" s="8" t="str">
        <f t="shared" si="197"/>
        <v>男</v>
      </c>
    </row>
    <row r="1568" spans="1:5" ht="30" customHeight="1">
      <c r="A1568" s="8">
        <v>1565</v>
      </c>
      <c r="B1568" s="8" t="str">
        <f>"38492022042119424929646"</f>
        <v>38492022042119424929646</v>
      </c>
      <c r="C1568" s="8" t="s">
        <v>21</v>
      </c>
      <c r="D1568" s="8" t="str">
        <f>"王贻益"</f>
        <v>王贻益</v>
      </c>
      <c r="E1568" s="8" t="str">
        <f t="shared" si="197"/>
        <v>男</v>
      </c>
    </row>
    <row r="1569" spans="1:5" ht="30" customHeight="1">
      <c r="A1569" s="8">
        <v>1566</v>
      </c>
      <c r="B1569" s="8" t="str">
        <f>"38492022042119434229649"</f>
        <v>38492022042119434229649</v>
      </c>
      <c r="C1569" s="8" t="s">
        <v>21</v>
      </c>
      <c r="D1569" s="8" t="str">
        <f>"羊秋燕"</f>
        <v>羊秋燕</v>
      </c>
      <c r="E1569" s="8" t="str">
        <f aca="true" t="shared" si="199" ref="E1569:E1573">"女"</f>
        <v>女</v>
      </c>
    </row>
    <row r="1570" spans="1:5" ht="30" customHeight="1">
      <c r="A1570" s="8">
        <v>1567</v>
      </c>
      <c r="B1570" s="8" t="str">
        <f>"38492022042119453829659"</f>
        <v>38492022042119453829659</v>
      </c>
      <c r="C1570" s="8" t="s">
        <v>21</v>
      </c>
      <c r="D1570" s="8" t="str">
        <f>"苏映瞳"</f>
        <v>苏映瞳</v>
      </c>
      <c r="E1570" s="8" t="str">
        <f t="shared" si="199"/>
        <v>女</v>
      </c>
    </row>
    <row r="1571" spans="1:5" ht="30" customHeight="1">
      <c r="A1571" s="8">
        <v>1568</v>
      </c>
      <c r="B1571" s="8" t="str">
        <f>"38492022042119562229697"</f>
        <v>38492022042119562229697</v>
      </c>
      <c r="C1571" s="8" t="s">
        <v>21</v>
      </c>
      <c r="D1571" s="8" t="str">
        <f>"劳晓杰"</f>
        <v>劳晓杰</v>
      </c>
      <c r="E1571" s="8" t="str">
        <f t="shared" si="199"/>
        <v>女</v>
      </c>
    </row>
    <row r="1572" spans="1:5" ht="30" customHeight="1">
      <c r="A1572" s="8">
        <v>1569</v>
      </c>
      <c r="B1572" s="8" t="str">
        <f>"38492022042119581829704"</f>
        <v>38492022042119581829704</v>
      </c>
      <c r="C1572" s="8" t="s">
        <v>21</v>
      </c>
      <c r="D1572" s="8" t="str">
        <f>"吉思静"</f>
        <v>吉思静</v>
      </c>
      <c r="E1572" s="8" t="str">
        <f t="shared" si="199"/>
        <v>女</v>
      </c>
    </row>
    <row r="1573" spans="1:5" ht="30" customHeight="1">
      <c r="A1573" s="8">
        <v>1570</v>
      </c>
      <c r="B1573" s="8" t="str">
        <f>"38492022042119591529707"</f>
        <v>38492022042119591529707</v>
      </c>
      <c r="C1573" s="8" t="s">
        <v>21</v>
      </c>
      <c r="D1573" s="8" t="str">
        <f>"郭嫒姣"</f>
        <v>郭嫒姣</v>
      </c>
      <c r="E1573" s="8" t="str">
        <f t="shared" si="199"/>
        <v>女</v>
      </c>
    </row>
    <row r="1574" spans="1:5" ht="30" customHeight="1">
      <c r="A1574" s="8">
        <v>1571</v>
      </c>
      <c r="B1574" s="8" t="str">
        <f>"38492022042120010129713"</f>
        <v>38492022042120010129713</v>
      </c>
      <c r="C1574" s="8" t="s">
        <v>21</v>
      </c>
      <c r="D1574" s="8" t="str">
        <f>"陈日新"</f>
        <v>陈日新</v>
      </c>
      <c r="E1574" s="8" t="str">
        <f aca="true" t="shared" si="200" ref="E1574:E1581">"男"</f>
        <v>男</v>
      </c>
    </row>
    <row r="1575" spans="1:5" ht="30" customHeight="1">
      <c r="A1575" s="8">
        <v>1572</v>
      </c>
      <c r="B1575" s="8" t="str">
        <f>"38492022042120013029716"</f>
        <v>38492022042120013029716</v>
      </c>
      <c r="C1575" s="8" t="s">
        <v>21</v>
      </c>
      <c r="D1575" s="8" t="str">
        <f>"卓书鸿"</f>
        <v>卓书鸿</v>
      </c>
      <c r="E1575" s="8" t="str">
        <f aca="true" t="shared" si="201" ref="E1575:E1578">"女"</f>
        <v>女</v>
      </c>
    </row>
    <row r="1576" spans="1:5" ht="30" customHeight="1">
      <c r="A1576" s="8">
        <v>1573</v>
      </c>
      <c r="B1576" s="8" t="str">
        <f>"38492022042120013529717"</f>
        <v>38492022042120013529717</v>
      </c>
      <c r="C1576" s="8" t="s">
        <v>21</v>
      </c>
      <c r="D1576" s="8" t="str">
        <f>"陈少丹"</f>
        <v>陈少丹</v>
      </c>
      <c r="E1576" s="8" t="str">
        <f t="shared" si="201"/>
        <v>女</v>
      </c>
    </row>
    <row r="1577" spans="1:5" ht="30" customHeight="1">
      <c r="A1577" s="8">
        <v>1574</v>
      </c>
      <c r="B1577" s="8" t="str">
        <f>"38492022042120051329739"</f>
        <v>38492022042120051329739</v>
      </c>
      <c r="C1577" s="8" t="s">
        <v>21</v>
      </c>
      <c r="D1577" s="8" t="str">
        <f>"符海尔"</f>
        <v>符海尔</v>
      </c>
      <c r="E1577" s="8" t="str">
        <f t="shared" si="200"/>
        <v>男</v>
      </c>
    </row>
    <row r="1578" spans="1:5" ht="30" customHeight="1">
      <c r="A1578" s="8">
        <v>1575</v>
      </c>
      <c r="B1578" s="8" t="str">
        <f>"38492022042120094429761"</f>
        <v>38492022042120094429761</v>
      </c>
      <c r="C1578" s="8" t="s">
        <v>21</v>
      </c>
      <c r="D1578" s="8" t="str">
        <f>"陈金玲"</f>
        <v>陈金玲</v>
      </c>
      <c r="E1578" s="8" t="str">
        <f t="shared" si="201"/>
        <v>女</v>
      </c>
    </row>
    <row r="1579" spans="1:5" ht="30" customHeight="1">
      <c r="A1579" s="8">
        <v>1576</v>
      </c>
      <c r="B1579" s="8" t="str">
        <f>"38492022042120103429764"</f>
        <v>38492022042120103429764</v>
      </c>
      <c r="C1579" s="8" t="s">
        <v>21</v>
      </c>
      <c r="D1579" s="8" t="str">
        <f>"王开道"</f>
        <v>王开道</v>
      </c>
      <c r="E1579" s="8" t="str">
        <f t="shared" si="200"/>
        <v>男</v>
      </c>
    </row>
    <row r="1580" spans="1:5" ht="30" customHeight="1">
      <c r="A1580" s="8">
        <v>1577</v>
      </c>
      <c r="B1580" s="8" t="str">
        <f>"38492022042120173429797"</f>
        <v>38492022042120173429797</v>
      </c>
      <c r="C1580" s="8" t="s">
        <v>21</v>
      </c>
      <c r="D1580" s="8" t="str">
        <f>"李志明"</f>
        <v>李志明</v>
      </c>
      <c r="E1580" s="8" t="str">
        <f t="shared" si="200"/>
        <v>男</v>
      </c>
    </row>
    <row r="1581" spans="1:5" ht="30" customHeight="1">
      <c r="A1581" s="8">
        <v>1578</v>
      </c>
      <c r="B1581" s="8" t="str">
        <f>"38492022042120174629799"</f>
        <v>38492022042120174629799</v>
      </c>
      <c r="C1581" s="8" t="s">
        <v>21</v>
      </c>
      <c r="D1581" s="8" t="str">
        <f>"蔡桂茂"</f>
        <v>蔡桂茂</v>
      </c>
      <c r="E1581" s="8" t="str">
        <f t="shared" si="200"/>
        <v>男</v>
      </c>
    </row>
    <row r="1582" spans="1:5" ht="30" customHeight="1">
      <c r="A1582" s="8">
        <v>1579</v>
      </c>
      <c r="B1582" s="8" t="str">
        <f>"38492022042120293929864"</f>
        <v>38492022042120293929864</v>
      </c>
      <c r="C1582" s="8" t="s">
        <v>21</v>
      </c>
      <c r="D1582" s="8" t="str">
        <f>"钱丽波"</f>
        <v>钱丽波</v>
      </c>
      <c r="E1582" s="8" t="str">
        <f aca="true" t="shared" si="202" ref="E1582:E1587">"女"</f>
        <v>女</v>
      </c>
    </row>
    <row r="1583" spans="1:5" ht="30" customHeight="1">
      <c r="A1583" s="8">
        <v>1580</v>
      </c>
      <c r="B1583" s="8" t="str">
        <f>"38492022042120300729867"</f>
        <v>38492022042120300729867</v>
      </c>
      <c r="C1583" s="8" t="s">
        <v>21</v>
      </c>
      <c r="D1583" s="8" t="str">
        <f>"吴壮姣"</f>
        <v>吴壮姣</v>
      </c>
      <c r="E1583" s="8" t="str">
        <f t="shared" si="202"/>
        <v>女</v>
      </c>
    </row>
    <row r="1584" spans="1:5" ht="30" customHeight="1">
      <c r="A1584" s="8">
        <v>1581</v>
      </c>
      <c r="B1584" s="8" t="str">
        <f>"38492022042120301529869"</f>
        <v>38492022042120301529869</v>
      </c>
      <c r="C1584" s="8" t="s">
        <v>21</v>
      </c>
      <c r="D1584" s="8" t="str">
        <f>"吴祥瑞"</f>
        <v>吴祥瑞</v>
      </c>
      <c r="E1584" s="8" t="str">
        <f>"男"</f>
        <v>男</v>
      </c>
    </row>
    <row r="1585" spans="1:5" ht="30" customHeight="1">
      <c r="A1585" s="8">
        <v>1582</v>
      </c>
      <c r="B1585" s="8" t="str">
        <f>"38492022042120310729874"</f>
        <v>38492022042120310729874</v>
      </c>
      <c r="C1585" s="8" t="s">
        <v>21</v>
      </c>
      <c r="D1585" s="8" t="str">
        <f>"刘琦"</f>
        <v>刘琦</v>
      </c>
      <c r="E1585" s="8" t="str">
        <f t="shared" si="202"/>
        <v>女</v>
      </c>
    </row>
    <row r="1586" spans="1:5" ht="30" customHeight="1">
      <c r="A1586" s="8">
        <v>1583</v>
      </c>
      <c r="B1586" s="8" t="str">
        <f>"38492022042120331429886"</f>
        <v>38492022042120331429886</v>
      </c>
      <c r="C1586" s="8" t="s">
        <v>21</v>
      </c>
      <c r="D1586" s="8" t="str">
        <f>"陈赛萍"</f>
        <v>陈赛萍</v>
      </c>
      <c r="E1586" s="8" t="str">
        <f t="shared" si="202"/>
        <v>女</v>
      </c>
    </row>
    <row r="1587" spans="1:5" ht="30" customHeight="1">
      <c r="A1587" s="8">
        <v>1584</v>
      </c>
      <c r="B1587" s="8" t="str">
        <f>"38492022042120402229930"</f>
        <v>38492022042120402229930</v>
      </c>
      <c r="C1587" s="8" t="s">
        <v>21</v>
      </c>
      <c r="D1587" s="8" t="str">
        <f>"李佳慧"</f>
        <v>李佳慧</v>
      </c>
      <c r="E1587" s="8" t="str">
        <f t="shared" si="202"/>
        <v>女</v>
      </c>
    </row>
    <row r="1588" spans="1:5" ht="30" customHeight="1">
      <c r="A1588" s="8">
        <v>1585</v>
      </c>
      <c r="B1588" s="8" t="str">
        <f>"38492022042120404729933"</f>
        <v>38492022042120404729933</v>
      </c>
      <c r="C1588" s="8" t="s">
        <v>21</v>
      </c>
      <c r="D1588" s="8" t="str">
        <f>"王赞帅"</f>
        <v>王赞帅</v>
      </c>
      <c r="E1588" s="8" t="str">
        <f aca="true" t="shared" si="203" ref="E1588:E1594">"男"</f>
        <v>男</v>
      </c>
    </row>
    <row r="1589" spans="1:5" ht="30" customHeight="1">
      <c r="A1589" s="8">
        <v>1586</v>
      </c>
      <c r="B1589" s="8" t="str">
        <f>"38492022042120413029936"</f>
        <v>38492022042120413029936</v>
      </c>
      <c r="C1589" s="8" t="s">
        <v>21</v>
      </c>
      <c r="D1589" s="8" t="str">
        <f>"符灵巧"</f>
        <v>符灵巧</v>
      </c>
      <c r="E1589" s="8" t="str">
        <f aca="true" t="shared" si="204" ref="E1589:E1592">"女"</f>
        <v>女</v>
      </c>
    </row>
    <row r="1590" spans="1:5" ht="30" customHeight="1">
      <c r="A1590" s="8">
        <v>1587</v>
      </c>
      <c r="B1590" s="8" t="str">
        <f>"38492022042120445929958"</f>
        <v>38492022042120445929958</v>
      </c>
      <c r="C1590" s="8" t="s">
        <v>21</v>
      </c>
      <c r="D1590" s="8" t="str">
        <f>"周宗海"</f>
        <v>周宗海</v>
      </c>
      <c r="E1590" s="8" t="str">
        <f t="shared" si="203"/>
        <v>男</v>
      </c>
    </row>
    <row r="1591" spans="1:5" ht="30" customHeight="1">
      <c r="A1591" s="8">
        <v>1588</v>
      </c>
      <c r="B1591" s="8" t="str">
        <f>"38492022042120540330002"</f>
        <v>38492022042120540330002</v>
      </c>
      <c r="C1591" s="8" t="s">
        <v>21</v>
      </c>
      <c r="D1591" s="8" t="str">
        <f>"王惠"</f>
        <v>王惠</v>
      </c>
      <c r="E1591" s="8" t="str">
        <f t="shared" si="204"/>
        <v>女</v>
      </c>
    </row>
    <row r="1592" spans="1:5" ht="30" customHeight="1">
      <c r="A1592" s="8">
        <v>1589</v>
      </c>
      <c r="B1592" s="8" t="str">
        <f>"38492022042120573730017"</f>
        <v>38492022042120573730017</v>
      </c>
      <c r="C1592" s="8" t="s">
        <v>21</v>
      </c>
      <c r="D1592" s="8" t="str">
        <f>"黄艳"</f>
        <v>黄艳</v>
      </c>
      <c r="E1592" s="8" t="str">
        <f t="shared" si="204"/>
        <v>女</v>
      </c>
    </row>
    <row r="1593" spans="1:5" ht="30" customHeight="1">
      <c r="A1593" s="8">
        <v>1590</v>
      </c>
      <c r="B1593" s="8" t="str">
        <f>"38492022042121025930053"</f>
        <v>38492022042121025930053</v>
      </c>
      <c r="C1593" s="8" t="s">
        <v>21</v>
      </c>
      <c r="D1593" s="8" t="str">
        <f>"钟孝敬"</f>
        <v>钟孝敬</v>
      </c>
      <c r="E1593" s="8" t="str">
        <f t="shared" si="203"/>
        <v>男</v>
      </c>
    </row>
    <row r="1594" spans="1:5" ht="30" customHeight="1">
      <c r="A1594" s="8">
        <v>1591</v>
      </c>
      <c r="B1594" s="8" t="str">
        <f>"38492022042121055230068"</f>
        <v>38492022042121055230068</v>
      </c>
      <c r="C1594" s="8" t="s">
        <v>21</v>
      </c>
      <c r="D1594" s="8" t="str">
        <f>"杨世明"</f>
        <v>杨世明</v>
      </c>
      <c r="E1594" s="8" t="str">
        <f t="shared" si="203"/>
        <v>男</v>
      </c>
    </row>
    <row r="1595" spans="1:5" ht="30" customHeight="1">
      <c r="A1595" s="8">
        <v>1592</v>
      </c>
      <c r="B1595" s="8" t="str">
        <f>"38492022042121064030072"</f>
        <v>38492022042121064030072</v>
      </c>
      <c r="C1595" s="8" t="s">
        <v>21</v>
      </c>
      <c r="D1595" s="8" t="str">
        <f>"符国艳"</f>
        <v>符国艳</v>
      </c>
      <c r="E1595" s="8" t="str">
        <f>"女"</f>
        <v>女</v>
      </c>
    </row>
    <row r="1596" spans="1:5" ht="30" customHeight="1">
      <c r="A1596" s="8">
        <v>1593</v>
      </c>
      <c r="B1596" s="8" t="str">
        <f>"38492022042121072330076"</f>
        <v>38492022042121072330076</v>
      </c>
      <c r="C1596" s="8" t="s">
        <v>21</v>
      </c>
      <c r="D1596" s="8" t="str">
        <f>"李英琼"</f>
        <v>李英琼</v>
      </c>
      <c r="E1596" s="8" t="str">
        <f>"女"</f>
        <v>女</v>
      </c>
    </row>
    <row r="1597" spans="1:5" ht="30" customHeight="1">
      <c r="A1597" s="8">
        <v>1594</v>
      </c>
      <c r="B1597" s="8" t="str">
        <f>"38492022042121163730126"</f>
        <v>38492022042121163730126</v>
      </c>
      <c r="C1597" s="8" t="s">
        <v>21</v>
      </c>
      <c r="D1597" s="8" t="str">
        <f>"何惠高"</f>
        <v>何惠高</v>
      </c>
      <c r="E1597" s="8" t="str">
        <f aca="true" t="shared" si="205" ref="E1597:E1604">"男"</f>
        <v>男</v>
      </c>
    </row>
    <row r="1598" spans="1:5" ht="30" customHeight="1">
      <c r="A1598" s="8">
        <v>1595</v>
      </c>
      <c r="B1598" s="8" t="str">
        <f>"38492022042121185230138"</f>
        <v>38492022042121185230138</v>
      </c>
      <c r="C1598" s="8" t="s">
        <v>21</v>
      </c>
      <c r="D1598" s="8" t="str">
        <f>"林明原"</f>
        <v>林明原</v>
      </c>
      <c r="E1598" s="8" t="str">
        <f t="shared" si="205"/>
        <v>男</v>
      </c>
    </row>
    <row r="1599" spans="1:5" ht="30" customHeight="1">
      <c r="A1599" s="8">
        <v>1596</v>
      </c>
      <c r="B1599" s="8" t="str">
        <f>"38492022042121190030140"</f>
        <v>38492022042121190030140</v>
      </c>
      <c r="C1599" s="8" t="s">
        <v>21</v>
      </c>
      <c r="D1599" s="8" t="str">
        <f>"李觉祥"</f>
        <v>李觉祥</v>
      </c>
      <c r="E1599" s="8" t="str">
        <f t="shared" si="205"/>
        <v>男</v>
      </c>
    </row>
    <row r="1600" spans="1:5" ht="30" customHeight="1">
      <c r="A1600" s="8">
        <v>1597</v>
      </c>
      <c r="B1600" s="8" t="str">
        <f>"38492022042121285530199"</f>
        <v>38492022042121285530199</v>
      </c>
      <c r="C1600" s="8" t="s">
        <v>21</v>
      </c>
      <c r="D1600" s="8" t="str">
        <f>"张峻"</f>
        <v>张峻</v>
      </c>
      <c r="E1600" s="8" t="str">
        <f t="shared" si="205"/>
        <v>男</v>
      </c>
    </row>
    <row r="1601" spans="1:5" ht="30" customHeight="1">
      <c r="A1601" s="8">
        <v>1598</v>
      </c>
      <c r="B1601" s="8" t="str">
        <f>"38492022042121290430201"</f>
        <v>38492022042121290430201</v>
      </c>
      <c r="C1601" s="8" t="s">
        <v>21</v>
      </c>
      <c r="D1601" s="8" t="str">
        <f>"孙永泽"</f>
        <v>孙永泽</v>
      </c>
      <c r="E1601" s="8" t="str">
        <f t="shared" si="205"/>
        <v>男</v>
      </c>
    </row>
    <row r="1602" spans="1:5" ht="30" customHeight="1">
      <c r="A1602" s="8">
        <v>1599</v>
      </c>
      <c r="B1602" s="8" t="str">
        <f>"38492022042121340930226"</f>
        <v>38492022042121340930226</v>
      </c>
      <c r="C1602" s="8" t="s">
        <v>21</v>
      </c>
      <c r="D1602" s="8" t="str">
        <f>"林树仁"</f>
        <v>林树仁</v>
      </c>
      <c r="E1602" s="8" t="str">
        <f t="shared" si="205"/>
        <v>男</v>
      </c>
    </row>
    <row r="1603" spans="1:5" ht="30" customHeight="1">
      <c r="A1603" s="8">
        <v>1600</v>
      </c>
      <c r="B1603" s="8" t="str">
        <f>"38492022042121413530262"</f>
        <v>38492022042121413530262</v>
      </c>
      <c r="C1603" s="8" t="s">
        <v>21</v>
      </c>
      <c r="D1603" s="8" t="str">
        <f>"许卓翼"</f>
        <v>许卓翼</v>
      </c>
      <c r="E1603" s="8" t="str">
        <f t="shared" si="205"/>
        <v>男</v>
      </c>
    </row>
    <row r="1604" spans="1:5" ht="30" customHeight="1">
      <c r="A1604" s="8">
        <v>1601</v>
      </c>
      <c r="B1604" s="8" t="str">
        <f>"38492022042121440330270"</f>
        <v>38492022042121440330270</v>
      </c>
      <c r="C1604" s="8" t="s">
        <v>21</v>
      </c>
      <c r="D1604" s="8" t="str">
        <f>"林小冈"</f>
        <v>林小冈</v>
      </c>
      <c r="E1604" s="8" t="str">
        <f t="shared" si="205"/>
        <v>男</v>
      </c>
    </row>
    <row r="1605" spans="1:5" ht="30" customHeight="1">
      <c r="A1605" s="8">
        <v>1602</v>
      </c>
      <c r="B1605" s="8" t="str">
        <f>"38492022042121460730279"</f>
        <v>38492022042121460730279</v>
      </c>
      <c r="C1605" s="8" t="s">
        <v>21</v>
      </c>
      <c r="D1605" s="8" t="str">
        <f>"王琼平"</f>
        <v>王琼平</v>
      </c>
      <c r="E1605" s="8" t="str">
        <f aca="true" t="shared" si="206" ref="E1605:E1609">"女"</f>
        <v>女</v>
      </c>
    </row>
    <row r="1606" spans="1:5" ht="30" customHeight="1">
      <c r="A1606" s="8">
        <v>1603</v>
      </c>
      <c r="B1606" s="8" t="str">
        <f>"38492022042121463830280"</f>
        <v>38492022042121463830280</v>
      </c>
      <c r="C1606" s="8" t="s">
        <v>21</v>
      </c>
      <c r="D1606" s="8" t="str">
        <f>"蔡亲兰"</f>
        <v>蔡亲兰</v>
      </c>
      <c r="E1606" s="8" t="str">
        <f t="shared" si="206"/>
        <v>女</v>
      </c>
    </row>
    <row r="1607" spans="1:5" ht="30" customHeight="1">
      <c r="A1607" s="8">
        <v>1604</v>
      </c>
      <c r="B1607" s="8" t="str">
        <f>"38492022042121482930291"</f>
        <v>38492022042121482930291</v>
      </c>
      <c r="C1607" s="8" t="s">
        <v>21</v>
      </c>
      <c r="D1607" s="8" t="str">
        <f>"郭教丹"</f>
        <v>郭教丹</v>
      </c>
      <c r="E1607" s="8" t="str">
        <f t="shared" si="206"/>
        <v>女</v>
      </c>
    </row>
    <row r="1608" spans="1:5" ht="30" customHeight="1">
      <c r="A1608" s="8">
        <v>1605</v>
      </c>
      <c r="B1608" s="8" t="str">
        <f>"38492022042121484730293"</f>
        <v>38492022042121484730293</v>
      </c>
      <c r="C1608" s="8" t="s">
        <v>21</v>
      </c>
      <c r="D1608" s="8" t="str">
        <f>"颜丽颜"</f>
        <v>颜丽颜</v>
      </c>
      <c r="E1608" s="8" t="str">
        <f t="shared" si="206"/>
        <v>女</v>
      </c>
    </row>
    <row r="1609" spans="1:5" ht="30" customHeight="1">
      <c r="A1609" s="8">
        <v>1606</v>
      </c>
      <c r="B1609" s="8" t="str">
        <f>"38492022042121521230309"</f>
        <v>38492022042121521230309</v>
      </c>
      <c r="C1609" s="8" t="s">
        <v>21</v>
      </c>
      <c r="D1609" s="8" t="str">
        <f>"王怀娟"</f>
        <v>王怀娟</v>
      </c>
      <c r="E1609" s="8" t="str">
        <f t="shared" si="206"/>
        <v>女</v>
      </c>
    </row>
    <row r="1610" spans="1:5" ht="30" customHeight="1">
      <c r="A1610" s="8">
        <v>1607</v>
      </c>
      <c r="B1610" s="8" t="str">
        <f>"38492022042122014530361"</f>
        <v>38492022042122014530361</v>
      </c>
      <c r="C1610" s="8" t="s">
        <v>21</v>
      </c>
      <c r="D1610" s="8" t="str">
        <f>"吴有龙"</f>
        <v>吴有龙</v>
      </c>
      <c r="E1610" s="8" t="str">
        <f>"男"</f>
        <v>男</v>
      </c>
    </row>
    <row r="1611" spans="1:5" ht="30" customHeight="1">
      <c r="A1611" s="8">
        <v>1608</v>
      </c>
      <c r="B1611" s="8" t="str">
        <f>"38492022042122020330363"</f>
        <v>38492022042122020330363</v>
      </c>
      <c r="C1611" s="8" t="s">
        <v>21</v>
      </c>
      <c r="D1611" s="8" t="str">
        <f>"周志月"</f>
        <v>周志月</v>
      </c>
      <c r="E1611" s="8" t="str">
        <f aca="true" t="shared" si="207" ref="E1611:E1617">"女"</f>
        <v>女</v>
      </c>
    </row>
    <row r="1612" spans="1:5" ht="30" customHeight="1">
      <c r="A1612" s="8">
        <v>1609</v>
      </c>
      <c r="B1612" s="8" t="str">
        <f>"38492022042122020730364"</f>
        <v>38492022042122020730364</v>
      </c>
      <c r="C1612" s="8" t="s">
        <v>21</v>
      </c>
      <c r="D1612" s="8" t="str">
        <f>"李鸿"</f>
        <v>李鸿</v>
      </c>
      <c r="E1612" s="8" t="str">
        <f>"男"</f>
        <v>男</v>
      </c>
    </row>
    <row r="1613" spans="1:5" ht="30" customHeight="1">
      <c r="A1613" s="8">
        <v>1610</v>
      </c>
      <c r="B1613" s="8" t="str">
        <f>"38492022042122025630370"</f>
        <v>38492022042122025630370</v>
      </c>
      <c r="C1613" s="8" t="s">
        <v>21</v>
      </c>
      <c r="D1613" s="8" t="str">
        <f>"邓春竹"</f>
        <v>邓春竹</v>
      </c>
      <c r="E1613" s="8" t="str">
        <f t="shared" si="207"/>
        <v>女</v>
      </c>
    </row>
    <row r="1614" spans="1:5" ht="30" customHeight="1">
      <c r="A1614" s="8">
        <v>1611</v>
      </c>
      <c r="B1614" s="8" t="str">
        <f>"38492022042122040630381"</f>
        <v>38492022042122040630381</v>
      </c>
      <c r="C1614" s="8" t="s">
        <v>21</v>
      </c>
      <c r="D1614" s="8" t="str">
        <f>"李玲"</f>
        <v>李玲</v>
      </c>
      <c r="E1614" s="8" t="str">
        <f t="shared" si="207"/>
        <v>女</v>
      </c>
    </row>
    <row r="1615" spans="1:5" ht="30" customHeight="1">
      <c r="A1615" s="8">
        <v>1612</v>
      </c>
      <c r="B1615" s="8" t="str">
        <f>"38492022042122041930382"</f>
        <v>38492022042122041930382</v>
      </c>
      <c r="C1615" s="8" t="s">
        <v>21</v>
      </c>
      <c r="D1615" s="8" t="str">
        <f>"王慧"</f>
        <v>王慧</v>
      </c>
      <c r="E1615" s="8" t="str">
        <f t="shared" si="207"/>
        <v>女</v>
      </c>
    </row>
    <row r="1616" spans="1:5" ht="30" customHeight="1">
      <c r="A1616" s="8">
        <v>1613</v>
      </c>
      <c r="B1616" s="8" t="str">
        <f>"38492022042122053930395"</f>
        <v>38492022042122053930395</v>
      </c>
      <c r="C1616" s="8" t="s">
        <v>21</v>
      </c>
      <c r="D1616" s="8" t="str">
        <f>"陈文婷"</f>
        <v>陈文婷</v>
      </c>
      <c r="E1616" s="8" t="str">
        <f t="shared" si="207"/>
        <v>女</v>
      </c>
    </row>
    <row r="1617" spans="1:5" ht="30" customHeight="1">
      <c r="A1617" s="8">
        <v>1614</v>
      </c>
      <c r="B1617" s="8" t="str">
        <f>"38492022042122144830438"</f>
        <v>38492022042122144830438</v>
      </c>
      <c r="C1617" s="8" t="s">
        <v>21</v>
      </c>
      <c r="D1617" s="8" t="str">
        <f>"朱行佳"</f>
        <v>朱行佳</v>
      </c>
      <c r="E1617" s="8" t="str">
        <f t="shared" si="207"/>
        <v>女</v>
      </c>
    </row>
    <row r="1618" spans="1:5" ht="30" customHeight="1">
      <c r="A1618" s="8">
        <v>1615</v>
      </c>
      <c r="B1618" s="8" t="str">
        <f>"38492022042122174630454"</f>
        <v>38492022042122174630454</v>
      </c>
      <c r="C1618" s="8" t="s">
        <v>21</v>
      </c>
      <c r="D1618" s="8" t="str">
        <f>"邓广斌"</f>
        <v>邓广斌</v>
      </c>
      <c r="E1618" s="8" t="str">
        <f aca="true" t="shared" si="208" ref="E1618:E1624">"男"</f>
        <v>男</v>
      </c>
    </row>
    <row r="1619" spans="1:5" ht="30" customHeight="1">
      <c r="A1619" s="8">
        <v>1616</v>
      </c>
      <c r="B1619" s="8" t="str">
        <f>"38492022042122260930487"</f>
        <v>38492022042122260930487</v>
      </c>
      <c r="C1619" s="8" t="s">
        <v>21</v>
      </c>
      <c r="D1619" s="8" t="str">
        <f>"李根宇"</f>
        <v>李根宇</v>
      </c>
      <c r="E1619" s="8" t="str">
        <f t="shared" si="208"/>
        <v>男</v>
      </c>
    </row>
    <row r="1620" spans="1:5" ht="30" customHeight="1">
      <c r="A1620" s="8">
        <v>1617</v>
      </c>
      <c r="B1620" s="8" t="str">
        <f>"38492022042122262030488"</f>
        <v>38492022042122262030488</v>
      </c>
      <c r="C1620" s="8" t="s">
        <v>21</v>
      </c>
      <c r="D1620" s="8" t="str">
        <f>"吴芳玲"</f>
        <v>吴芳玲</v>
      </c>
      <c r="E1620" s="8" t="str">
        <f>"女"</f>
        <v>女</v>
      </c>
    </row>
    <row r="1621" spans="1:5" ht="30" customHeight="1">
      <c r="A1621" s="8">
        <v>1618</v>
      </c>
      <c r="B1621" s="8" t="str">
        <f>"38492022042122331030518"</f>
        <v>38492022042122331030518</v>
      </c>
      <c r="C1621" s="8" t="s">
        <v>21</v>
      </c>
      <c r="D1621" s="8" t="str">
        <f>"林贻壮"</f>
        <v>林贻壮</v>
      </c>
      <c r="E1621" s="8" t="str">
        <f t="shared" si="208"/>
        <v>男</v>
      </c>
    </row>
    <row r="1622" spans="1:5" ht="30" customHeight="1">
      <c r="A1622" s="8">
        <v>1619</v>
      </c>
      <c r="B1622" s="8" t="str">
        <f>"38492022042122350030533"</f>
        <v>38492022042122350030533</v>
      </c>
      <c r="C1622" s="8" t="s">
        <v>21</v>
      </c>
      <c r="D1622" s="8" t="str">
        <f>"崔小聪"</f>
        <v>崔小聪</v>
      </c>
      <c r="E1622" s="8" t="str">
        <f t="shared" si="208"/>
        <v>男</v>
      </c>
    </row>
    <row r="1623" spans="1:5" ht="30" customHeight="1">
      <c r="A1623" s="8">
        <v>1620</v>
      </c>
      <c r="B1623" s="8" t="str">
        <f>"38492022042122392030551"</f>
        <v>38492022042122392030551</v>
      </c>
      <c r="C1623" s="8" t="s">
        <v>21</v>
      </c>
      <c r="D1623" s="8" t="str">
        <f>"王国庆"</f>
        <v>王国庆</v>
      </c>
      <c r="E1623" s="8" t="str">
        <f t="shared" si="208"/>
        <v>男</v>
      </c>
    </row>
    <row r="1624" spans="1:5" ht="30" customHeight="1">
      <c r="A1624" s="8">
        <v>1621</v>
      </c>
      <c r="B1624" s="8" t="str">
        <f>"38492022042122462730581"</f>
        <v>38492022042122462730581</v>
      </c>
      <c r="C1624" s="8" t="s">
        <v>21</v>
      </c>
      <c r="D1624" s="8" t="str">
        <f>"刘金荣"</f>
        <v>刘金荣</v>
      </c>
      <c r="E1624" s="8" t="str">
        <f t="shared" si="208"/>
        <v>男</v>
      </c>
    </row>
    <row r="1625" spans="1:5" ht="30" customHeight="1">
      <c r="A1625" s="8">
        <v>1622</v>
      </c>
      <c r="B1625" s="8" t="str">
        <f>"38492022042122481230586"</f>
        <v>38492022042122481230586</v>
      </c>
      <c r="C1625" s="8" t="s">
        <v>21</v>
      </c>
      <c r="D1625" s="8" t="str">
        <f>"陈月玲"</f>
        <v>陈月玲</v>
      </c>
      <c r="E1625" s="8" t="str">
        <f aca="true" t="shared" si="209" ref="E1625:E1630">"女"</f>
        <v>女</v>
      </c>
    </row>
    <row r="1626" spans="1:5" ht="30" customHeight="1">
      <c r="A1626" s="8">
        <v>1623</v>
      </c>
      <c r="B1626" s="8" t="str">
        <f>"38492022042122544830610"</f>
        <v>38492022042122544830610</v>
      </c>
      <c r="C1626" s="8" t="s">
        <v>21</v>
      </c>
      <c r="D1626" s="8" t="str">
        <f>"陈明城"</f>
        <v>陈明城</v>
      </c>
      <c r="E1626" s="8" t="str">
        <f>"男"</f>
        <v>男</v>
      </c>
    </row>
    <row r="1627" spans="1:5" ht="30" customHeight="1">
      <c r="A1627" s="8">
        <v>1624</v>
      </c>
      <c r="B1627" s="8" t="str">
        <f>"38492022042122555130613"</f>
        <v>38492022042122555130613</v>
      </c>
      <c r="C1627" s="8" t="s">
        <v>21</v>
      </c>
      <c r="D1627" s="8" t="str">
        <f>"秦翠燕"</f>
        <v>秦翠燕</v>
      </c>
      <c r="E1627" s="8" t="str">
        <f t="shared" si="209"/>
        <v>女</v>
      </c>
    </row>
    <row r="1628" spans="1:5" ht="30" customHeight="1">
      <c r="A1628" s="8">
        <v>1625</v>
      </c>
      <c r="B1628" s="8" t="str">
        <f>"38492022042122570830620"</f>
        <v>38492022042122570830620</v>
      </c>
      <c r="C1628" s="8" t="s">
        <v>21</v>
      </c>
      <c r="D1628" s="8" t="str">
        <f>"苏茹"</f>
        <v>苏茹</v>
      </c>
      <c r="E1628" s="8" t="str">
        <f t="shared" si="209"/>
        <v>女</v>
      </c>
    </row>
    <row r="1629" spans="1:5" ht="30" customHeight="1">
      <c r="A1629" s="8">
        <v>1626</v>
      </c>
      <c r="B1629" s="8" t="str">
        <f>"38492022042123033930641"</f>
        <v>38492022042123033930641</v>
      </c>
      <c r="C1629" s="8" t="s">
        <v>21</v>
      </c>
      <c r="D1629" s="8" t="str">
        <f>"黎倩曼"</f>
        <v>黎倩曼</v>
      </c>
      <c r="E1629" s="8" t="str">
        <f t="shared" si="209"/>
        <v>女</v>
      </c>
    </row>
    <row r="1630" spans="1:5" ht="30" customHeight="1">
      <c r="A1630" s="8">
        <v>1627</v>
      </c>
      <c r="B1630" s="8" t="str">
        <f>"38492022042123104330678"</f>
        <v>38492022042123104330678</v>
      </c>
      <c r="C1630" s="8" t="s">
        <v>21</v>
      </c>
      <c r="D1630" s="8" t="str">
        <f>"郑海波"</f>
        <v>郑海波</v>
      </c>
      <c r="E1630" s="8" t="str">
        <f t="shared" si="209"/>
        <v>女</v>
      </c>
    </row>
    <row r="1631" spans="1:5" ht="30" customHeight="1">
      <c r="A1631" s="8">
        <v>1628</v>
      </c>
      <c r="B1631" s="8" t="str">
        <f>"38492022042123112930685"</f>
        <v>38492022042123112930685</v>
      </c>
      <c r="C1631" s="8" t="s">
        <v>21</v>
      </c>
      <c r="D1631" s="8" t="str">
        <f>"李中科"</f>
        <v>李中科</v>
      </c>
      <c r="E1631" s="8" t="str">
        <f aca="true" t="shared" si="210" ref="E1631:E1633">"男"</f>
        <v>男</v>
      </c>
    </row>
    <row r="1632" spans="1:5" ht="30" customHeight="1">
      <c r="A1632" s="8">
        <v>1629</v>
      </c>
      <c r="B1632" s="8" t="str">
        <f>"38492022042123221130721"</f>
        <v>38492022042123221130721</v>
      </c>
      <c r="C1632" s="8" t="s">
        <v>21</v>
      </c>
      <c r="D1632" s="8" t="str">
        <f>"李钖"</f>
        <v>李钖</v>
      </c>
      <c r="E1632" s="8" t="str">
        <f t="shared" si="210"/>
        <v>男</v>
      </c>
    </row>
    <row r="1633" spans="1:5" ht="30" customHeight="1">
      <c r="A1633" s="8">
        <v>1630</v>
      </c>
      <c r="B1633" s="8" t="str">
        <f>"38492022042123274630735"</f>
        <v>38492022042123274630735</v>
      </c>
      <c r="C1633" s="8" t="s">
        <v>21</v>
      </c>
      <c r="D1633" s="8" t="str">
        <f>"王儒锦"</f>
        <v>王儒锦</v>
      </c>
      <c r="E1633" s="8" t="str">
        <f t="shared" si="210"/>
        <v>男</v>
      </c>
    </row>
    <row r="1634" spans="1:5" ht="30" customHeight="1">
      <c r="A1634" s="8">
        <v>1631</v>
      </c>
      <c r="B1634" s="8" t="str">
        <f>"38492022042123274830736"</f>
        <v>38492022042123274830736</v>
      </c>
      <c r="C1634" s="8" t="s">
        <v>21</v>
      </c>
      <c r="D1634" s="8" t="str">
        <f>"梁森梅"</f>
        <v>梁森梅</v>
      </c>
      <c r="E1634" s="8" t="str">
        <f aca="true" t="shared" si="211" ref="E1634:E1639">"女"</f>
        <v>女</v>
      </c>
    </row>
    <row r="1635" spans="1:5" ht="30" customHeight="1">
      <c r="A1635" s="8">
        <v>1632</v>
      </c>
      <c r="B1635" s="8" t="str">
        <f>"38492022042123303930742"</f>
        <v>38492022042123303930742</v>
      </c>
      <c r="C1635" s="8" t="s">
        <v>21</v>
      </c>
      <c r="D1635" s="8" t="str">
        <f>"陈莹"</f>
        <v>陈莹</v>
      </c>
      <c r="E1635" s="8" t="str">
        <f t="shared" si="211"/>
        <v>女</v>
      </c>
    </row>
    <row r="1636" spans="1:5" ht="30" customHeight="1">
      <c r="A1636" s="8">
        <v>1633</v>
      </c>
      <c r="B1636" s="8" t="str">
        <f>"38492022042123315430747"</f>
        <v>38492022042123315430747</v>
      </c>
      <c r="C1636" s="8" t="s">
        <v>21</v>
      </c>
      <c r="D1636" s="8" t="str">
        <f>"吴源权"</f>
        <v>吴源权</v>
      </c>
      <c r="E1636" s="8" t="str">
        <f aca="true" t="shared" si="212" ref="E1636:E1638">"男"</f>
        <v>男</v>
      </c>
    </row>
    <row r="1637" spans="1:5" ht="30" customHeight="1">
      <c r="A1637" s="8">
        <v>1634</v>
      </c>
      <c r="B1637" s="8" t="str">
        <f>"38492022042123340130753"</f>
        <v>38492022042123340130753</v>
      </c>
      <c r="C1637" s="8" t="s">
        <v>21</v>
      </c>
      <c r="D1637" s="8" t="str">
        <f>"劳金威"</f>
        <v>劳金威</v>
      </c>
      <c r="E1637" s="8" t="str">
        <f t="shared" si="212"/>
        <v>男</v>
      </c>
    </row>
    <row r="1638" spans="1:5" ht="30" customHeight="1">
      <c r="A1638" s="8">
        <v>1635</v>
      </c>
      <c r="B1638" s="8" t="str">
        <f>"38492022042123384130760"</f>
        <v>38492022042123384130760</v>
      </c>
      <c r="C1638" s="8" t="s">
        <v>21</v>
      </c>
      <c r="D1638" s="8" t="str">
        <f>"陈磊豪"</f>
        <v>陈磊豪</v>
      </c>
      <c r="E1638" s="8" t="str">
        <f t="shared" si="212"/>
        <v>男</v>
      </c>
    </row>
    <row r="1639" spans="1:5" ht="30" customHeight="1">
      <c r="A1639" s="8">
        <v>1636</v>
      </c>
      <c r="B1639" s="8" t="str">
        <f>"38492022042123544730793"</f>
        <v>38492022042123544730793</v>
      </c>
      <c r="C1639" s="8" t="s">
        <v>21</v>
      </c>
      <c r="D1639" s="8" t="str">
        <f>"蔡小蝶"</f>
        <v>蔡小蝶</v>
      </c>
      <c r="E1639" s="8" t="str">
        <f t="shared" si="211"/>
        <v>女</v>
      </c>
    </row>
    <row r="1640" spans="1:5" ht="30" customHeight="1">
      <c r="A1640" s="8">
        <v>1637</v>
      </c>
      <c r="B1640" s="8" t="str">
        <f>"38492022042123572630801"</f>
        <v>38492022042123572630801</v>
      </c>
      <c r="C1640" s="8" t="s">
        <v>21</v>
      </c>
      <c r="D1640" s="8" t="str">
        <f>"林浩"</f>
        <v>林浩</v>
      </c>
      <c r="E1640" s="8" t="str">
        <f aca="true" t="shared" si="213" ref="E1640:E1650">"男"</f>
        <v>男</v>
      </c>
    </row>
    <row r="1641" spans="1:5" ht="30" customHeight="1">
      <c r="A1641" s="8">
        <v>1638</v>
      </c>
      <c r="B1641" s="8" t="str">
        <f>"38492022042201451730870"</f>
        <v>38492022042201451730870</v>
      </c>
      <c r="C1641" s="8" t="s">
        <v>21</v>
      </c>
      <c r="D1641" s="8" t="str">
        <f>"汪惠团"</f>
        <v>汪惠团</v>
      </c>
      <c r="E1641" s="8" t="str">
        <f>"女"</f>
        <v>女</v>
      </c>
    </row>
    <row r="1642" spans="1:5" ht="30" customHeight="1">
      <c r="A1642" s="8">
        <v>1639</v>
      </c>
      <c r="B1642" s="8" t="str">
        <f>"38492022042201500530872"</f>
        <v>38492022042201500530872</v>
      </c>
      <c r="C1642" s="8" t="s">
        <v>21</v>
      </c>
      <c r="D1642" s="8" t="str">
        <f>"李光朋"</f>
        <v>李光朋</v>
      </c>
      <c r="E1642" s="8" t="str">
        <f t="shared" si="213"/>
        <v>男</v>
      </c>
    </row>
    <row r="1643" spans="1:5" ht="30" customHeight="1">
      <c r="A1643" s="8">
        <v>1640</v>
      </c>
      <c r="B1643" s="8" t="str">
        <f>"38492022042208222330985"</f>
        <v>38492022042208222330985</v>
      </c>
      <c r="C1643" s="8" t="s">
        <v>21</v>
      </c>
      <c r="D1643" s="8" t="str">
        <f>"李博乾"</f>
        <v>李博乾</v>
      </c>
      <c r="E1643" s="8" t="str">
        <f t="shared" si="213"/>
        <v>男</v>
      </c>
    </row>
    <row r="1644" spans="1:5" ht="30" customHeight="1">
      <c r="A1644" s="8">
        <v>1641</v>
      </c>
      <c r="B1644" s="8" t="str">
        <f>"38492022042208254230988"</f>
        <v>38492022042208254230988</v>
      </c>
      <c r="C1644" s="8" t="s">
        <v>21</v>
      </c>
      <c r="D1644" s="8" t="str">
        <f>"杨文建"</f>
        <v>杨文建</v>
      </c>
      <c r="E1644" s="8" t="str">
        <f t="shared" si="213"/>
        <v>男</v>
      </c>
    </row>
    <row r="1645" spans="1:5" ht="30" customHeight="1">
      <c r="A1645" s="8">
        <v>1642</v>
      </c>
      <c r="B1645" s="8" t="str">
        <f>"38492022042208324231014"</f>
        <v>38492022042208324231014</v>
      </c>
      <c r="C1645" s="8" t="s">
        <v>21</v>
      </c>
      <c r="D1645" s="8" t="str">
        <f>"羊卓丞"</f>
        <v>羊卓丞</v>
      </c>
      <c r="E1645" s="8" t="str">
        <f t="shared" si="213"/>
        <v>男</v>
      </c>
    </row>
    <row r="1646" spans="1:5" ht="30" customHeight="1">
      <c r="A1646" s="8">
        <v>1643</v>
      </c>
      <c r="B1646" s="8" t="str">
        <f>"38492022042208332931017"</f>
        <v>38492022042208332931017</v>
      </c>
      <c r="C1646" s="8" t="s">
        <v>21</v>
      </c>
      <c r="D1646" s="8" t="str">
        <f>"王敏南"</f>
        <v>王敏南</v>
      </c>
      <c r="E1646" s="8" t="str">
        <f t="shared" si="213"/>
        <v>男</v>
      </c>
    </row>
    <row r="1647" spans="1:5" ht="30" customHeight="1">
      <c r="A1647" s="8">
        <v>1644</v>
      </c>
      <c r="B1647" s="8" t="str">
        <f>"38492022042208341331019"</f>
        <v>38492022042208341331019</v>
      </c>
      <c r="C1647" s="8" t="s">
        <v>21</v>
      </c>
      <c r="D1647" s="8" t="str">
        <f>"许育斌"</f>
        <v>许育斌</v>
      </c>
      <c r="E1647" s="8" t="str">
        <f t="shared" si="213"/>
        <v>男</v>
      </c>
    </row>
    <row r="1648" spans="1:5" ht="30" customHeight="1">
      <c r="A1648" s="8">
        <v>1645</v>
      </c>
      <c r="B1648" s="8" t="str">
        <f>"38492022042208363631023"</f>
        <v>38492022042208363631023</v>
      </c>
      <c r="C1648" s="8" t="s">
        <v>21</v>
      </c>
      <c r="D1648" s="8" t="str">
        <f>"赵韦全"</f>
        <v>赵韦全</v>
      </c>
      <c r="E1648" s="8" t="str">
        <f t="shared" si="213"/>
        <v>男</v>
      </c>
    </row>
    <row r="1649" spans="1:5" ht="30" customHeight="1">
      <c r="A1649" s="8">
        <v>1646</v>
      </c>
      <c r="B1649" s="8" t="str">
        <f>"38492022042208400031033"</f>
        <v>38492022042208400031033</v>
      </c>
      <c r="C1649" s="8" t="s">
        <v>21</v>
      </c>
      <c r="D1649" s="8" t="str">
        <f>"王咸弟"</f>
        <v>王咸弟</v>
      </c>
      <c r="E1649" s="8" t="str">
        <f t="shared" si="213"/>
        <v>男</v>
      </c>
    </row>
    <row r="1650" spans="1:5" ht="30" customHeight="1">
      <c r="A1650" s="8">
        <v>1647</v>
      </c>
      <c r="B1650" s="8" t="str">
        <f>"38492022042208401131035"</f>
        <v>38492022042208401131035</v>
      </c>
      <c r="C1650" s="8" t="s">
        <v>21</v>
      </c>
      <c r="D1650" s="8" t="str">
        <f>"李红剑"</f>
        <v>李红剑</v>
      </c>
      <c r="E1650" s="8" t="str">
        <f t="shared" si="213"/>
        <v>男</v>
      </c>
    </row>
    <row r="1651" spans="1:5" ht="30" customHeight="1">
      <c r="A1651" s="8">
        <v>1648</v>
      </c>
      <c r="B1651" s="8" t="str">
        <f>"38492022042208405031038"</f>
        <v>38492022042208405031038</v>
      </c>
      <c r="C1651" s="8" t="s">
        <v>21</v>
      </c>
      <c r="D1651" s="8" t="str">
        <f>"滕泽欣"</f>
        <v>滕泽欣</v>
      </c>
      <c r="E1651" s="8" t="str">
        <f aca="true" t="shared" si="214" ref="E1651:E1656">"女"</f>
        <v>女</v>
      </c>
    </row>
    <row r="1652" spans="1:5" ht="30" customHeight="1">
      <c r="A1652" s="8">
        <v>1649</v>
      </c>
      <c r="B1652" s="8" t="str">
        <f>"38492022042208405631039"</f>
        <v>38492022042208405631039</v>
      </c>
      <c r="C1652" s="8" t="s">
        <v>21</v>
      </c>
      <c r="D1652" s="8" t="str">
        <f>"董紫莹"</f>
        <v>董紫莹</v>
      </c>
      <c r="E1652" s="8" t="str">
        <f t="shared" si="214"/>
        <v>女</v>
      </c>
    </row>
    <row r="1653" spans="1:5" ht="30" customHeight="1">
      <c r="A1653" s="8">
        <v>1650</v>
      </c>
      <c r="B1653" s="8" t="str">
        <f>"38492022042208425631046"</f>
        <v>38492022042208425631046</v>
      </c>
      <c r="C1653" s="8" t="s">
        <v>21</v>
      </c>
      <c r="D1653" s="8" t="str">
        <f>"江成"</f>
        <v>江成</v>
      </c>
      <c r="E1653" s="8" t="str">
        <f aca="true" t="shared" si="215" ref="E1653:E1655">"男"</f>
        <v>男</v>
      </c>
    </row>
    <row r="1654" spans="1:5" ht="30" customHeight="1">
      <c r="A1654" s="8">
        <v>1651</v>
      </c>
      <c r="B1654" s="8" t="str">
        <f>"38492022042208453631051"</f>
        <v>38492022042208453631051</v>
      </c>
      <c r="C1654" s="8" t="s">
        <v>21</v>
      </c>
      <c r="D1654" s="8" t="str">
        <f>"邢程俊"</f>
        <v>邢程俊</v>
      </c>
      <c r="E1654" s="8" t="str">
        <f t="shared" si="215"/>
        <v>男</v>
      </c>
    </row>
    <row r="1655" spans="1:5" ht="30" customHeight="1">
      <c r="A1655" s="8">
        <v>1652</v>
      </c>
      <c r="B1655" s="8" t="str">
        <f>"38492022042208485331066"</f>
        <v>38492022042208485331066</v>
      </c>
      <c r="C1655" s="8" t="s">
        <v>21</v>
      </c>
      <c r="D1655" s="8" t="str">
        <f>"林瑞孙"</f>
        <v>林瑞孙</v>
      </c>
      <c r="E1655" s="8" t="str">
        <f t="shared" si="215"/>
        <v>男</v>
      </c>
    </row>
    <row r="1656" spans="1:5" ht="30" customHeight="1">
      <c r="A1656" s="8">
        <v>1653</v>
      </c>
      <c r="B1656" s="8" t="str">
        <f>"38492022042208485831067"</f>
        <v>38492022042208485831067</v>
      </c>
      <c r="C1656" s="8" t="s">
        <v>21</v>
      </c>
      <c r="D1656" s="8" t="str">
        <f>"章敏"</f>
        <v>章敏</v>
      </c>
      <c r="E1656" s="8" t="str">
        <f t="shared" si="214"/>
        <v>女</v>
      </c>
    </row>
    <row r="1657" spans="1:5" ht="30" customHeight="1">
      <c r="A1657" s="8">
        <v>1654</v>
      </c>
      <c r="B1657" s="8" t="str">
        <f>"38492022042208495431070"</f>
        <v>38492022042208495431070</v>
      </c>
      <c r="C1657" s="8" t="s">
        <v>21</v>
      </c>
      <c r="D1657" s="8" t="str">
        <f>"李天录"</f>
        <v>李天录</v>
      </c>
      <c r="E1657" s="8" t="str">
        <f aca="true" t="shared" si="216" ref="E1657:E1660">"男"</f>
        <v>男</v>
      </c>
    </row>
    <row r="1658" spans="1:5" ht="30" customHeight="1">
      <c r="A1658" s="8">
        <v>1655</v>
      </c>
      <c r="B1658" s="8" t="str">
        <f>"38492022042208510731078"</f>
        <v>38492022042208510731078</v>
      </c>
      <c r="C1658" s="8" t="s">
        <v>21</v>
      </c>
      <c r="D1658" s="8" t="str">
        <f>"黄辉"</f>
        <v>黄辉</v>
      </c>
      <c r="E1658" s="8" t="str">
        <f t="shared" si="216"/>
        <v>男</v>
      </c>
    </row>
    <row r="1659" spans="1:5" ht="30" customHeight="1">
      <c r="A1659" s="8">
        <v>1656</v>
      </c>
      <c r="B1659" s="8" t="str">
        <f>"38492022042208573531109"</f>
        <v>38492022042208573531109</v>
      </c>
      <c r="C1659" s="8" t="s">
        <v>21</v>
      </c>
      <c r="D1659" s="8" t="str">
        <f>"王莉"</f>
        <v>王莉</v>
      </c>
      <c r="E1659" s="8" t="str">
        <f>"女"</f>
        <v>女</v>
      </c>
    </row>
    <row r="1660" spans="1:5" ht="30" customHeight="1">
      <c r="A1660" s="8">
        <v>1657</v>
      </c>
      <c r="B1660" s="8" t="str">
        <f>"38492022042208585231114"</f>
        <v>38492022042208585231114</v>
      </c>
      <c r="C1660" s="8" t="s">
        <v>21</v>
      </c>
      <c r="D1660" s="8" t="str">
        <f>"潘在颜"</f>
        <v>潘在颜</v>
      </c>
      <c r="E1660" s="8" t="str">
        <f t="shared" si="216"/>
        <v>男</v>
      </c>
    </row>
    <row r="1661" spans="1:5" ht="30" customHeight="1">
      <c r="A1661" s="8">
        <v>1658</v>
      </c>
      <c r="B1661" s="8" t="str">
        <f>"38492022042208592631117"</f>
        <v>38492022042208592631117</v>
      </c>
      <c r="C1661" s="8" t="s">
        <v>21</v>
      </c>
      <c r="D1661" s="8" t="str">
        <f>"庄太灵"</f>
        <v>庄太灵</v>
      </c>
      <c r="E1661" s="8" t="str">
        <f>"女"</f>
        <v>女</v>
      </c>
    </row>
    <row r="1662" spans="1:5" ht="30" customHeight="1">
      <c r="A1662" s="8">
        <v>1659</v>
      </c>
      <c r="B1662" s="8" t="str">
        <f>"38492022042209052031149"</f>
        <v>38492022042209052031149</v>
      </c>
      <c r="C1662" s="8" t="s">
        <v>21</v>
      </c>
      <c r="D1662" s="8" t="str">
        <f>"许洛玮"</f>
        <v>许洛玮</v>
      </c>
      <c r="E1662" s="8" t="str">
        <f aca="true" t="shared" si="217" ref="E1662:E1665">"男"</f>
        <v>男</v>
      </c>
    </row>
    <row r="1663" spans="1:5" ht="30" customHeight="1">
      <c r="A1663" s="8">
        <v>1660</v>
      </c>
      <c r="B1663" s="8" t="str">
        <f>"38492022042209064631159"</f>
        <v>38492022042209064631159</v>
      </c>
      <c r="C1663" s="8" t="s">
        <v>21</v>
      </c>
      <c r="D1663" s="8" t="str">
        <f>"李仲卿"</f>
        <v>李仲卿</v>
      </c>
      <c r="E1663" s="8" t="str">
        <f t="shared" si="217"/>
        <v>男</v>
      </c>
    </row>
    <row r="1664" spans="1:5" ht="30" customHeight="1">
      <c r="A1664" s="8">
        <v>1661</v>
      </c>
      <c r="B1664" s="8" t="str">
        <f>"38492022042209090131167"</f>
        <v>38492022042209090131167</v>
      </c>
      <c r="C1664" s="8" t="s">
        <v>21</v>
      </c>
      <c r="D1664" s="8" t="str">
        <f>"吴巨猷"</f>
        <v>吴巨猷</v>
      </c>
      <c r="E1664" s="8" t="str">
        <f t="shared" si="217"/>
        <v>男</v>
      </c>
    </row>
    <row r="1665" spans="1:5" ht="30" customHeight="1">
      <c r="A1665" s="8">
        <v>1662</v>
      </c>
      <c r="B1665" s="8" t="str">
        <f>"38492022042209112531174"</f>
        <v>38492022042209112531174</v>
      </c>
      <c r="C1665" s="8" t="s">
        <v>21</v>
      </c>
      <c r="D1665" s="8" t="str">
        <f>"黄埔均"</f>
        <v>黄埔均</v>
      </c>
      <c r="E1665" s="8" t="str">
        <f t="shared" si="217"/>
        <v>男</v>
      </c>
    </row>
    <row r="1666" spans="1:5" ht="30" customHeight="1">
      <c r="A1666" s="8">
        <v>1663</v>
      </c>
      <c r="B1666" s="8" t="str">
        <f>"38492022042209223231233"</f>
        <v>38492022042209223231233</v>
      </c>
      <c r="C1666" s="8" t="s">
        <v>21</v>
      </c>
      <c r="D1666" s="8" t="str">
        <f>"蔡婷"</f>
        <v>蔡婷</v>
      </c>
      <c r="E1666" s="8" t="str">
        <f aca="true" t="shared" si="218" ref="E1666:E1669">"女"</f>
        <v>女</v>
      </c>
    </row>
    <row r="1667" spans="1:5" ht="30" customHeight="1">
      <c r="A1667" s="8">
        <v>1664</v>
      </c>
      <c r="B1667" s="8" t="str">
        <f>"38492022042209243131245"</f>
        <v>38492022042209243131245</v>
      </c>
      <c r="C1667" s="8" t="s">
        <v>21</v>
      </c>
      <c r="D1667" s="8" t="str">
        <f>"周进宝"</f>
        <v>周进宝</v>
      </c>
      <c r="E1667" s="8" t="str">
        <f t="shared" si="218"/>
        <v>女</v>
      </c>
    </row>
    <row r="1668" spans="1:5" ht="30" customHeight="1">
      <c r="A1668" s="8">
        <v>1665</v>
      </c>
      <c r="B1668" s="8" t="str">
        <f>"38492022042209273931253"</f>
        <v>38492022042209273931253</v>
      </c>
      <c r="C1668" s="8" t="s">
        <v>21</v>
      </c>
      <c r="D1668" s="8" t="str">
        <f>"李晶晶"</f>
        <v>李晶晶</v>
      </c>
      <c r="E1668" s="8" t="str">
        <f t="shared" si="218"/>
        <v>女</v>
      </c>
    </row>
    <row r="1669" spans="1:5" ht="30" customHeight="1">
      <c r="A1669" s="8">
        <v>1666</v>
      </c>
      <c r="B1669" s="8" t="str">
        <f>"38492022042209283431260"</f>
        <v>38492022042209283431260</v>
      </c>
      <c r="C1669" s="8" t="s">
        <v>21</v>
      </c>
      <c r="D1669" s="8" t="str">
        <f>"莫雪妮"</f>
        <v>莫雪妮</v>
      </c>
      <c r="E1669" s="8" t="str">
        <f t="shared" si="218"/>
        <v>女</v>
      </c>
    </row>
    <row r="1670" spans="1:5" ht="30" customHeight="1">
      <c r="A1670" s="8">
        <v>1667</v>
      </c>
      <c r="B1670" s="8" t="str">
        <f>"38492022042209305831273"</f>
        <v>38492022042209305831273</v>
      </c>
      <c r="C1670" s="8" t="s">
        <v>21</v>
      </c>
      <c r="D1670" s="8" t="str">
        <f>"吴玮"</f>
        <v>吴玮</v>
      </c>
      <c r="E1670" s="8" t="str">
        <f aca="true" t="shared" si="219" ref="E1670:E1673">"男"</f>
        <v>男</v>
      </c>
    </row>
    <row r="1671" spans="1:5" ht="30" customHeight="1">
      <c r="A1671" s="8">
        <v>1668</v>
      </c>
      <c r="B1671" s="8" t="str">
        <f>"38492022042209321931282"</f>
        <v>38492022042209321931282</v>
      </c>
      <c r="C1671" s="8" t="s">
        <v>21</v>
      </c>
      <c r="D1671" s="8" t="str">
        <f>"黄佳"</f>
        <v>黄佳</v>
      </c>
      <c r="E1671" s="8" t="str">
        <f t="shared" si="219"/>
        <v>男</v>
      </c>
    </row>
    <row r="1672" spans="1:5" ht="30" customHeight="1">
      <c r="A1672" s="8">
        <v>1669</v>
      </c>
      <c r="B1672" s="8" t="str">
        <f>"38492022042209344331292"</f>
        <v>38492022042209344331292</v>
      </c>
      <c r="C1672" s="8" t="s">
        <v>21</v>
      </c>
      <c r="D1672" s="8" t="str">
        <f>"郭义千"</f>
        <v>郭义千</v>
      </c>
      <c r="E1672" s="8" t="str">
        <f t="shared" si="219"/>
        <v>男</v>
      </c>
    </row>
    <row r="1673" spans="1:5" ht="30" customHeight="1">
      <c r="A1673" s="8">
        <v>1670</v>
      </c>
      <c r="B1673" s="8" t="str">
        <f>"38492022042209422731344"</f>
        <v>38492022042209422731344</v>
      </c>
      <c r="C1673" s="8" t="s">
        <v>21</v>
      </c>
      <c r="D1673" s="8" t="str">
        <f>"吉家昌"</f>
        <v>吉家昌</v>
      </c>
      <c r="E1673" s="8" t="str">
        <f t="shared" si="219"/>
        <v>男</v>
      </c>
    </row>
    <row r="1674" spans="1:5" ht="30" customHeight="1">
      <c r="A1674" s="8">
        <v>1671</v>
      </c>
      <c r="B1674" s="8" t="str">
        <f>"38492022042209483431370"</f>
        <v>38492022042209483431370</v>
      </c>
      <c r="C1674" s="8" t="s">
        <v>21</v>
      </c>
      <c r="D1674" s="8" t="str">
        <f>"徐秋花"</f>
        <v>徐秋花</v>
      </c>
      <c r="E1674" s="8" t="str">
        <f aca="true" t="shared" si="220" ref="E1674:E1676">"女"</f>
        <v>女</v>
      </c>
    </row>
    <row r="1675" spans="1:5" ht="30" customHeight="1">
      <c r="A1675" s="8">
        <v>1672</v>
      </c>
      <c r="B1675" s="8" t="str">
        <f>"38492022042209513031387"</f>
        <v>38492022042209513031387</v>
      </c>
      <c r="C1675" s="8" t="s">
        <v>21</v>
      </c>
      <c r="D1675" s="8" t="str">
        <f>"林晶晶"</f>
        <v>林晶晶</v>
      </c>
      <c r="E1675" s="8" t="str">
        <f t="shared" si="220"/>
        <v>女</v>
      </c>
    </row>
    <row r="1676" spans="1:5" ht="30" customHeight="1">
      <c r="A1676" s="8">
        <v>1673</v>
      </c>
      <c r="B1676" s="8" t="str">
        <f>"38492022042209525331390"</f>
        <v>38492022042209525331390</v>
      </c>
      <c r="C1676" s="8" t="s">
        <v>21</v>
      </c>
      <c r="D1676" s="8" t="str">
        <f>"杨景莉"</f>
        <v>杨景莉</v>
      </c>
      <c r="E1676" s="8" t="str">
        <f t="shared" si="220"/>
        <v>女</v>
      </c>
    </row>
    <row r="1677" spans="1:5" ht="30" customHeight="1">
      <c r="A1677" s="8">
        <v>1674</v>
      </c>
      <c r="B1677" s="8" t="str">
        <f>"38492022042209531831395"</f>
        <v>38492022042209531831395</v>
      </c>
      <c r="C1677" s="8" t="s">
        <v>21</v>
      </c>
      <c r="D1677" s="8" t="str">
        <f>"羊之林"</f>
        <v>羊之林</v>
      </c>
      <c r="E1677" s="8" t="str">
        <f aca="true" t="shared" si="221" ref="E1677:E1679">"男"</f>
        <v>男</v>
      </c>
    </row>
    <row r="1678" spans="1:5" ht="30" customHeight="1">
      <c r="A1678" s="8">
        <v>1675</v>
      </c>
      <c r="B1678" s="8" t="str">
        <f>"38492022042209533931396"</f>
        <v>38492022042209533931396</v>
      </c>
      <c r="C1678" s="8" t="s">
        <v>21</v>
      </c>
      <c r="D1678" s="8" t="str">
        <f>"张乐经"</f>
        <v>张乐经</v>
      </c>
      <c r="E1678" s="8" t="str">
        <f t="shared" si="221"/>
        <v>男</v>
      </c>
    </row>
    <row r="1679" spans="1:5" ht="30" customHeight="1">
      <c r="A1679" s="8">
        <v>1676</v>
      </c>
      <c r="B1679" s="8" t="str">
        <f>"38492022042209555631407"</f>
        <v>38492022042209555631407</v>
      </c>
      <c r="C1679" s="8" t="s">
        <v>21</v>
      </c>
      <c r="D1679" s="8" t="str">
        <f>"林树成"</f>
        <v>林树成</v>
      </c>
      <c r="E1679" s="8" t="str">
        <f t="shared" si="221"/>
        <v>男</v>
      </c>
    </row>
    <row r="1680" spans="1:5" ht="30" customHeight="1">
      <c r="A1680" s="8">
        <v>1677</v>
      </c>
      <c r="B1680" s="8" t="str">
        <f>"38492022042210002031430"</f>
        <v>38492022042210002031430</v>
      </c>
      <c r="C1680" s="8" t="s">
        <v>21</v>
      </c>
      <c r="D1680" s="8" t="str">
        <f>"王子樱"</f>
        <v>王子樱</v>
      </c>
      <c r="E1680" s="8" t="str">
        <f aca="true" t="shared" si="222" ref="E1680:E1684">"女"</f>
        <v>女</v>
      </c>
    </row>
    <row r="1681" spans="1:5" ht="30" customHeight="1">
      <c r="A1681" s="8">
        <v>1678</v>
      </c>
      <c r="B1681" s="8" t="str">
        <f>"38492022042210035831449"</f>
        <v>38492022042210035831449</v>
      </c>
      <c r="C1681" s="8" t="s">
        <v>21</v>
      </c>
      <c r="D1681" s="8" t="str">
        <f>"黄琳玮"</f>
        <v>黄琳玮</v>
      </c>
      <c r="E1681" s="8" t="str">
        <f t="shared" si="222"/>
        <v>女</v>
      </c>
    </row>
    <row r="1682" spans="1:5" ht="30" customHeight="1">
      <c r="A1682" s="8">
        <v>1679</v>
      </c>
      <c r="B1682" s="8" t="str">
        <f>"38492022042210041431452"</f>
        <v>38492022042210041431452</v>
      </c>
      <c r="C1682" s="8" t="s">
        <v>21</v>
      </c>
      <c r="D1682" s="8" t="str">
        <f>"李博"</f>
        <v>李博</v>
      </c>
      <c r="E1682" s="8" t="str">
        <f aca="true" t="shared" si="223" ref="E1682:E1685">"男"</f>
        <v>男</v>
      </c>
    </row>
    <row r="1683" spans="1:5" ht="30" customHeight="1">
      <c r="A1683" s="8">
        <v>1680</v>
      </c>
      <c r="B1683" s="8" t="str">
        <f>"38492022042210083231475"</f>
        <v>38492022042210083231475</v>
      </c>
      <c r="C1683" s="8" t="s">
        <v>21</v>
      </c>
      <c r="D1683" s="8" t="str">
        <f>"周政卓"</f>
        <v>周政卓</v>
      </c>
      <c r="E1683" s="8" t="str">
        <f t="shared" si="223"/>
        <v>男</v>
      </c>
    </row>
    <row r="1684" spans="1:5" ht="30" customHeight="1">
      <c r="A1684" s="8">
        <v>1681</v>
      </c>
      <c r="B1684" s="8" t="str">
        <f>"38492022042210095831487"</f>
        <v>38492022042210095831487</v>
      </c>
      <c r="C1684" s="8" t="s">
        <v>21</v>
      </c>
      <c r="D1684" s="8" t="str">
        <f>"张露瑜"</f>
        <v>张露瑜</v>
      </c>
      <c r="E1684" s="8" t="str">
        <f t="shared" si="222"/>
        <v>女</v>
      </c>
    </row>
    <row r="1685" spans="1:5" ht="30" customHeight="1">
      <c r="A1685" s="8">
        <v>1682</v>
      </c>
      <c r="B1685" s="8" t="str">
        <f>"38492022042210130731517"</f>
        <v>38492022042210130731517</v>
      </c>
      <c r="C1685" s="8" t="s">
        <v>21</v>
      </c>
      <c r="D1685" s="8" t="str">
        <f>"符学颖"</f>
        <v>符学颖</v>
      </c>
      <c r="E1685" s="8" t="str">
        <f t="shared" si="223"/>
        <v>男</v>
      </c>
    </row>
    <row r="1686" spans="1:5" ht="30" customHeight="1">
      <c r="A1686" s="8">
        <v>1683</v>
      </c>
      <c r="B1686" s="8" t="str">
        <f>"38492022042210201131572"</f>
        <v>38492022042210201131572</v>
      </c>
      <c r="C1686" s="8" t="s">
        <v>21</v>
      </c>
      <c r="D1686" s="8" t="str">
        <f>"符乃凤"</f>
        <v>符乃凤</v>
      </c>
      <c r="E1686" s="8" t="str">
        <f aca="true" t="shared" si="224" ref="E1686:E1688">"女"</f>
        <v>女</v>
      </c>
    </row>
    <row r="1687" spans="1:5" ht="30" customHeight="1">
      <c r="A1687" s="8">
        <v>1684</v>
      </c>
      <c r="B1687" s="8" t="str">
        <f>"38492022042210202231573"</f>
        <v>38492022042210202231573</v>
      </c>
      <c r="C1687" s="8" t="s">
        <v>21</v>
      </c>
      <c r="D1687" s="8" t="str">
        <f>"刘雯馨"</f>
        <v>刘雯馨</v>
      </c>
      <c r="E1687" s="8" t="str">
        <f t="shared" si="224"/>
        <v>女</v>
      </c>
    </row>
    <row r="1688" spans="1:5" ht="30" customHeight="1">
      <c r="A1688" s="8">
        <v>1685</v>
      </c>
      <c r="B1688" s="8" t="str">
        <f>"38492022042210203231574"</f>
        <v>38492022042210203231574</v>
      </c>
      <c r="C1688" s="8" t="s">
        <v>21</v>
      </c>
      <c r="D1688" s="8" t="str">
        <f>"麦玉梅"</f>
        <v>麦玉梅</v>
      </c>
      <c r="E1688" s="8" t="str">
        <f t="shared" si="224"/>
        <v>女</v>
      </c>
    </row>
    <row r="1689" spans="1:5" ht="30" customHeight="1">
      <c r="A1689" s="8">
        <v>1686</v>
      </c>
      <c r="B1689" s="8" t="str">
        <f>"38492022042210210731577"</f>
        <v>38492022042210210731577</v>
      </c>
      <c r="C1689" s="8" t="s">
        <v>21</v>
      </c>
      <c r="D1689" s="8" t="str">
        <f>"黎琼博"</f>
        <v>黎琼博</v>
      </c>
      <c r="E1689" s="8" t="str">
        <f aca="true" t="shared" si="225" ref="E1689:E1694">"男"</f>
        <v>男</v>
      </c>
    </row>
    <row r="1690" spans="1:5" ht="30" customHeight="1">
      <c r="A1690" s="8">
        <v>1687</v>
      </c>
      <c r="B1690" s="8" t="str">
        <f>"38492022042210252631606"</f>
        <v>38492022042210252631606</v>
      </c>
      <c r="C1690" s="8" t="s">
        <v>21</v>
      </c>
      <c r="D1690" s="8" t="str">
        <f>"陆俊嘉"</f>
        <v>陆俊嘉</v>
      </c>
      <c r="E1690" s="8" t="str">
        <f aca="true" t="shared" si="226" ref="E1690:E1692">"女"</f>
        <v>女</v>
      </c>
    </row>
    <row r="1691" spans="1:5" ht="30" customHeight="1">
      <c r="A1691" s="8">
        <v>1688</v>
      </c>
      <c r="B1691" s="8" t="str">
        <f>"38492022042210271431617"</f>
        <v>38492022042210271431617</v>
      </c>
      <c r="C1691" s="8" t="s">
        <v>21</v>
      </c>
      <c r="D1691" s="8" t="str">
        <f>"张峥"</f>
        <v>张峥</v>
      </c>
      <c r="E1691" s="8" t="str">
        <f t="shared" si="226"/>
        <v>女</v>
      </c>
    </row>
    <row r="1692" spans="1:5" ht="30" customHeight="1">
      <c r="A1692" s="8">
        <v>1689</v>
      </c>
      <c r="B1692" s="8" t="str">
        <f>"38492022042210283731626"</f>
        <v>38492022042210283731626</v>
      </c>
      <c r="C1692" s="8" t="s">
        <v>21</v>
      </c>
      <c r="D1692" s="8" t="str">
        <f>"符智妹"</f>
        <v>符智妹</v>
      </c>
      <c r="E1692" s="8" t="str">
        <f t="shared" si="226"/>
        <v>女</v>
      </c>
    </row>
    <row r="1693" spans="1:5" ht="30" customHeight="1">
      <c r="A1693" s="8">
        <v>1690</v>
      </c>
      <c r="B1693" s="8" t="str">
        <f>"38492022042210321231642"</f>
        <v>38492022042210321231642</v>
      </c>
      <c r="C1693" s="8" t="s">
        <v>21</v>
      </c>
      <c r="D1693" s="8" t="str">
        <f>"吴毅"</f>
        <v>吴毅</v>
      </c>
      <c r="E1693" s="8" t="str">
        <f t="shared" si="225"/>
        <v>男</v>
      </c>
    </row>
    <row r="1694" spans="1:5" ht="30" customHeight="1">
      <c r="A1694" s="8">
        <v>1691</v>
      </c>
      <c r="B1694" s="8" t="str">
        <f>"38492022042210391831684"</f>
        <v>38492022042210391831684</v>
      </c>
      <c r="C1694" s="8" t="s">
        <v>21</v>
      </c>
      <c r="D1694" s="8" t="str">
        <f>"王炬登"</f>
        <v>王炬登</v>
      </c>
      <c r="E1694" s="8" t="str">
        <f t="shared" si="225"/>
        <v>男</v>
      </c>
    </row>
    <row r="1695" spans="1:5" ht="30" customHeight="1">
      <c r="A1695" s="8">
        <v>1692</v>
      </c>
      <c r="B1695" s="8" t="str">
        <f>"38492022042210414631702"</f>
        <v>38492022042210414631702</v>
      </c>
      <c r="C1695" s="8" t="s">
        <v>21</v>
      </c>
      <c r="D1695" s="8" t="str">
        <f>"陈秋平"</f>
        <v>陈秋平</v>
      </c>
      <c r="E1695" s="8" t="str">
        <f aca="true" t="shared" si="227" ref="E1695:E1698">"女"</f>
        <v>女</v>
      </c>
    </row>
    <row r="1696" spans="1:5" ht="30" customHeight="1">
      <c r="A1696" s="8">
        <v>1693</v>
      </c>
      <c r="B1696" s="8" t="str">
        <f>"38492022042210421831705"</f>
        <v>38492022042210421831705</v>
      </c>
      <c r="C1696" s="8" t="s">
        <v>21</v>
      </c>
      <c r="D1696" s="8" t="str">
        <f>"李华曦"</f>
        <v>李华曦</v>
      </c>
      <c r="E1696" s="8" t="str">
        <f t="shared" si="227"/>
        <v>女</v>
      </c>
    </row>
    <row r="1697" spans="1:5" ht="30" customHeight="1">
      <c r="A1697" s="8">
        <v>1694</v>
      </c>
      <c r="B1697" s="8" t="str">
        <f>"38492022042210441231719"</f>
        <v>38492022042210441231719</v>
      </c>
      <c r="C1697" s="8" t="s">
        <v>21</v>
      </c>
      <c r="D1697" s="8" t="str">
        <f>"张慧"</f>
        <v>张慧</v>
      </c>
      <c r="E1697" s="8" t="str">
        <f t="shared" si="227"/>
        <v>女</v>
      </c>
    </row>
    <row r="1698" spans="1:5" ht="30" customHeight="1">
      <c r="A1698" s="8">
        <v>1695</v>
      </c>
      <c r="B1698" s="8" t="str">
        <f>"38492022042210455431735"</f>
        <v>38492022042210455431735</v>
      </c>
      <c r="C1698" s="8" t="s">
        <v>21</v>
      </c>
      <c r="D1698" s="8" t="str">
        <f>"符盛铱"</f>
        <v>符盛铱</v>
      </c>
      <c r="E1698" s="8" t="str">
        <f t="shared" si="227"/>
        <v>女</v>
      </c>
    </row>
    <row r="1699" spans="1:5" ht="30" customHeight="1">
      <c r="A1699" s="8">
        <v>1696</v>
      </c>
      <c r="B1699" s="8" t="str">
        <f>"38492022042210462131738"</f>
        <v>38492022042210462131738</v>
      </c>
      <c r="C1699" s="8" t="s">
        <v>21</v>
      </c>
      <c r="D1699" s="8" t="str">
        <f>"陈奕"</f>
        <v>陈奕</v>
      </c>
      <c r="E1699" s="8" t="str">
        <f aca="true" t="shared" si="228" ref="E1699:E1703">"男"</f>
        <v>男</v>
      </c>
    </row>
    <row r="1700" spans="1:5" ht="30" customHeight="1">
      <c r="A1700" s="8">
        <v>1697</v>
      </c>
      <c r="B1700" s="8" t="str">
        <f>"38492022042210473331745"</f>
        <v>38492022042210473331745</v>
      </c>
      <c r="C1700" s="8" t="s">
        <v>21</v>
      </c>
      <c r="D1700" s="8" t="str">
        <f>"关海强"</f>
        <v>关海强</v>
      </c>
      <c r="E1700" s="8" t="str">
        <f t="shared" si="228"/>
        <v>男</v>
      </c>
    </row>
    <row r="1701" spans="1:5" ht="30" customHeight="1">
      <c r="A1701" s="8">
        <v>1698</v>
      </c>
      <c r="B1701" s="8" t="str">
        <f>"38492022042210474131748"</f>
        <v>38492022042210474131748</v>
      </c>
      <c r="C1701" s="8" t="s">
        <v>21</v>
      </c>
      <c r="D1701" s="8" t="str">
        <f>"郑妍"</f>
        <v>郑妍</v>
      </c>
      <c r="E1701" s="8" t="str">
        <f aca="true" t="shared" si="229" ref="E1701:E1704">"女"</f>
        <v>女</v>
      </c>
    </row>
    <row r="1702" spans="1:5" ht="30" customHeight="1">
      <c r="A1702" s="8">
        <v>1699</v>
      </c>
      <c r="B1702" s="8" t="str">
        <f>"38492022042210482631752"</f>
        <v>38492022042210482631752</v>
      </c>
      <c r="C1702" s="8" t="s">
        <v>21</v>
      </c>
      <c r="D1702" s="8" t="str">
        <f>"谭翮"</f>
        <v>谭翮</v>
      </c>
      <c r="E1702" s="8" t="str">
        <f t="shared" si="229"/>
        <v>女</v>
      </c>
    </row>
    <row r="1703" spans="1:5" ht="30" customHeight="1">
      <c r="A1703" s="8">
        <v>1700</v>
      </c>
      <c r="B1703" s="8" t="str">
        <f>"38492022042210483831756"</f>
        <v>38492022042210483831756</v>
      </c>
      <c r="C1703" s="8" t="s">
        <v>21</v>
      </c>
      <c r="D1703" s="8" t="str">
        <f>"吉学凯"</f>
        <v>吉学凯</v>
      </c>
      <c r="E1703" s="8" t="str">
        <f t="shared" si="228"/>
        <v>男</v>
      </c>
    </row>
    <row r="1704" spans="1:5" ht="30" customHeight="1">
      <c r="A1704" s="8">
        <v>1701</v>
      </c>
      <c r="B1704" s="8" t="str">
        <f>"38492022042210490931758"</f>
        <v>38492022042210490931758</v>
      </c>
      <c r="C1704" s="8" t="s">
        <v>21</v>
      </c>
      <c r="D1704" s="8" t="str">
        <f>"伍彩艳"</f>
        <v>伍彩艳</v>
      </c>
      <c r="E1704" s="8" t="str">
        <f t="shared" si="229"/>
        <v>女</v>
      </c>
    </row>
    <row r="1705" spans="1:5" ht="30" customHeight="1">
      <c r="A1705" s="8">
        <v>1702</v>
      </c>
      <c r="B1705" s="8" t="str">
        <f>"38492022042210513231769"</f>
        <v>38492022042210513231769</v>
      </c>
      <c r="C1705" s="8" t="s">
        <v>21</v>
      </c>
      <c r="D1705" s="8" t="str">
        <f>"李善良"</f>
        <v>李善良</v>
      </c>
      <c r="E1705" s="8" t="str">
        <f aca="true" t="shared" si="230" ref="E1705:E1707">"男"</f>
        <v>男</v>
      </c>
    </row>
    <row r="1706" spans="1:5" ht="30" customHeight="1">
      <c r="A1706" s="8">
        <v>1703</v>
      </c>
      <c r="B1706" s="8" t="str">
        <f>"38492022042210535431776"</f>
        <v>38492022042210535431776</v>
      </c>
      <c r="C1706" s="8" t="s">
        <v>21</v>
      </c>
      <c r="D1706" s="8" t="str">
        <f>"黎汉彬"</f>
        <v>黎汉彬</v>
      </c>
      <c r="E1706" s="8" t="str">
        <f t="shared" si="230"/>
        <v>男</v>
      </c>
    </row>
    <row r="1707" spans="1:5" ht="30" customHeight="1">
      <c r="A1707" s="8">
        <v>1704</v>
      </c>
      <c r="B1707" s="8" t="str">
        <f>"38492022042210544331779"</f>
        <v>38492022042210544331779</v>
      </c>
      <c r="C1707" s="8" t="s">
        <v>21</v>
      </c>
      <c r="D1707" s="8" t="str">
        <f>"杜坤斌"</f>
        <v>杜坤斌</v>
      </c>
      <c r="E1707" s="8" t="str">
        <f t="shared" si="230"/>
        <v>男</v>
      </c>
    </row>
    <row r="1708" spans="1:5" ht="30" customHeight="1">
      <c r="A1708" s="8">
        <v>1705</v>
      </c>
      <c r="B1708" s="8" t="str">
        <f>"38492022042210544631780"</f>
        <v>38492022042210544631780</v>
      </c>
      <c r="C1708" s="8" t="s">
        <v>21</v>
      </c>
      <c r="D1708" s="8" t="str">
        <f>"林成花"</f>
        <v>林成花</v>
      </c>
      <c r="E1708" s="8" t="str">
        <f aca="true" t="shared" si="231" ref="E1708:E1710">"女"</f>
        <v>女</v>
      </c>
    </row>
    <row r="1709" spans="1:5" ht="30" customHeight="1">
      <c r="A1709" s="8">
        <v>1706</v>
      </c>
      <c r="B1709" s="8" t="str">
        <f>"38492022042210551231783"</f>
        <v>38492022042210551231783</v>
      </c>
      <c r="C1709" s="8" t="s">
        <v>21</v>
      </c>
      <c r="D1709" s="8" t="str">
        <f>"李吉金"</f>
        <v>李吉金</v>
      </c>
      <c r="E1709" s="8" t="str">
        <f t="shared" si="231"/>
        <v>女</v>
      </c>
    </row>
    <row r="1710" spans="1:5" ht="30" customHeight="1">
      <c r="A1710" s="8">
        <v>1707</v>
      </c>
      <c r="B1710" s="8" t="str">
        <f>"38492022042210561631793"</f>
        <v>38492022042210561631793</v>
      </c>
      <c r="C1710" s="8" t="s">
        <v>21</v>
      </c>
      <c r="D1710" s="8" t="str">
        <f>"姚宇茜"</f>
        <v>姚宇茜</v>
      </c>
      <c r="E1710" s="8" t="str">
        <f t="shared" si="231"/>
        <v>女</v>
      </c>
    </row>
    <row r="1711" spans="1:5" ht="30" customHeight="1">
      <c r="A1711" s="8">
        <v>1708</v>
      </c>
      <c r="B1711" s="8" t="str">
        <f>"38492022042211000331814"</f>
        <v>38492022042211000331814</v>
      </c>
      <c r="C1711" s="8" t="s">
        <v>21</v>
      </c>
      <c r="D1711" s="8" t="str">
        <f>"李永多"</f>
        <v>李永多</v>
      </c>
      <c r="E1711" s="8" t="str">
        <f aca="true" t="shared" si="232" ref="E1711:E1714">"男"</f>
        <v>男</v>
      </c>
    </row>
    <row r="1712" spans="1:5" ht="30" customHeight="1">
      <c r="A1712" s="8">
        <v>1709</v>
      </c>
      <c r="B1712" s="8" t="str">
        <f>"38492022042211003231817"</f>
        <v>38492022042211003231817</v>
      </c>
      <c r="C1712" s="8" t="s">
        <v>21</v>
      </c>
      <c r="D1712" s="8" t="str">
        <f>"吴乾旺"</f>
        <v>吴乾旺</v>
      </c>
      <c r="E1712" s="8" t="str">
        <f t="shared" si="232"/>
        <v>男</v>
      </c>
    </row>
    <row r="1713" spans="1:5" ht="30" customHeight="1">
      <c r="A1713" s="8">
        <v>1710</v>
      </c>
      <c r="B1713" s="8" t="str">
        <f>"38492022042211032931829"</f>
        <v>38492022042211032931829</v>
      </c>
      <c r="C1713" s="8" t="s">
        <v>21</v>
      </c>
      <c r="D1713" s="8" t="str">
        <f>"吴石桃"</f>
        <v>吴石桃</v>
      </c>
      <c r="E1713" s="8" t="str">
        <f aca="true" t="shared" si="233" ref="E1713:E1716">"女"</f>
        <v>女</v>
      </c>
    </row>
    <row r="1714" spans="1:5" ht="30" customHeight="1">
      <c r="A1714" s="8">
        <v>1711</v>
      </c>
      <c r="B1714" s="8" t="str">
        <f>"38492022042211035531831"</f>
        <v>38492022042211035531831</v>
      </c>
      <c r="C1714" s="8" t="s">
        <v>21</v>
      </c>
      <c r="D1714" s="8" t="str">
        <f>"王楷"</f>
        <v>王楷</v>
      </c>
      <c r="E1714" s="8" t="str">
        <f t="shared" si="232"/>
        <v>男</v>
      </c>
    </row>
    <row r="1715" spans="1:5" ht="30" customHeight="1">
      <c r="A1715" s="8">
        <v>1712</v>
      </c>
      <c r="B1715" s="8" t="str">
        <f>"38492022042211103531868"</f>
        <v>38492022042211103531868</v>
      </c>
      <c r="C1715" s="8" t="s">
        <v>21</v>
      </c>
      <c r="D1715" s="8" t="str">
        <f>"邢诒美"</f>
        <v>邢诒美</v>
      </c>
      <c r="E1715" s="8" t="str">
        <f t="shared" si="233"/>
        <v>女</v>
      </c>
    </row>
    <row r="1716" spans="1:5" ht="30" customHeight="1">
      <c r="A1716" s="8">
        <v>1713</v>
      </c>
      <c r="B1716" s="8" t="str">
        <f>"38492022042211161631902"</f>
        <v>38492022042211161631902</v>
      </c>
      <c r="C1716" s="8" t="s">
        <v>21</v>
      </c>
      <c r="D1716" s="8" t="str">
        <f>"李国艳"</f>
        <v>李国艳</v>
      </c>
      <c r="E1716" s="8" t="str">
        <f t="shared" si="233"/>
        <v>女</v>
      </c>
    </row>
    <row r="1717" spans="1:5" ht="30" customHeight="1">
      <c r="A1717" s="8">
        <v>1714</v>
      </c>
      <c r="B1717" s="8" t="str">
        <f>"38492022042211165231904"</f>
        <v>38492022042211165231904</v>
      </c>
      <c r="C1717" s="8" t="s">
        <v>21</v>
      </c>
      <c r="D1717" s="8" t="str">
        <f>"羊学光"</f>
        <v>羊学光</v>
      </c>
      <c r="E1717" s="8" t="str">
        <f aca="true" t="shared" si="234" ref="E1717:E1720">"男"</f>
        <v>男</v>
      </c>
    </row>
    <row r="1718" spans="1:5" ht="30" customHeight="1">
      <c r="A1718" s="8">
        <v>1715</v>
      </c>
      <c r="B1718" s="8" t="str">
        <f>"38492022042211191131920"</f>
        <v>38492022042211191131920</v>
      </c>
      <c r="C1718" s="8" t="s">
        <v>21</v>
      </c>
      <c r="D1718" s="8" t="str">
        <f>"吴永嘉"</f>
        <v>吴永嘉</v>
      </c>
      <c r="E1718" s="8" t="str">
        <f t="shared" si="234"/>
        <v>男</v>
      </c>
    </row>
    <row r="1719" spans="1:5" ht="30" customHeight="1">
      <c r="A1719" s="8">
        <v>1716</v>
      </c>
      <c r="B1719" s="8" t="str">
        <f>"38492022042211202032097"</f>
        <v>38492022042211202032097</v>
      </c>
      <c r="C1719" s="8" t="s">
        <v>21</v>
      </c>
      <c r="D1719" s="8" t="str">
        <f>"卢兴豪"</f>
        <v>卢兴豪</v>
      </c>
      <c r="E1719" s="8" t="str">
        <f t="shared" si="234"/>
        <v>男</v>
      </c>
    </row>
    <row r="1720" spans="1:5" ht="30" customHeight="1">
      <c r="A1720" s="8">
        <v>1717</v>
      </c>
      <c r="B1720" s="8" t="str">
        <f>"38492022042211203132100"</f>
        <v>38492022042211203132100</v>
      </c>
      <c r="C1720" s="8" t="s">
        <v>21</v>
      </c>
      <c r="D1720" s="8" t="str">
        <f>"莫业文"</f>
        <v>莫业文</v>
      </c>
      <c r="E1720" s="8" t="str">
        <f t="shared" si="234"/>
        <v>男</v>
      </c>
    </row>
    <row r="1721" spans="1:5" ht="30" customHeight="1">
      <c r="A1721" s="8">
        <v>1718</v>
      </c>
      <c r="B1721" s="8" t="str">
        <f>"38492022042211214432109"</f>
        <v>38492022042211214432109</v>
      </c>
      <c r="C1721" s="8" t="s">
        <v>21</v>
      </c>
      <c r="D1721" s="8" t="str">
        <f>"李小莲"</f>
        <v>李小莲</v>
      </c>
      <c r="E1721" s="8" t="str">
        <f>"女"</f>
        <v>女</v>
      </c>
    </row>
    <row r="1722" spans="1:5" ht="30" customHeight="1">
      <c r="A1722" s="8">
        <v>1719</v>
      </c>
      <c r="B1722" s="8" t="str">
        <f>"38492022042211221332112"</f>
        <v>38492022042211221332112</v>
      </c>
      <c r="C1722" s="8" t="s">
        <v>21</v>
      </c>
      <c r="D1722" s="8" t="str">
        <f>"黄晖"</f>
        <v>黄晖</v>
      </c>
      <c r="E1722" s="8" t="str">
        <f>"女"</f>
        <v>女</v>
      </c>
    </row>
    <row r="1723" spans="1:5" ht="30" customHeight="1">
      <c r="A1723" s="8">
        <v>1720</v>
      </c>
      <c r="B1723" s="8" t="str">
        <f>"38492022042211243532119"</f>
        <v>38492022042211243532119</v>
      </c>
      <c r="C1723" s="8" t="s">
        <v>21</v>
      </c>
      <c r="D1723" s="8" t="str">
        <f>"邢维忠"</f>
        <v>邢维忠</v>
      </c>
      <c r="E1723" s="8" t="str">
        <f aca="true" t="shared" si="235" ref="E1723:E1727">"男"</f>
        <v>男</v>
      </c>
    </row>
    <row r="1724" spans="1:5" ht="30" customHeight="1">
      <c r="A1724" s="8">
        <v>1721</v>
      </c>
      <c r="B1724" s="8" t="str">
        <f>"38492022042211290232136"</f>
        <v>38492022042211290232136</v>
      </c>
      <c r="C1724" s="8" t="s">
        <v>21</v>
      </c>
      <c r="D1724" s="8" t="str">
        <f>"何炳楠"</f>
        <v>何炳楠</v>
      </c>
      <c r="E1724" s="8" t="str">
        <f t="shared" si="235"/>
        <v>男</v>
      </c>
    </row>
    <row r="1725" spans="1:5" ht="30" customHeight="1">
      <c r="A1725" s="8">
        <v>1722</v>
      </c>
      <c r="B1725" s="8" t="str">
        <f>"38492022042211293532140"</f>
        <v>38492022042211293532140</v>
      </c>
      <c r="C1725" s="8" t="s">
        <v>21</v>
      </c>
      <c r="D1725" s="8" t="str">
        <f>"符丰晓"</f>
        <v>符丰晓</v>
      </c>
      <c r="E1725" s="8" t="str">
        <f t="shared" si="235"/>
        <v>男</v>
      </c>
    </row>
    <row r="1726" spans="1:5" ht="30" customHeight="1">
      <c r="A1726" s="8">
        <v>1723</v>
      </c>
      <c r="B1726" s="8" t="str">
        <f>"38492022042211305032145"</f>
        <v>38492022042211305032145</v>
      </c>
      <c r="C1726" s="8" t="s">
        <v>21</v>
      </c>
      <c r="D1726" s="8" t="str">
        <f>"柯维圣"</f>
        <v>柯维圣</v>
      </c>
      <c r="E1726" s="8" t="str">
        <f t="shared" si="235"/>
        <v>男</v>
      </c>
    </row>
    <row r="1727" spans="1:5" ht="30" customHeight="1">
      <c r="A1727" s="8">
        <v>1724</v>
      </c>
      <c r="B1727" s="8" t="str">
        <f>"38492022042211333232326"</f>
        <v>38492022042211333232326</v>
      </c>
      <c r="C1727" s="8" t="s">
        <v>21</v>
      </c>
      <c r="D1727" s="8" t="str">
        <f>"符崇河"</f>
        <v>符崇河</v>
      </c>
      <c r="E1727" s="8" t="str">
        <f t="shared" si="235"/>
        <v>男</v>
      </c>
    </row>
    <row r="1728" spans="1:5" ht="30" customHeight="1">
      <c r="A1728" s="8">
        <v>1725</v>
      </c>
      <c r="B1728" s="8" t="str">
        <f>"38492022042211344632337"</f>
        <v>38492022042211344632337</v>
      </c>
      <c r="C1728" s="8" t="s">
        <v>21</v>
      </c>
      <c r="D1728" s="8" t="str">
        <f>"李慧慧"</f>
        <v>李慧慧</v>
      </c>
      <c r="E1728" s="8" t="str">
        <f>"女"</f>
        <v>女</v>
      </c>
    </row>
    <row r="1729" spans="1:5" ht="30" customHeight="1">
      <c r="A1729" s="8">
        <v>1726</v>
      </c>
      <c r="B1729" s="8" t="str">
        <f>"38492022042211362632349"</f>
        <v>38492022042211362632349</v>
      </c>
      <c r="C1729" s="8" t="s">
        <v>21</v>
      </c>
      <c r="D1729" s="8" t="str">
        <f>"何允续"</f>
        <v>何允续</v>
      </c>
      <c r="E1729" s="8" t="str">
        <f>"女"</f>
        <v>女</v>
      </c>
    </row>
    <row r="1730" spans="1:5" ht="30" customHeight="1">
      <c r="A1730" s="8">
        <v>1727</v>
      </c>
      <c r="B1730" s="8" t="str">
        <f>"38492022042211370632353"</f>
        <v>38492022042211370632353</v>
      </c>
      <c r="C1730" s="8" t="s">
        <v>21</v>
      </c>
      <c r="D1730" s="8" t="str">
        <f>"陈振龙"</f>
        <v>陈振龙</v>
      </c>
      <c r="E1730" s="8" t="str">
        <f aca="true" t="shared" si="236" ref="E1730:E1733">"男"</f>
        <v>男</v>
      </c>
    </row>
    <row r="1731" spans="1:5" ht="30" customHeight="1">
      <c r="A1731" s="8">
        <v>1728</v>
      </c>
      <c r="B1731" s="8" t="str">
        <f>"38492022042211381332355"</f>
        <v>38492022042211381332355</v>
      </c>
      <c r="C1731" s="8" t="s">
        <v>21</v>
      </c>
      <c r="D1731" s="8" t="str">
        <f>"汤锡赛"</f>
        <v>汤锡赛</v>
      </c>
      <c r="E1731" s="8" t="str">
        <f t="shared" si="236"/>
        <v>男</v>
      </c>
    </row>
    <row r="1732" spans="1:5" ht="30" customHeight="1">
      <c r="A1732" s="8">
        <v>1729</v>
      </c>
      <c r="B1732" s="8" t="str">
        <f>"38492022042211384932361"</f>
        <v>38492022042211384932361</v>
      </c>
      <c r="C1732" s="8" t="s">
        <v>21</v>
      </c>
      <c r="D1732" s="8" t="str">
        <f>"王盛洪"</f>
        <v>王盛洪</v>
      </c>
      <c r="E1732" s="8" t="str">
        <f t="shared" si="236"/>
        <v>男</v>
      </c>
    </row>
    <row r="1733" spans="1:5" ht="30" customHeight="1">
      <c r="A1733" s="8">
        <v>1730</v>
      </c>
      <c r="B1733" s="8" t="str">
        <f>"38492022042211412532375"</f>
        <v>38492022042211412532375</v>
      </c>
      <c r="C1733" s="8" t="s">
        <v>21</v>
      </c>
      <c r="D1733" s="8" t="str">
        <f>"罗建华"</f>
        <v>罗建华</v>
      </c>
      <c r="E1733" s="8" t="str">
        <f t="shared" si="236"/>
        <v>男</v>
      </c>
    </row>
    <row r="1734" spans="1:5" ht="30" customHeight="1">
      <c r="A1734" s="8">
        <v>1731</v>
      </c>
      <c r="B1734" s="8" t="str">
        <f>"38492022042211424732382"</f>
        <v>38492022042211424732382</v>
      </c>
      <c r="C1734" s="8" t="s">
        <v>21</v>
      </c>
      <c r="D1734" s="8" t="str">
        <f>"陈春宏"</f>
        <v>陈春宏</v>
      </c>
      <c r="E1734" s="8" t="str">
        <f>"女"</f>
        <v>女</v>
      </c>
    </row>
    <row r="1735" spans="1:5" ht="30" customHeight="1">
      <c r="A1735" s="8">
        <v>1732</v>
      </c>
      <c r="B1735" s="8" t="str">
        <f>"38492022042211461832400"</f>
        <v>38492022042211461832400</v>
      </c>
      <c r="C1735" s="8" t="s">
        <v>21</v>
      </c>
      <c r="D1735" s="8" t="str">
        <f>"王杰昌"</f>
        <v>王杰昌</v>
      </c>
      <c r="E1735" s="8" t="str">
        <f aca="true" t="shared" si="237" ref="E1735:E1739">"男"</f>
        <v>男</v>
      </c>
    </row>
    <row r="1736" spans="1:5" ht="30" customHeight="1">
      <c r="A1736" s="8">
        <v>1733</v>
      </c>
      <c r="B1736" s="8" t="str">
        <f>"38492022042211485332409"</f>
        <v>38492022042211485332409</v>
      </c>
      <c r="C1736" s="8" t="s">
        <v>21</v>
      </c>
      <c r="D1736" s="8" t="str">
        <f>"孙玲芝"</f>
        <v>孙玲芝</v>
      </c>
      <c r="E1736" s="8" t="str">
        <f>"女"</f>
        <v>女</v>
      </c>
    </row>
    <row r="1737" spans="1:5" ht="30" customHeight="1">
      <c r="A1737" s="8">
        <v>1734</v>
      </c>
      <c r="B1737" s="8" t="str">
        <f>"38492022042211530432426"</f>
        <v>38492022042211530432426</v>
      </c>
      <c r="C1737" s="8" t="s">
        <v>21</v>
      </c>
      <c r="D1737" s="8" t="str">
        <f>"林冠宏"</f>
        <v>林冠宏</v>
      </c>
      <c r="E1737" s="8" t="str">
        <f t="shared" si="237"/>
        <v>男</v>
      </c>
    </row>
    <row r="1738" spans="1:5" ht="30" customHeight="1">
      <c r="A1738" s="8">
        <v>1735</v>
      </c>
      <c r="B1738" s="8" t="str">
        <f>"38492022042211560132437"</f>
        <v>38492022042211560132437</v>
      </c>
      <c r="C1738" s="8" t="s">
        <v>21</v>
      </c>
      <c r="D1738" s="8" t="str">
        <f>"黄卫立"</f>
        <v>黄卫立</v>
      </c>
      <c r="E1738" s="8" t="str">
        <f t="shared" si="237"/>
        <v>男</v>
      </c>
    </row>
    <row r="1739" spans="1:5" ht="30" customHeight="1">
      <c r="A1739" s="8">
        <v>1736</v>
      </c>
      <c r="B1739" s="8" t="str">
        <f>"38492022042212110032487"</f>
        <v>38492022042212110032487</v>
      </c>
      <c r="C1739" s="8" t="s">
        <v>21</v>
      </c>
      <c r="D1739" s="8" t="str">
        <f>"刘传鹏"</f>
        <v>刘传鹏</v>
      </c>
      <c r="E1739" s="8" t="str">
        <f t="shared" si="237"/>
        <v>男</v>
      </c>
    </row>
    <row r="1740" spans="1:5" ht="30" customHeight="1">
      <c r="A1740" s="8">
        <v>1737</v>
      </c>
      <c r="B1740" s="8" t="str">
        <f>"38492022042212121832494"</f>
        <v>38492022042212121832494</v>
      </c>
      <c r="C1740" s="8" t="s">
        <v>21</v>
      </c>
      <c r="D1740" s="8" t="str">
        <f>"谢小虹"</f>
        <v>谢小虹</v>
      </c>
      <c r="E1740" s="8" t="str">
        <f aca="true" t="shared" si="238" ref="E1740:E1745">"女"</f>
        <v>女</v>
      </c>
    </row>
    <row r="1741" spans="1:5" ht="30" customHeight="1">
      <c r="A1741" s="8">
        <v>1738</v>
      </c>
      <c r="B1741" s="8" t="str">
        <f>"38492022042212183732521"</f>
        <v>38492022042212183732521</v>
      </c>
      <c r="C1741" s="8" t="s">
        <v>21</v>
      </c>
      <c r="D1741" s="8" t="str">
        <f>"柯家良"</f>
        <v>柯家良</v>
      </c>
      <c r="E1741" s="8" t="str">
        <f aca="true" t="shared" si="239" ref="E1741:E1744">"男"</f>
        <v>男</v>
      </c>
    </row>
    <row r="1742" spans="1:5" ht="30" customHeight="1">
      <c r="A1742" s="8">
        <v>1739</v>
      </c>
      <c r="B1742" s="8" t="str">
        <f>"38492022042212202032533"</f>
        <v>38492022042212202032533</v>
      </c>
      <c r="C1742" s="8" t="s">
        <v>21</v>
      </c>
      <c r="D1742" s="8" t="str">
        <f>"王茹倩"</f>
        <v>王茹倩</v>
      </c>
      <c r="E1742" s="8" t="str">
        <f t="shared" si="238"/>
        <v>女</v>
      </c>
    </row>
    <row r="1743" spans="1:5" ht="30" customHeight="1">
      <c r="A1743" s="8">
        <v>1740</v>
      </c>
      <c r="B1743" s="8" t="str">
        <f>"38492022042212214132537"</f>
        <v>38492022042212214132537</v>
      </c>
      <c r="C1743" s="8" t="s">
        <v>21</v>
      </c>
      <c r="D1743" s="8" t="str">
        <f>"于晓成"</f>
        <v>于晓成</v>
      </c>
      <c r="E1743" s="8" t="str">
        <f t="shared" si="239"/>
        <v>男</v>
      </c>
    </row>
    <row r="1744" spans="1:5" ht="30" customHeight="1">
      <c r="A1744" s="8">
        <v>1741</v>
      </c>
      <c r="B1744" s="8" t="str">
        <f>"38492022042212224532539"</f>
        <v>38492022042212224532539</v>
      </c>
      <c r="C1744" s="8" t="s">
        <v>21</v>
      </c>
      <c r="D1744" s="8" t="str">
        <f>"陈宇"</f>
        <v>陈宇</v>
      </c>
      <c r="E1744" s="8" t="str">
        <f t="shared" si="239"/>
        <v>男</v>
      </c>
    </row>
    <row r="1745" spans="1:5" ht="30" customHeight="1">
      <c r="A1745" s="8">
        <v>1742</v>
      </c>
      <c r="B1745" s="8" t="str">
        <f>"38492022042212250532547"</f>
        <v>38492022042212250532547</v>
      </c>
      <c r="C1745" s="8" t="s">
        <v>21</v>
      </c>
      <c r="D1745" s="8" t="str">
        <f>"李红杏"</f>
        <v>李红杏</v>
      </c>
      <c r="E1745" s="8" t="str">
        <f t="shared" si="238"/>
        <v>女</v>
      </c>
    </row>
    <row r="1746" spans="1:5" ht="30" customHeight="1">
      <c r="A1746" s="8">
        <v>1743</v>
      </c>
      <c r="B1746" s="8" t="str">
        <f>"38492022042212271232554"</f>
        <v>38492022042212271232554</v>
      </c>
      <c r="C1746" s="8" t="s">
        <v>21</v>
      </c>
      <c r="D1746" s="8" t="str">
        <f>"林绍龙"</f>
        <v>林绍龙</v>
      </c>
      <c r="E1746" s="8" t="str">
        <f aca="true" t="shared" si="240" ref="E1746:E1750">"男"</f>
        <v>男</v>
      </c>
    </row>
    <row r="1747" spans="1:5" ht="30" customHeight="1">
      <c r="A1747" s="8">
        <v>1744</v>
      </c>
      <c r="B1747" s="8" t="str">
        <f>"38492022042212310732568"</f>
        <v>38492022042212310732568</v>
      </c>
      <c r="C1747" s="8" t="s">
        <v>21</v>
      </c>
      <c r="D1747" s="8" t="str">
        <f>"王梅侠"</f>
        <v>王梅侠</v>
      </c>
      <c r="E1747" s="8" t="str">
        <f aca="true" t="shared" si="241" ref="E1747:E1756">"女"</f>
        <v>女</v>
      </c>
    </row>
    <row r="1748" spans="1:5" ht="30" customHeight="1">
      <c r="A1748" s="8">
        <v>1745</v>
      </c>
      <c r="B1748" s="8" t="str">
        <f>"38492022042212313032569"</f>
        <v>38492022042212313032569</v>
      </c>
      <c r="C1748" s="8" t="s">
        <v>21</v>
      </c>
      <c r="D1748" s="8" t="str">
        <f>"林瑞富"</f>
        <v>林瑞富</v>
      </c>
      <c r="E1748" s="8" t="str">
        <f t="shared" si="240"/>
        <v>男</v>
      </c>
    </row>
    <row r="1749" spans="1:5" ht="30" customHeight="1">
      <c r="A1749" s="8">
        <v>1746</v>
      </c>
      <c r="B1749" s="8" t="str">
        <f>"38492022042212323532581"</f>
        <v>38492022042212323532581</v>
      </c>
      <c r="C1749" s="8" t="s">
        <v>21</v>
      </c>
      <c r="D1749" s="8" t="str">
        <f>"张博莲"</f>
        <v>张博莲</v>
      </c>
      <c r="E1749" s="8" t="str">
        <f t="shared" si="241"/>
        <v>女</v>
      </c>
    </row>
    <row r="1750" spans="1:5" ht="30" customHeight="1">
      <c r="A1750" s="8">
        <v>1747</v>
      </c>
      <c r="B1750" s="8" t="str">
        <f>"38492022042212392232607"</f>
        <v>38492022042212392232607</v>
      </c>
      <c r="C1750" s="8" t="s">
        <v>21</v>
      </c>
      <c r="D1750" s="8" t="str">
        <f>"覃俊文"</f>
        <v>覃俊文</v>
      </c>
      <c r="E1750" s="8" t="str">
        <f t="shared" si="240"/>
        <v>男</v>
      </c>
    </row>
    <row r="1751" spans="1:5" ht="30" customHeight="1">
      <c r="A1751" s="8">
        <v>1748</v>
      </c>
      <c r="B1751" s="8" t="str">
        <f>"38492022042212411232616"</f>
        <v>38492022042212411232616</v>
      </c>
      <c r="C1751" s="8" t="s">
        <v>21</v>
      </c>
      <c r="D1751" s="8" t="str">
        <f>"张红卫"</f>
        <v>张红卫</v>
      </c>
      <c r="E1751" s="8" t="str">
        <f t="shared" si="241"/>
        <v>女</v>
      </c>
    </row>
    <row r="1752" spans="1:5" ht="30" customHeight="1">
      <c r="A1752" s="8">
        <v>1749</v>
      </c>
      <c r="B1752" s="8" t="str">
        <f>"38492022042212424032620"</f>
        <v>38492022042212424032620</v>
      </c>
      <c r="C1752" s="8" t="s">
        <v>21</v>
      </c>
      <c r="D1752" s="8" t="str">
        <f>"吴建爱"</f>
        <v>吴建爱</v>
      </c>
      <c r="E1752" s="8" t="str">
        <f t="shared" si="241"/>
        <v>女</v>
      </c>
    </row>
    <row r="1753" spans="1:5" ht="30" customHeight="1">
      <c r="A1753" s="8">
        <v>1750</v>
      </c>
      <c r="B1753" s="8" t="str">
        <f>"38492022042212424032621"</f>
        <v>38492022042212424032621</v>
      </c>
      <c r="C1753" s="8" t="s">
        <v>21</v>
      </c>
      <c r="D1753" s="8" t="str">
        <f>"陈玉丽"</f>
        <v>陈玉丽</v>
      </c>
      <c r="E1753" s="8" t="str">
        <f t="shared" si="241"/>
        <v>女</v>
      </c>
    </row>
    <row r="1754" spans="1:5" ht="30" customHeight="1">
      <c r="A1754" s="8">
        <v>1751</v>
      </c>
      <c r="B1754" s="8" t="str">
        <f>"38492022042212450232633"</f>
        <v>38492022042212450232633</v>
      </c>
      <c r="C1754" s="8" t="s">
        <v>21</v>
      </c>
      <c r="D1754" s="8" t="str">
        <f>"陈翠娟"</f>
        <v>陈翠娟</v>
      </c>
      <c r="E1754" s="8" t="str">
        <f t="shared" si="241"/>
        <v>女</v>
      </c>
    </row>
    <row r="1755" spans="1:5" ht="30" customHeight="1">
      <c r="A1755" s="8">
        <v>1752</v>
      </c>
      <c r="B1755" s="8" t="str">
        <f>"38492022042212571732674"</f>
        <v>38492022042212571732674</v>
      </c>
      <c r="C1755" s="8" t="s">
        <v>21</v>
      </c>
      <c r="D1755" s="8" t="str">
        <f>"吴送婉"</f>
        <v>吴送婉</v>
      </c>
      <c r="E1755" s="8" t="str">
        <f t="shared" si="241"/>
        <v>女</v>
      </c>
    </row>
    <row r="1756" spans="1:5" ht="30" customHeight="1">
      <c r="A1756" s="8">
        <v>1753</v>
      </c>
      <c r="B1756" s="8" t="str">
        <f>"38492022042212575232679"</f>
        <v>38492022042212575232679</v>
      </c>
      <c r="C1756" s="8" t="s">
        <v>21</v>
      </c>
      <c r="D1756" s="8" t="str">
        <f>"吴采芳"</f>
        <v>吴采芳</v>
      </c>
      <c r="E1756" s="8" t="str">
        <f t="shared" si="241"/>
        <v>女</v>
      </c>
    </row>
    <row r="1757" spans="1:5" ht="30" customHeight="1">
      <c r="A1757" s="8">
        <v>1754</v>
      </c>
      <c r="B1757" s="8" t="str">
        <f>"38492022042213000932692"</f>
        <v>38492022042213000932692</v>
      </c>
      <c r="C1757" s="8" t="s">
        <v>21</v>
      </c>
      <c r="D1757" s="8" t="str">
        <f>"黄冠武"</f>
        <v>黄冠武</v>
      </c>
      <c r="E1757" s="8" t="str">
        <f>"男"</f>
        <v>男</v>
      </c>
    </row>
    <row r="1758" spans="1:5" ht="30" customHeight="1">
      <c r="A1758" s="8">
        <v>1755</v>
      </c>
      <c r="B1758" s="8" t="str">
        <f>"38492022042213040732709"</f>
        <v>38492022042213040732709</v>
      </c>
      <c r="C1758" s="8" t="s">
        <v>21</v>
      </c>
      <c r="D1758" s="8" t="str">
        <f>"黎潘汉"</f>
        <v>黎潘汉</v>
      </c>
      <c r="E1758" s="8" t="str">
        <f>"男"</f>
        <v>男</v>
      </c>
    </row>
    <row r="1759" spans="1:5" ht="30" customHeight="1">
      <c r="A1759" s="8">
        <v>1756</v>
      </c>
      <c r="B1759" s="8" t="str">
        <f>"38492022042213133732744"</f>
        <v>38492022042213133732744</v>
      </c>
      <c r="C1759" s="8" t="s">
        <v>21</v>
      </c>
      <c r="D1759" s="8" t="str">
        <f>"符芸芸"</f>
        <v>符芸芸</v>
      </c>
      <c r="E1759" s="8" t="str">
        <f aca="true" t="shared" si="242" ref="E1759:E1769">"女"</f>
        <v>女</v>
      </c>
    </row>
    <row r="1760" spans="1:5" ht="30" customHeight="1">
      <c r="A1760" s="8">
        <v>1757</v>
      </c>
      <c r="B1760" s="8" t="str">
        <f>"38492022042213135132746"</f>
        <v>38492022042213135132746</v>
      </c>
      <c r="C1760" s="8" t="s">
        <v>21</v>
      </c>
      <c r="D1760" s="8" t="str">
        <f>"田晓雪"</f>
        <v>田晓雪</v>
      </c>
      <c r="E1760" s="8" t="str">
        <f t="shared" si="242"/>
        <v>女</v>
      </c>
    </row>
    <row r="1761" spans="1:5" ht="30" customHeight="1">
      <c r="A1761" s="8">
        <v>1758</v>
      </c>
      <c r="B1761" s="8" t="str">
        <f>"38492022042213150332752"</f>
        <v>38492022042213150332752</v>
      </c>
      <c r="C1761" s="8" t="s">
        <v>21</v>
      </c>
      <c r="D1761" s="8" t="str">
        <f>"吴晶晶"</f>
        <v>吴晶晶</v>
      </c>
      <c r="E1761" s="8" t="str">
        <f t="shared" si="242"/>
        <v>女</v>
      </c>
    </row>
    <row r="1762" spans="1:5" ht="30" customHeight="1">
      <c r="A1762" s="8">
        <v>1759</v>
      </c>
      <c r="B1762" s="8" t="str">
        <f>"38492022042213153132756"</f>
        <v>38492022042213153132756</v>
      </c>
      <c r="C1762" s="8" t="s">
        <v>21</v>
      </c>
      <c r="D1762" s="8" t="str">
        <f>"邢芯莹"</f>
        <v>邢芯莹</v>
      </c>
      <c r="E1762" s="8" t="str">
        <f t="shared" si="242"/>
        <v>女</v>
      </c>
    </row>
    <row r="1763" spans="1:5" ht="30" customHeight="1">
      <c r="A1763" s="8">
        <v>1760</v>
      </c>
      <c r="B1763" s="8" t="str">
        <f>"38492022042213240532788"</f>
        <v>38492022042213240532788</v>
      </c>
      <c r="C1763" s="8" t="s">
        <v>21</v>
      </c>
      <c r="D1763" s="8" t="str">
        <f>"符曾旋"</f>
        <v>符曾旋</v>
      </c>
      <c r="E1763" s="8" t="str">
        <f t="shared" si="242"/>
        <v>女</v>
      </c>
    </row>
    <row r="1764" spans="1:5" ht="30" customHeight="1">
      <c r="A1764" s="8">
        <v>1761</v>
      </c>
      <c r="B1764" s="8" t="str">
        <f>"38492022042213385332830"</f>
        <v>38492022042213385332830</v>
      </c>
      <c r="C1764" s="8" t="s">
        <v>21</v>
      </c>
      <c r="D1764" s="8" t="str">
        <f>"李菁"</f>
        <v>李菁</v>
      </c>
      <c r="E1764" s="8" t="str">
        <f t="shared" si="242"/>
        <v>女</v>
      </c>
    </row>
    <row r="1765" spans="1:5" ht="30" customHeight="1">
      <c r="A1765" s="8">
        <v>1762</v>
      </c>
      <c r="B1765" s="8" t="str">
        <f>"38492022042213471732852"</f>
        <v>38492022042213471732852</v>
      </c>
      <c r="C1765" s="8" t="s">
        <v>21</v>
      </c>
      <c r="D1765" s="8" t="str">
        <f>"吴方花"</f>
        <v>吴方花</v>
      </c>
      <c r="E1765" s="8" t="str">
        <f t="shared" si="242"/>
        <v>女</v>
      </c>
    </row>
    <row r="1766" spans="1:5" ht="30" customHeight="1">
      <c r="A1766" s="8">
        <v>1763</v>
      </c>
      <c r="B1766" s="8" t="str">
        <f>"38492022042214003232898"</f>
        <v>38492022042214003232898</v>
      </c>
      <c r="C1766" s="8" t="s">
        <v>21</v>
      </c>
      <c r="D1766" s="8" t="str">
        <f>"王春蓉"</f>
        <v>王春蓉</v>
      </c>
      <c r="E1766" s="8" t="str">
        <f t="shared" si="242"/>
        <v>女</v>
      </c>
    </row>
    <row r="1767" spans="1:5" ht="30" customHeight="1">
      <c r="A1767" s="8">
        <v>1764</v>
      </c>
      <c r="B1767" s="8" t="str">
        <f>"38492022042214054832917"</f>
        <v>38492022042214054832917</v>
      </c>
      <c r="C1767" s="8" t="s">
        <v>21</v>
      </c>
      <c r="D1767" s="8" t="str">
        <f>"林竹"</f>
        <v>林竹</v>
      </c>
      <c r="E1767" s="8" t="str">
        <f t="shared" si="242"/>
        <v>女</v>
      </c>
    </row>
    <row r="1768" spans="1:5" ht="30" customHeight="1">
      <c r="A1768" s="8">
        <v>1765</v>
      </c>
      <c r="B1768" s="8" t="str">
        <f>"38492022042214164832955"</f>
        <v>38492022042214164832955</v>
      </c>
      <c r="C1768" s="8" t="s">
        <v>21</v>
      </c>
      <c r="D1768" s="8" t="str">
        <f>"王丹丹"</f>
        <v>王丹丹</v>
      </c>
      <c r="E1768" s="8" t="str">
        <f t="shared" si="242"/>
        <v>女</v>
      </c>
    </row>
    <row r="1769" spans="1:5" ht="30" customHeight="1">
      <c r="A1769" s="8">
        <v>1766</v>
      </c>
      <c r="B1769" s="8" t="str">
        <f>"38492022042214235132979"</f>
        <v>38492022042214235132979</v>
      </c>
      <c r="C1769" s="8" t="s">
        <v>21</v>
      </c>
      <c r="D1769" s="8" t="str">
        <f>"符尚晨"</f>
        <v>符尚晨</v>
      </c>
      <c r="E1769" s="8" t="str">
        <f t="shared" si="242"/>
        <v>女</v>
      </c>
    </row>
    <row r="1770" spans="1:5" ht="30" customHeight="1">
      <c r="A1770" s="8">
        <v>1767</v>
      </c>
      <c r="B1770" s="8" t="str">
        <f>"38492022042214245332987"</f>
        <v>38492022042214245332987</v>
      </c>
      <c r="C1770" s="8" t="s">
        <v>21</v>
      </c>
      <c r="D1770" s="8" t="str">
        <f>"吴淑军"</f>
        <v>吴淑军</v>
      </c>
      <c r="E1770" s="8" t="str">
        <f>"男"</f>
        <v>男</v>
      </c>
    </row>
    <row r="1771" spans="1:5" ht="30" customHeight="1">
      <c r="A1771" s="8">
        <v>1768</v>
      </c>
      <c r="B1771" s="8" t="str">
        <f>"38492022042214305733022"</f>
        <v>38492022042214305733022</v>
      </c>
      <c r="C1771" s="8" t="s">
        <v>21</v>
      </c>
      <c r="D1771" s="8" t="str">
        <f>"符舒婷"</f>
        <v>符舒婷</v>
      </c>
      <c r="E1771" s="8" t="str">
        <f aca="true" t="shared" si="243" ref="E1771:E1777">"女"</f>
        <v>女</v>
      </c>
    </row>
    <row r="1772" spans="1:5" ht="30" customHeight="1">
      <c r="A1772" s="8">
        <v>1769</v>
      </c>
      <c r="B1772" s="8" t="str">
        <f>"38492022042214330833028"</f>
        <v>38492022042214330833028</v>
      </c>
      <c r="C1772" s="8" t="s">
        <v>21</v>
      </c>
      <c r="D1772" s="8" t="str">
        <f>"黄威威"</f>
        <v>黄威威</v>
      </c>
      <c r="E1772" s="8" t="str">
        <f>"男"</f>
        <v>男</v>
      </c>
    </row>
    <row r="1773" spans="1:5" ht="30" customHeight="1">
      <c r="A1773" s="8">
        <v>1770</v>
      </c>
      <c r="B1773" s="8" t="str">
        <f>"38492022042214354233041"</f>
        <v>38492022042214354233041</v>
      </c>
      <c r="C1773" s="8" t="s">
        <v>21</v>
      </c>
      <c r="D1773" s="8" t="str">
        <f>"符展婉"</f>
        <v>符展婉</v>
      </c>
      <c r="E1773" s="8" t="str">
        <f t="shared" si="243"/>
        <v>女</v>
      </c>
    </row>
    <row r="1774" spans="1:5" ht="30" customHeight="1">
      <c r="A1774" s="8">
        <v>1771</v>
      </c>
      <c r="B1774" s="8" t="str">
        <f>"38492022042214440233081"</f>
        <v>38492022042214440233081</v>
      </c>
      <c r="C1774" s="8" t="s">
        <v>21</v>
      </c>
      <c r="D1774" s="8" t="str">
        <f>"黄宝珠"</f>
        <v>黄宝珠</v>
      </c>
      <c r="E1774" s="8" t="str">
        <f t="shared" si="243"/>
        <v>女</v>
      </c>
    </row>
    <row r="1775" spans="1:5" ht="30" customHeight="1">
      <c r="A1775" s="8">
        <v>1772</v>
      </c>
      <c r="B1775" s="8" t="str">
        <f>"38492022042214463233094"</f>
        <v>38492022042214463233094</v>
      </c>
      <c r="C1775" s="8" t="s">
        <v>21</v>
      </c>
      <c r="D1775" s="8" t="str">
        <f>"周霞"</f>
        <v>周霞</v>
      </c>
      <c r="E1775" s="8" t="str">
        <f t="shared" si="243"/>
        <v>女</v>
      </c>
    </row>
    <row r="1776" spans="1:5" ht="30" customHeight="1">
      <c r="A1776" s="8">
        <v>1773</v>
      </c>
      <c r="B1776" s="8" t="str">
        <f>"38492022042214543033130"</f>
        <v>38492022042214543033130</v>
      </c>
      <c r="C1776" s="8" t="s">
        <v>21</v>
      </c>
      <c r="D1776" s="8" t="str">
        <f>"邢砚晶"</f>
        <v>邢砚晶</v>
      </c>
      <c r="E1776" s="8" t="str">
        <f t="shared" si="243"/>
        <v>女</v>
      </c>
    </row>
    <row r="1777" spans="1:5" ht="30" customHeight="1">
      <c r="A1777" s="8">
        <v>1774</v>
      </c>
      <c r="B1777" s="8" t="str">
        <f>"38492022042214544133133"</f>
        <v>38492022042214544133133</v>
      </c>
      <c r="C1777" s="8" t="s">
        <v>21</v>
      </c>
      <c r="D1777" s="8" t="str">
        <f>"韩芬"</f>
        <v>韩芬</v>
      </c>
      <c r="E1777" s="8" t="str">
        <f t="shared" si="243"/>
        <v>女</v>
      </c>
    </row>
    <row r="1778" spans="1:5" ht="30" customHeight="1">
      <c r="A1778" s="8">
        <v>1775</v>
      </c>
      <c r="B1778" s="8" t="str">
        <f>"38492022042214553133141"</f>
        <v>38492022042214553133141</v>
      </c>
      <c r="C1778" s="8" t="s">
        <v>21</v>
      </c>
      <c r="D1778" s="8" t="str">
        <f>"吴坤浩"</f>
        <v>吴坤浩</v>
      </c>
      <c r="E1778" s="8" t="str">
        <f aca="true" t="shared" si="244" ref="E1778:E1783">"男"</f>
        <v>男</v>
      </c>
    </row>
    <row r="1779" spans="1:5" ht="30" customHeight="1">
      <c r="A1779" s="8">
        <v>1776</v>
      </c>
      <c r="B1779" s="8" t="str">
        <f>"38492022042214563233147"</f>
        <v>38492022042214563233147</v>
      </c>
      <c r="C1779" s="8" t="s">
        <v>21</v>
      </c>
      <c r="D1779" s="8" t="str">
        <f>"陈春蕾"</f>
        <v>陈春蕾</v>
      </c>
      <c r="E1779" s="8" t="str">
        <f>"女"</f>
        <v>女</v>
      </c>
    </row>
    <row r="1780" spans="1:5" ht="30" customHeight="1">
      <c r="A1780" s="8">
        <v>1777</v>
      </c>
      <c r="B1780" s="8" t="str">
        <f>"38492022042215024233182"</f>
        <v>38492022042215024233182</v>
      </c>
      <c r="C1780" s="8" t="s">
        <v>21</v>
      </c>
      <c r="D1780" s="8" t="str">
        <f>"谢祥国"</f>
        <v>谢祥国</v>
      </c>
      <c r="E1780" s="8" t="str">
        <f t="shared" si="244"/>
        <v>男</v>
      </c>
    </row>
    <row r="1781" spans="1:5" ht="30" customHeight="1">
      <c r="A1781" s="8">
        <v>1778</v>
      </c>
      <c r="B1781" s="8" t="str">
        <f>"38492022042215061233196"</f>
        <v>38492022042215061233196</v>
      </c>
      <c r="C1781" s="8" t="s">
        <v>21</v>
      </c>
      <c r="D1781" s="8" t="str">
        <f>"吴华铭"</f>
        <v>吴华铭</v>
      </c>
      <c r="E1781" s="8" t="str">
        <f t="shared" si="244"/>
        <v>男</v>
      </c>
    </row>
    <row r="1782" spans="1:5" ht="30" customHeight="1">
      <c r="A1782" s="8">
        <v>1779</v>
      </c>
      <c r="B1782" s="8" t="str">
        <f>"38492022042215101333220"</f>
        <v>38492022042215101333220</v>
      </c>
      <c r="C1782" s="8" t="s">
        <v>21</v>
      </c>
      <c r="D1782" s="8" t="str">
        <f>"黄一剑"</f>
        <v>黄一剑</v>
      </c>
      <c r="E1782" s="8" t="str">
        <f t="shared" si="244"/>
        <v>男</v>
      </c>
    </row>
    <row r="1783" spans="1:5" ht="30" customHeight="1">
      <c r="A1783" s="8">
        <v>1780</v>
      </c>
      <c r="B1783" s="8" t="str">
        <f>"38492022042215105633227"</f>
        <v>38492022042215105633227</v>
      </c>
      <c r="C1783" s="8" t="s">
        <v>21</v>
      </c>
      <c r="D1783" s="8" t="str">
        <f>"林师敏"</f>
        <v>林师敏</v>
      </c>
      <c r="E1783" s="8" t="str">
        <f t="shared" si="244"/>
        <v>男</v>
      </c>
    </row>
    <row r="1784" spans="1:5" ht="30" customHeight="1">
      <c r="A1784" s="8">
        <v>1781</v>
      </c>
      <c r="B1784" s="8" t="str">
        <f>"38492022042215155133251"</f>
        <v>38492022042215155133251</v>
      </c>
      <c r="C1784" s="8" t="s">
        <v>21</v>
      </c>
      <c r="D1784" s="8" t="str">
        <f>"王健汝"</f>
        <v>王健汝</v>
      </c>
      <c r="E1784" s="8" t="str">
        <f aca="true" t="shared" si="245" ref="E1784:E1791">"女"</f>
        <v>女</v>
      </c>
    </row>
    <row r="1785" spans="1:5" ht="30" customHeight="1">
      <c r="A1785" s="8">
        <v>1782</v>
      </c>
      <c r="B1785" s="8" t="str">
        <f>"38492022042215161133253"</f>
        <v>38492022042215161133253</v>
      </c>
      <c r="C1785" s="8" t="s">
        <v>21</v>
      </c>
      <c r="D1785" s="8" t="str">
        <f>"黄腓比"</f>
        <v>黄腓比</v>
      </c>
      <c r="E1785" s="8" t="str">
        <f aca="true" t="shared" si="246" ref="E1785:E1788">"男"</f>
        <v>男</v>
      </c>
    </row>
    <row r="1786" spans="1:5" ht="30" customHeight="1">
      <c r="A1786" s="8">
        <v>1783</v>
      </c>
      <c r="B1786" s="8" t="str">
        <f>"38492022042215162733256"</f>
        <v>38492022042215162733256</v>
      </c>
      <c r="C1786" s="8" t="s">
        <v>21</v>
      </c>
      <c r="D1786" s="8" t="str">
        <f>"李俊"</f>
        <v>李俊</v>
      </c>
      <c r="E1786" s="8" t="str">
        <f t="shared" si="246"/>
        <v>男</v>
      </c>
    </row>
    <row r="1787" spans="1:5" ht="30" customHeight="1">
      <c r="A1787" s="8">
        <v>1784</v>
      </c>
      <c r="B1787" s="8" t="str">
        <f>"38492022042215180133261"</f>
        <v>38492022042215180133261</v>
      </c>
      <c r="C1787" s="8" t="s">
        <v>21</v>
      </c>
      <c r="D1787" s="8" t="str">
        <f>"郑家女"</f>
        <v>郑家女</v>
      </c>
      <c r="E1787" s="8" t="str">
        <f t="shared" si="245"/>
        <v>女</v>
      </c>
    </row>
    <row r="1788" spans="1:5" ht="30" customHeight="1">
      <c r="A1788" s="8">
        <v>1785</v>
      </c>
      <c r="B1788" s="8" t="str">
        <f>"38492022042215221533306"</f>
        <v>38492022042215221533306</v>
      </c>
      <c r="C1788" s="8" t="s">
        <v>21</v>
      </c>
      <c r="D1788" s="8" t="str">
        <f>"吴坤鹏"</f>
        <v>吴坤鹏</v>
      </c>
      <c r="E1788" s="8" t="str">
        <f t="shared" si="246"/>
        <v>男</v>
      </c>
    </row>
    <row r="1789" spans="1:5" ht="30" customHeight="1">
      <c r="A1789" s="8">
        <v>1786</v>
      </c>
      <c r="B1789" s="8" t="str">
        <f>"38492022042215265433326"</f>
        <v>38492022042215265433326</v>
      </c>
      <c r="C1789" s="8" t="s">
        <v>21</v>
      </c>
      <c r="D1789" s="8" t="str">
        <f>"陈秀荣"</f>
        <v>陈秀荣</v>
      </c>
      <c r="E1789" s="8" t="str">
        <f t="shared" si="245"/>
        <v>女</v>
      </c>
    </row>
    <row r="1790" spans="1:5" ht="30" customHeight="1">
      <c r="A1790" s="8">
        <v>1787</v>
      </c>
      <c r="B1790" s="8" t="str">
        <f>"38492022042215284433337"</f>
        <v>38492022042215284433337</v>
      </c>
      <c r="C1790" s="8" t="s">
        <v>21</v>
      </c>
      <c r="D1790" s="8" t="str">
        <f>"谢启玲"</f>
        <v>谢启玲</v>
      </c>
      <c r="E1790" s="8" t="str">
        <f t="shared" si="245"/>
        <v>女</v>
      </c>
    </row>
    <row r="1791" spans="1:5" ht="30" customHeight="1">
      <c r="A1791" s="8">
        <v>1788</v>
      </c>
      <c r="B1791" s="8" t="str">
        <f>"38492022042215341433369"</f>
        <v>38492022042215341433369</v>
      </c>
      <c r="C1791" s="8" t="s">
        <v>21</v>
      </c>
      <c r="D1791" s="8" t="str">
        <f>"牛益香"</f>
        <v>牛益香</v>
      </c>
      <c r="E1791" s="8" t="str">
        <f t="shared" si="245"/>
        <v>女</v>
      </c>
    </row>
    <row r="1792" spans="1:5" ht="30" customHeight="1">
      <c r="A1792" s="8">
        <v>1789</v>
      </c>
      <c r="B1792" s="8" t="str">
        <f>"38492022042215372033386"</f>
        <v>38492022042215372033386</v>
      </c>
      <c r="C1792" s="8" t="s">
        <v>21</v>
      </c>
      <c r="D1792" s="8" t="str">
        <f>"庞炜"</f>
        <v>庞炜</v>
      </c>
      <c r="E1792" s="8" t="str">
        <f aca="true" t="shared" si="247" ref="E1792:E1795">"男"</f>
        <v>男</v>
      </c>
    </row>
    <row r="1793" spans="1:5" ht="30" customHeight="1">
      <c r="A1793" s="8">
        <v>1790</v>
      </c>
      <c r="B1793" s="8" t="str">
        <f>"38492022042215382633398"</f>
        <v>38492022042215382633398</v>
      </c>
      <c r="C1793" s="8" t="s">
        <v>21</v>
      </c>
      <c r="D1793" s="8" t="str">
        <f>"王世涛"</f>
        <v>王世涛</v>
      </c>
      <c r="E1793" s="8" t="str">
        <f t="shared" si="247"/>
        <v>男</v>
      </c>
    </row>
    <row r="1794" spans="1:5" ht="30" customHeight="1">
      <c r="A1794" s="8">
        <v>1791</v>
      </c>
      <c r="B1794" s="8" t="str">
        <f>"38492022042215400633408"</f>
        <v>38492022042215400633408</v>
      </c>
      <c r="C1794" s="8" t="s">
        <v>21</v>
      </c>
      <c r="D1794" s="8" t="str">
        <f>"文静馨"</f>
        <v>文静馨</v>
      </c>
      <c r="E1794" s="8" t="str">
        <f aca="true" t="shared" si="248" ref="E1794:E1799">"女"</f>
        <v>女</v>
      </c>
    </row>
    <row r="1795" spans="1:5" ht="30" customHeight="1">
      <c r="A1795" s="8">
        <v>1792</v>
      </c>
      <c r="B1795" s="8" t="str">
        <f>"38492022042215432833422"</f>
        <v>38492022042215432833422</v>
      </c>
      <c r="C1795" s="8" t="s">
        <v>21</v>
      </c>
      <c r="D1795" s="8" t="str">
        <f>"谭常烜"</f>
        <v>谭常烜</v>
      </c>
      <c r="E1795" s="8" t="str">
        <f t="shared" si="247"/>
        <v>男</v>
      </c>
    </row>
    <row r="1796" spans="1:5" ht="30" customHeight="1">
      <c r="A1796" s="8">
        <v>1793</v>
      </c>
      <c r="B1796" s="8" t="str">
        <f>"38492022042215434333423"</f>
        <v>38492022042215434333423</v>
      </c>
      <c r="C1796" s="8" t="s">
        <v>21</v>
      </c>
      <c r="D1796" s="8" t="str">
        <f>"张美虹"</f>
        <v>张美虹</v>
      </c>
      <c r="E1796" s="8" t="str">
        <f t="shared" si="248"/>
        <v>女</v>
      </c>
    </row>
    <row r="1797" spans="1:5" ht="30" customHeight="1">
      <c r="A1797" s="8">
        <v>1794</v>
      </c>
      <c r="B1797" s="8" t="str">
        <f>"38492022042215460233441"</f>
        <v>38492022042215460233441</v>
      </c>
      <c r="C1797" s="8" t="s">
        <v>21</v>
      </c>
      <c r="D1797" s="8" t="str">
        <f>"符家燕"</f>
        <v>符家燕</v>
      </c>
      <c r="E1797" s="8" t="str">
        <f t="shared" si="248"/>
        <v>女</v>
      </c>
    </row>
    <row r="1798" spans="1:5" ht="30" customHeight="1">
      <c r="A1798" s="8">
        <v>1795</v>
      </c>
      <c r="B1798" s="8" t="str">
        <f>"38492022042215475133458"</f>
        <v>38492022042215475133458</v>
      </c>
      <c r="C1798" s="8" t="s">
        <v>21</v>
      </c>
      <c r="D1798" s="8" t="str">
        <f>"黄燕妃"</f>
        <v>黄燕妃</v>
      </c>
      <c r="E1798" s="8" t="str">
        <f t="shared" si="248"/>
        <v>女</v>
      </c>
    </row>
    <row r="1799" spans="1:5" ht="30" customHeight="1">
      <c r="A1799" s="8">
        <v>1796</v>
      </c>
      <c r="B1799" s="8" t="str">
        <f>"38492022042215522833492"</f>
        <v>38492022042215522833492</v>
      </c>
      <c r="C1799" s="8" t="s">
        <v>21</v>
      </c>
      <c r="D1799" s="8" t="str">
        <f>"周瑞"</f>
        <v>周瑞</v>
      </c>
      <c r="E1799" s="8" t="str">
        <f t="shared" si="248"/>
        <v>女</v>
      </c>
    </row>
    <row r="1800" spans="1:5" ht="30" customHeight="1">
      <c r="A1800" s="8">
        <v>1797</v>
      </c>
      <c r="B1800" s="8" t="str">
        <f>"38492022042215524633493"</f>
        <v>38492022042215524633493</v>
      </c>
      <c r="C1800" s="8" t="s">
        <v>21</v>
      </c>
      <c r="D1800" s="8" t="str">
        <f>"符式军"</f>
        <v>符式军</v>
      </c>
      <c r="E1800" s="8" t="str">
        <f aca="true" t="shared" si="249" ref="E1800:E1805">"男"</f>
        <v>男</v>
      </c>
    </row>
    <row r="1801" spans="1:5" ht="30" customHeight="1">
      <c r="A1801" s="8">
        <v>1798</v>
      </c>
      <c r="B1801" s="8" t="str">
        <f>"38492022042215534333497"</f>
        <v>38492022042215534333497</v>
      </c>
      <c r="C1801" s="8" t="s">
        <v>21</v>
      </c>
      <c r="D1801" s="8" t="str">
        <f>"谢淑英"</f>
        <v>谢淑英</v>
      </c>
      <c r="E1801" s="8" t="str">
        <f aca="true" t="shared" si="250" ref="E1801:E1804">"女"</f>
        <v>女</v>
      </c>
    </row>
    <row r="1802" spans="1:5" ht="30" customHeight="1">
      <c r="A1802" s="8">
        <v>1799</v>
      </c>
      <c r="B1802" s="8" t="str">
        <f>"38492022042215545533504"</f>
        <v>38492022042215545533504</v>
      </c>
      <c r="C1802" s="8" t="s">
        <v>21</v>
      </c>
      <c r="D1802" s="8" t="str">
        <f>"赵开静"</f>
        <v>赵开静</v>
      </c>
      <c r="E1802" s="8" t="str">
        <f t="shared" si="250"/>
        <v>女</v>
      </c>
    </row>
    <row r="1803" spans="1:5" ht="30" customHeight="1">
      <c r="A1803" s="8">
        <v>1800</v>
      </c>
      <c r="B1803" s="8" t="str">
        <f>"38492022042215560233512"</f>
        <v>38492022042215560233512</v>
      </c>
      <c r="C1803" s="8" t="s">
        <v>21</v>
      </c>
      <c r="D1803" s="8" t="str">
        <f>"李永鹏"</f>
        <v>李永鹏</v>
      </c>
      <c r="E1803" s="8" t="str">
        <f t="shared" si="249"/>
        <v>男</v>
      </c>
    </row>
    <row r="1804" spans="1:5" ht="30" customHeight="1">
      <c r="A1804" s="8">
        <v>1801</v>
      </c>
      <c r="B1804" s="8" t="str">
        <f>"38492022042216005133542"</f>
        <v>38492022042216005133542</v>
      </c>
      <c r="C1804" s="8" t="s">
        <v>21</v>
      </c>
      <c r="D1804" s="8" t="str">
        <f>"林新景"</f>
        <v>林新景</v>
      </c>
      <c r="E1804" s="8" t="str">
        <f t="shared" si="250"/>
        <v>女</v>
      </c>
    </row>
    <row r="1805" spans="1:5" ht="30" customHeight="1">
      <c r="A1805" s="8">
        <v>1802</v>
      </c>
      <c r="B1805" s="8" t="str">
        <f>"38492022042216021633547"</f>
        <v>38492022042216021633547</v>
      </c>
      <c r="C1805" s="8" t="s">
        <v>21</v>
      </c>
      <c r="D1805" s="8" t="str">
        <f>"符新武"</f>
        <v>符新武</v>
      </c>
      <c r="E1805" s="8" t="str">
        <f t="shared" si="249"/>
        <v>男</v>
      </c>
    </row>
    <row r="1806" spans="1:5" ht="30" customHeight="1">
      <c r="A1806" s="8">
        <v>1803</v>
      </c>
      <c r="B1806" s="8" t="str">
        <f>"38492022042216032633560"</f>
        <v>38492022042216032633560</v>
      </c>
      <c r="C1806" s="8" t="s">
        <v>21</v>
      </c>
      <c r="D1806" s="8" t="str">
        <f>"罗家"</f>
        <v>罗家</v>
      </c>
      <c r="E1806" s="8" t="str">
        <f aca="true" t="shared" si="251" ref="E1806:E1810">"女"</f>
        <v>女</v>
      </c>
    </row>
    <row r="1807" spans="1:5" ht="30" customHeight="1">
      <c r="A1807" s="8">
        <v>1804</v>
      </c>
      <c r="B1807" s="8" t="str">
        <f>"38492022042216032933561"</f>
        <v>38492022042216032933561</v>
      </c>
      <c r="C1807" s="8" t="s">
        <v>21</v>
      </c>
      <c r="D1807" s="8" t="str">
        <f>"陈晓茜"</f>
        <v>陈晓茜</v>
      </c>
      <c r="E1807" s="8" t="str">
        <f t="shared" si="251"/>
        <v>女</v>
      </c>
    </row>
    <row r="1808" spans="1:5" ht="30" customHeight="1">
      <c r="A1808" s="8">
        <v>1805</v>
      </c>
      <c r="B1808" s="8" t="str">
        <f>"38492022042216035033563"</f>
        <v>38492022042216035033563</v>
      </c>
      <c r="C1808" s="8" t="s">
        <v>21</v>
      </c>
      <c r="D1808" s="8" t="str">
        <f>"李遗冠"</f>
        <v>李遗冠</v>
      </c>
      <c r="E1808" s="8" t="str">
        <f aca="true" t="shared" si="252" ref="E1808:E1812">"男"</f>
        <v>男</v>
      </c>
    </row>
    <row r="1809" spans="1:5" ht="30" customHeight="1">
      <c r="A1809" s="8">
        <v>1806</v>
      </c>
      <c r="B1809" s="8" t="str">
        <f>"38492022042216054333572"</f>
        <v>38492022042216054333572</v>
      </c>
      <c r="C1809" s="8" t="s">
        <v>21</v>
      </c>
      <c r="D1809" s="8" t="str">
        <f>"陈彩丁"</f>
        <v>陈彩丁</v>
      </c>
      <c r="E1809" s="8" t="str">
        <f t="shared" si="251"/>
        <v>女</v>
      </c>
    </row>
    <row r="1810" spans="1:5" ht="30" customHeight="1">
      <c r="A1810" s="8">
        <v>1807</v>
      </c>
      <c r="B1810" s="8" t="str">
        <f>"38492022042216091133599"</f>
        <v>38492022042216091133599</v>
      </c>
      <c r="C1810" s="8" t="s">
        <v>21</v>
      </c>
      <c r="D1810" s="8" t="str">
        <f>"王霜"</f>
        <v>王霜</v>
      </c>
      <c r="E1810" s="8" t="str">
        <f t="shared" si="251"/>
        <v>女</v>
      </c>
    </row>
    <row r="1811" spans="1:5" ht="30" customHeight="1">
      <c r="A1811" s="8">
        <v>1808</v>
      </c>
      <c r="B1811" s="8" t="str">
        <f>"38492022042216092533602"</f>
        <v>38492022042216092533602</v>
      </c>
      <c r="C1811" s="8" t="s">
        <v>21</v>
      </c>
      <c r="D1811" s="8" t="str">
        <f>"何兴斌"</f>
        <v>何兴斌</v>
      </c>
      <c r="E1811" s="8" t="str">
        <f t="shared" si="252"/>
        <v>男</v>
      </c>
    </row>
    <row r="1812" spans="1:5" ht="30" customHeight="1">
      <c r="A1812" s="8">
        <v>1809</v>
      </c>
      <c r="B1812" s="8" t="str">
        <f>"38492022042216113033613"</f>
        <v>38492022042216113033613</v>
      </c>
      <c r="C1812" s="8" t="s">
        <v>21</v>
      </c>
      <c r="D1812" s="8" t="str">
        <f>"周富"</f>
        <v>周富</v>
      </c>
      <c r="E1812" s="8" t="str">
        <f t="shared" si="252"/>
        <v>男</v>
      </c>
    </row>
    <row r="1813" spans="1:5" ht="30" customHeight="1">
      <c r="A1813" s="8">
        <v>1810</v>
      </c>
      <c r="B1813" s="8" t="str">
        <f>"38492022042216121033619"</f>
        <v>38492022042216121033619</v>
      </c>
      <c r="C1813" s="8" t="s">
        <v>21</v>
      </c>
      <c r="D1813" s="8" t="str">
        <f>"任世丽"</f>
        <v>任世丽</v>
      </c>
      <c r="E1813" s="8" t="str">
        <f aca="true" t="shared" si="253" ref="E1813:E1815">"女"</f>
        <v>女</v>
      </c>
    </row>
    <row r="1814" spans="1:5" ht="30" customHeight="1">
      <c r="A1814" s="8">
        <v>1811</v>
      </c>
      <c r="B1814" s="8" t="str">
        <f>"38492022042216132533629"</f>
        <v>38492022042216132533629</v>
      </c>
      <c r="C1814" s="8" t="s">
        <v>21</v>
      </c>
      <c r="D1814" s="8" t="str">
        <f>"杨小雷"</f>
        <v>杨小雷</v>
      </c>
      <c r="E1814" s="8" t="str">
        <f t="shared" si="253"/>
        <v>女</v>
      </c>
    </row>
    <row r="1815" spans="1:5" ht="30" customHeight="1">
      <c r="A1815" s="8">
        <v>1812</v>
      </c>
      <c r="B1815" s="8" t="str">
        <f>"38492022042216201433663"</f>
        <v>38492022042216201433663</v>
      </c>
      <c r="C1815" s="8" t="s">
        <v>21</v>
      </c>
      <c r="D1815" s="8" t="str">
        <f>"李丹花"</f>
        <v>李丹花</v>
      </c>
      <c r="E1815" s="8" t="str">
        <f t="shared" si="253"/>
        <v>女</v>
      </c>
    </row>
    <row r="1816" spans="1:5" ht="30" customHeight="1">
      <c r="A1816" s="8">
        <v>1813</v>
      </c>
      <c r="B1816" s="8" t="str">
        <f>"38492022042216212933675"</f>
        <v>38492022042216212933675</v>
      </c>
      <c r="C1816" s="8" t="s">
        <v>21</v>
      </c>
      <c r="D1816" s="8" t="str">
        <f>"王铭湖"</f>
        <v>王铭湖</v>
      </c>
      <c r="E1816" s="8" t="str">
        <f aca="true" t="shared" si="254" ref="E1816:E1819">"男"</f>
        <v>男</v>
      </c>
    </row>
    <row r="1817" spans="1:5" ht="30" customHeight="1">
      <c r="A1817" s="8">
        <v>1814</v>
      </c>
      <c r="B1817" s="8" t="str">
        <f>"38492022042216242333693"</f>
        <v>38492022042216242333693</v>
      </c>
      <c r="C1817" s="8" t="s">
        <v>21</v>
      </c>
      <c r="D1817" s="8" t="str">
        <f>"刘海景"</f>
        <v>刘海景</v>
      </c>
      <c r="E1817" s="8" t="str">
        <f t="shared" si="254"/>
        <v>男</v>
      </c>
    </row>
    <row r="1818" spans="1:5" ht="30" customHeight="1">
      <c r="A1818" s="8">
        <v>1815</v>
      </c>
      <c r="B1818" s="8" t="str">
        <f>"38492022042216315833738"</f>
        <v>38492022042216315833738</v>
      </c>
      <c r="C1818" s="8" t="s">
        <v>21</v>
      </c>
      <c r="D1818" s="8" t="str">
        <f>"张泽宇"</f>
        <v>张泽宇</v>
      </c>
      <c r="E1818" s="8" t="str">
        <f t="shared" si="254"/>
        <v>男</v>
      </c>
    </row>
    <row r="1819" spans="1:5" ht="30" customHeight="1">
      <c r="A1819" s="8">
        <v>1816</v>
      </c>
      <c r="B1819" s="8" t="str">
        <f>"38492022042216321033739"</f>
        <v>38492022042216321033739</v>
      </c>
      <c r="C1819" s="8" t="s">
        <v>21</v>
      </c>
      <c r="D1819" s="8" t="str">
        <f>"欧诒聪"</f>
        <v>欧诒聪</v>
      </c>
      <c r="E1819" s="8" t="str">
        <f t="shared" si="254"/>
        <v>男</v>
      </c>
    </row>
    <row r="1820" spans="1:5" ht="30" customHeight="1">
      <c r="A1820" s="8">
        <v>1817</v>
      </c>
      <c r="B1820" s="8" t="str">
        <f>"38492022042216344033754"</f>
        <v>38492022042216344033754</v>
      </c>
      <c r="C1820" s="8" t="s">
        <v>21</v>
      </c>
      <c r="D1820" s="8" t="str">
        <f>"林嘉颖"</f>
        <v>林嘉颖</v>
      </c>
      <c r="E1820" s="8" t="str">
        <f aca="true" t="shared" si="255" ref="E1820:E1826">"女"</f>
        <v>女</v>
      </c>
    </row>
    <row r="1821" spans="1:5" ht="30" customHeight="1">
      <c r="A1821" s="8">
        <v>1818</v>
      </c>
      <c r="B1821" s="8" t="str">
        <f>"38492022042216372033774"</f>
        <v>38492022042216372033774</v>
      </c>
      <c r="C1821" s="8" t="s">
        <v>21</v>
      </c>
      <c r="D1821" s="8" t="str">
        <f>"林燕"</f>
        <v>林燕</v>
      </c>
      <c r="E1821" s="8" t="str">
        <f t="shared" si="255"/>
        <v>女</v>
      </c>
    </row>
    <row r="1822" spans="1:5" ht="30" customHeight="1">
      <c r="A1822" s="8">
        <v>1819</v>
      </c>
      <c r="B1822" s="8" t="str">
        <f>"38492022042216373133777"</f>
        <v>38492022042216373133777</v>
      </c>
      <c r="C1822" s="8" t="s">
        <v>21</v>
      </c>
      <c r="D1822" s="8" t="str">
        <f>"羊秀忠"</f>
        <v>羊秀忠</v>
      </c>
      <c r="E1822" s="8" t="str">
        <f aca="true" t="shared" si="256" ref="E1822:E1828">"男"</f>
        <v>男</v>
      </c>
    </row>
    <row r="1823" spans="1:5" ht="30" customHeight="1">
      <c r="A1823" s="8">
        <v>1820</v>
      </c>
      <c r="B1823" s="8" t="str">
        <f>"38492022042216392133789"</f>
        <v>38492022042216392133789</v>
      </c>
      <c r="C1823" s="8" t="s">
        <v>21</v>
      </c>
      <c r="D1823" s="8" t="str">
        <f>"吴斌"</f>
        <v>吴斌</v>
      </c>
      <c r="E1823" s="8" t="str">
        <f t="shared" si="256"/>
        <v>男</v>
      </c>
    </row>
    <row r="1824" spans="1:5" ht="30" customHeight="1">
      <c r="A1824" s="8">
        <v>1821</v>
      </c>
      <c r="B1824" s="8" t="str">
        <f>"38492022042216424733815"</f>
        <v>38492022042216424733815</v>
      </c>
      <c r="C1824" s="8" t="s">
        <v>21</v>
      </c>
      <c r="D1824" s="8" t="str">
        <f>"冯心娣"</f>
        <v>冯心娣</v>
      </c>
      <c r="E1824" s="8" t="str">
        <f t="shared" si="255"/>
        <v>女</v>
      </c>
    </row>
    <row r="1825" spans="1:5" ht="30" customHeight="1">
      <c r="A1825" s="8">
        <v>1822</v>
      </c>
      <c r="B1825" s="8" t="str">
        <f>"38492022042216425633816"</f>
        <v>38492022042216425633816</v>
      </c>
      <c r="C1825" s="8" t="s">
        <v>21</v>
      </c>
      <c r="D1825" s="8" t="str">
        <f>"吴秀慧"</f>
        <v>吴秀慧</v>
      </c>
      <c r="E1825" s="8" t="str">
        <f t="shared" si="255"/>
        <v>女</v>
      </c>
    </row>
    <row r="1826" spans="1:5" ht="30" customHeight="1">
      <c r="A1826" s="8">
        <v>1823</v>
      </c>
      <c r="B1826" s="8" t="str">
        <f>"38492022042216454933833"</f>
        <v>38492022042216454933833</v>
      </c>
      <c r="C1826" s="8" t="s">
        <v>21</v>
      </c>
      <c r="D1826" s="8" t="str">
        <f>"殷丽桑"</f>
        <v>殷丽桑</v>
      </c>
      <c r="E1826" s="8" t="str">
        <f t="shared" si="255"/>
        <v>女</v>
      </c>
    </row>
    <row r="1827" spans="1:5" ht="30" customHeight="1">
      <c r="A1827" s="8">
        <v>1824</v>
      </c>
      <c r="B1827" s="8" t="str">
        <f>"38492022042216505133872"</f>
        <v>38492022042216505133872</v>
      </c>
      <c r="C1827" s="8" t="s">
        <v>21</v>
      </c>
      <c r="D1827" s="8" t="str">
        <f>"陈志明"</f>
        <v>陈志明</v>
      </c>
      <c r="E1827" s="8" t="str">
        <f t="shared" si="256"/>
        <v>男</v>
      </c>
    </row>
    <row r="1828" spans="1:5" ht="30" customHeight="1">
      <c r="A1828" s="8">
        <v>1825</v>
      </c>
      <c r="B1828" s="8" t="str">
        <f>"38492022042216522433881"</f>
        <v>38492022042216522433881</v>
      </c>
      <c r="C1828" s="8" t="s">
        <v>21</v>
      </c>
      <c r="D1828" s="8" t="str">
        <f>"王进琼"</f>
        <v>王进琼</v>
      </c>
      <c r="E1828" s="8" t="str">
        <f t="shared" si="256"/>
        <v>男</v>
      </c>
    </row>
    <row r="1829" spans="1:5" ht="30" customHeight="1">
      <c r="A1829" s="8">
        <v>1826</v>
      </c>
      <c r="B1829" s="8" t="str">
        <f>"38492022042216531733891"</f>
        <v>38492022042216531733891</v>
      </c>
      <c r="C1829" s="8" t="s">
        <v>21</v>
      </c>
      <c r="D1829" s="8" t="str">
        <f>"王素玲"</f>
        <v>王素玲</v>
      </c>
      <c r="E1829" s="8" t="str">
        <f>"女"</f>
        <v>女</v>
      </c>
    </row>
    <row r="1830" spans="1:5" ht="30" customHeight="1">
      <c r="A1830" s="8">
        <v>1827</v>
      </c>
      <c r="B1830" s="8" t="str">
        <f>"38492022042216542133896"</f>
        <v>38492022042216542133896</v>
      </c>
      <c r="C1830" s="8" t="s">
        <v>21</v>
      </c>
      <c r="D1830" s="8" t="str">
        <f>"黄振平"</f>
        <v>黄振平</v>
      </c>
      <c r="E1830" s="8" t="str">
        <f aca="true" t="shared" si="257" ref="E1830:E1834">"男"</f>
        <v>男</v>
      </c>
    </row>
    <row r="1831" spans="1:5" ht="30" customHeight="1">
      <c r="A1831" s="8">
        <v>1828</v>
      </c>
      <c r="B1831" s="8" t="str">
        <f>"38492022042217040033958"</f>
        <v>38492022042217040033958</v>
      </c>
      <c r="C1831" s="8" t="s">
        <v>21</v>
      </c>
      <c r="D1831" s="8" t="str">
        <f>"韦嘉海"</f>
        <v>韦嘉海</v>
      </c>
      <c r="E1831" s="8" t="str">
        <f t="shared" si="257"/>
        <v>男</v>
      </c>
    </row>
    <row r="1832" spans="1:5" ht="30" customHeight="1">
      <c r="A1832" s="8">
        <v>1829</v>
      </c>
      <c r="B1832" s="8" t="str">
        <f>"38492022042217090433985"</f>
        <v>38492022042217090433985</v>
      </c>
      <c r="C1832" s="8" t="s">
        <v>21</v>
      </c>
      <c r="D1832" s="8" t="str">
        <f>"郭融"</f>
        <v>郭融</v>
      </c>
      <c r="E1832" s="8" t="str">
        <f t="shared" si="257"/>
        <v>男</v>
      </c>
    </row>
    <row r="1833" spans="1:5" ht="30" customHeight="1">
      <c r="A1833" s="8">
        <v>1830</v>
      </c>
      <c r="B1833" s="8" t="str">
        <f>"38492022042217112233994"</f>
        <v>38492022042217112233994</v>
      </c>
      <c r="C1833" s="8" t="s">
        <v>21</v>
      </c>
      <c r="D1833" s="8" t="str">
        <f>"朱宸羲"</f>
        <v>朱宸羲</v>
      </c>
      <c r="E1833" s="8" t="str">
        <f t="shared" si="257"/>
        <v>男</v>
      </c>
    </row>
    <row r="1834" spans="1:5" ht="30" customHeight="1">
      <c r="A1834" s="8">
        <v>1831</v>
      </c>
      <c r="B1834" s="8" t="str">
        <f>"38492022042217135834008"</f>
        <v>38492022042217135834008</v>
      </c>
      <c r="C1834" s="8" t="s">
        <v>21</v>
      </c>
      <c r="D1834" s="8" t="str">
        <f>"谢小通"</f>
        <v>谢小通</v>
      </c>
      <c r="E1834" s="8" t="str">
        <f t="shared" si="257"/>
        <v>男</v>
      </c>
    </row>
    <row r="1835" spans="1:5" ht="30" customHeight="1">
      <c r="A1835" s="8">
        <v>1832</v>
      </c>
      <c r="B1835" s="8" t="str">
        <f>"38492022042217145434014"</f>
        <v>38492022042217145434014</v>
      </c>
      <c r="C1835" s="8" t="s">
        <v>21</v>
      </c>
      <c r="D1835" s="8" t="str">
        <f>"李晓婷"</f>
        <v>李晓婷</v>
      </c>
      <c r="E1835" s="8" t="str">
        <f aca="true" t="shared" si="258" ref="E1835:E1840">"女"</f>
        <v>女</v>
      </c>
    </row>
    <row r="1836" spans="1:5" ht="30" customHeight="1">
      <c r="A1836" s="8">
        <v>1833</v>
      </c>
      <c r="B1836" s="8" t="str">
        <f>"38492022042217263334068"</f>
        <v>38492022042217263334068</v>
      </c>
      <c r="C1836" s="8" t="s">
        <v>21</v>
      </c>
      <c r="D1836" s="8" t="str">
        <f>"符慧莹"</f>
        <v>符慧莹</v>
      </c>
      <c r="E1836" s="8" t="str">
        <f t="shared" si="258"/>
        <v>女</v>
      </c>
    </row>
    <row r="1837" spans="1:5" ht="30" customHeight="1">
      <c r="A1837" s="8">
        <v>1834</v>
      </c>
      <c r="B1837" s="8" t="str">
        <f>"38492022042217290034080"</f>
        <v>38492022042217290034080</v>
      </c>
      <c r="C1837" s="8" t="s">
        <v>21</v>
      </c>
      <c r="D1837" s="8" t="str">
        <f>"张海骏"</f>
        <v>张海骏</v>
      </c>
      <c r="E1837" s="8" t="str">
        <f aca="true" t="shared" si="259" ref="E1837:E1845">"男"</f>
        <v>男</v>
      </c>
    </row>
    <row r="1838" spans="1:5" ht="30" customHeight="1">
      <c r="A1838" s="8">
        <v>1835</v>
      </c>
      <c r="B1838" s="8" t="str">
        <f>"38492022042217294034083"</f>
        <v>38492022042217294034083</v>
      </c>
      <c r="C1838" s="8" t="s">
        <v>21</v>
      </c>
      <c r="D1838" s="8" t="str">
        <f>"庄雪芬"</f>
        <v>庄雪芬</v>
      </c>
      <c r="E1838" s="8" t="str">
        <f t="shared" si="258"/>
        <v>女</v>
      </c>
    </row>
    <row r="1839" spans="1:5" ht="30" customHeight="1">
      <c r="A1839" s="8">
        <v>1836</v>
      </c>
      <c r="B1839" s="8" t="str">
        <f>"38492022042217314534096"</f>
        <v>38492022042217314534096</v>
      </c>
      <c r="C1839" s="8" t="s">
        <v>21</v>
      </c>
      <c r="D1839" s="8" t="str">
        <f>"张智红"</f>
        <v>张智红</v>
      </c>
      <c r="E1839" s="8" t="str">
        <f t="shared" si="258"/>
        <v>女</v>
      </c>
    </row>
    <row r="1840" spans="1:5" ht="30" customHeight="1">
      <c r="A1840" s="8">
        <v>1837</v>
      </c>
      <c r="B1840" s="8" t="str">
        <f>"38492022042217374234127"</f>
        <v>38492022042217374234127</v>
      </c>
      <c r="C1840" s="8" t="s">
        <v>21</v>
      </c>
      <c r="D1840" s="8" t="str">
        <f>"羊井桃"</f>
        <v>羊井桃</v>
      </c>
      <c r="E1840" s="8" t="str">
        <f t="shared" si="258"/>
        <v>女</v>
      </c>
    </row>
    <row r="1841" spans="1:5" ht="30" customHeight="1">
      <c r="A1841" s="8">
        <v>1838</v>
      </c>
      <c r="B1841" s="8" t="str">
        <f>"38492022042217435934149"</f>
        <v>38492022042217435934149</v>
      </c>
      <c r="C1841" s="8" t="s">
        <v>21</v>
      </c>
      <c r="D1841" s="8" t="str">
        <f>"王谋英"</f>
        <v>王谋英</v>
      </c>
      <c r="E1841" s="8" t="str">
        <f t="shared" si="259"/>
        <v>男</v>
      </c>
    </row>
    <row r="1842" spans="1:5" ht="30" customHeight="1">
      <c r="A1842" s="8">
        <v>1839</v>
      </c>
      <c r="B1842" s="8" t="str">
        <f>"38492022042217484934165"</f>
        <v>38492022042217484934165</v>
      </c>
      <c r="C1842" s="8" t="s">
        <v>21</v>
      </c>
      <c r="D1842" s="8" t="str">
        <f>"李宗豪"</f>
        <v>李宗豪</v>
      </c>
      <c r="E1842" s="8" t="str">
        <f t="shared" si="259"/>
        <v>男</v>
      </c>
    </row>
    <row r="1843" spans="1:5" ht="30" customHeight="1">
      <c r="A1843" s="8">
        <v>1840</v>
      </c>
      <c r="B1843" s="8" t="str">
        <f>"38492022042217573534204"</f>
        <v>38492022042217573534204</v>
      </c>
      <c r="C1843" s="8" t="s">
        <v>21</v>
      </c>
      <c r="D1843" s="8" t="str">
        <f>"羊儒林"</f>
        <v>羊儒林</v>
      </c>
      <c r="E1843" s="8" t="str">
        <f t="shared" si="259"/>
        <v>男</v>
      </c>
    </row>
    <row r="1844" spans="1:5" ht="30" customHeight="1">
      <c r="A1844" s="8">
        <v>1841</v>
      </c>
      <c r="B1844" s="8" t="str">
        <f>"38492022042218025634221"</f>
        <v>38492022042218025634221</v>
      </c>
      <c r="C1844" s="8" t="s">
        <v>21</v>
      </c>
      <c r="D1844" s="8" t="str">
        <f>"陈文涛"</f>
        <v>陈文涛</v>
      </c>
      <c r="E1844" s="8" t="str">
        <f t="shared" si="259"/>
        <v>男</v>
      </c>
    </row>
    <row r="1845" spans="1:5" ht="30" customHeight="1">
      <c r="A1845" s="8">
        <v>1842</v>
      </c>
      <c r="B1845" s="8" t="str">
        <f>"38492022042218244534270"</f>
        <v>38492022042218244534270</v>
      </c>
      <c r="C1845" s="8" t="s">
        <v>21</v>
      </c>
      <c r="D1845" s="8" t="str">
        <f>"周劲"</f>
        <v>周劲</v>
      </c>
      <c r="E1845" s="8" t="str">
        <f t="shared" si="259"/>
        <v>男</v>
      </c>
    </row>
    <row r="1846" spans="1:5" ht="30" customHeight="1">
      <c r="A1846" s="8">
        <v>1843</v>
      </c>
      <c r="B1846" s="8" t="str">
        <f>"38492022042218281634279"</f>
        <v>38492022042218281634279</v>
      </c>
      <c r="C1846" s="8" t="s">
        <v>21</v>
      </c>
      <c r="D1846" s="8" t="str">
        <f>"陈天凤"</f>
        <v>陈天凤</v>
      </c>
      <c r="E1846" s="8" t="str">
        <f>"女"</f>
        <v>女</v>
      </c>
    </row>
    <row r="1847" spans="1:5" ht="30" customHeight="1">
      <c r="A1847" s="8">
        <v>1844</v>
      </c>
      <c r="B1847" s="8" t="str">
        <f>"38492022042218302734286"</f>
        <v>38492022042218302734286</v>
      </c>
      <c r="C1847" s="8" t="s">
        <v>21</v>
      </c>
      <c r="D1847" s="8" t="str">
        <f>"吴泰彬"</f>
        <v>吴泰彬</v>
      </c>
      <c r="E1847" s="8" t="str">
        <f aca="true" t="shared" si="260" ref="E1847:E1850">"男"</f>
        <v>男</v>
      </c>
    </row>
    <row r="1848" spans="1:5" ht="30" customHeight="1">
      <c r="A1848" s="8">
        <v>1845</v>
      </c>
      <c r="B1848" s="8" t="str">
        <f>"38492022042218363234295"</f>
        <v>38492022042218363234295</v>
      </c>
      <c r="C1848" s="8" t="s">
        <v>21</v>
      </c>
      <c r="D1848" s="8" t="str">
        <f>"黎秀民"</f>
        <v>黎秀民</v>
      </c>
      <c r="E1848" s="8" t="str">
        <f t="shared" si="260"/>
        <v>男</v>
      </c>
    </row>
    <row r="1849" spans="1:5" ht="30" customHeight="1">
      <c r="A1849" s="8">
        <v>1846</v>
      </c>
      <c r="B1849" s="8" t="str">
        <f>"38492022042218555234339"</f>
        <v>38492022042218555234339</v>
      </c>
      <c r="C1849" s="8" t="s">
        <v>21</v>
      </c>
      <c r="D1849" s="8" t="str">
        <f>"李衍瑞"</f>
        <v>李衍瑞</v>
      </c>
      <c r="E1849" s="8" t="str">
        <f t="shared" si="260"/>
        <v>男</v>
      </c>
    </row>
    <row r="1850" spans="1:5" ht="30" customHeight="1">
      <c r="A1850" s="8">
        <v>1847</v>
      </c>
      <c r="B1850" s="8" t="str">
        <f>"38492022042219021834349"</f>
        <v>38492022042219021834349</v>
      </c>
      <c r="C1850" s="8" t="s">
        <v>21</v>
      </c>
      <c r="D1850" s="8" t="str">
        <f>"张太宁"</f>
        <v>张太宁</v>
      </c>
      <c r="E1850" s="8" t="str">
        <f t="shared" si="260"/>
        <v>男</v>
      </c>
    </row>
    <row r="1851" spans="1:5" ht="30" customHeight="1">
      <c r="A1851" s="8">
        <v>1848</v>
      </c>
      <c r="B1851" s="8" t="str">
        <f>"38492022042219074134367"</f>
        <v>38492022042219074134367</v>
      </c>
      <c r="C1851" s="8" t="s">
        <v>21</v>
      </c>
      <c r="D1851" s="8" t="str">
        <f>"连英如"</f>
        <v>连英如</v>
      </c>
      <c r="E1851" s="8" t="str">
        <f>"女"</f>
        <v>女</v>
      </c>
    </row>
    <row r="1852" spans="1:5" ht="30" customHeight="1">
      <c r="A1852" s="8">
        <v>1849</v>
      </c>
      <c r="B1852" s="8" t="str">
        <f>"38492022042219133634383"</f>
        <v>38492022042219133634383</v>
      </c>
      <c r="C1852" s="8" t="s">
        <v>21</v>
      </c>
      <c r="D1852" s="8" t="str">
        <f>"陈晓径"</f>
        <v>陈晓径</v>
      </c>
      <c r="E1852" s="8" t="str">
        <f aca="true" t="shared" si="261" ref="E1852:E1855">"男"</f>
        <v>男</v>
      </c>
    </row>
    <row r="1853" spans="1:5" ht="30" customHeight="1">
      <c r="A1853" s="8">
        <v>1850</v>
      </c>
      <c r="B1853" s="8" t="str">
        <f>"38492022042219160134387"</f>
        <v>38492022042219160134387</v>
      </c>
      <c r="C1853" s="8" t="s">
        <v>21</v>
      </c>
      <c r="D1853" s="8" t="str">
        <f>"陆显辉"</f>
        <v>陆显辉</v>
      </c>
      <c r="E1853" s="8" t="str">
        <f t="shared" si="261"/>
        <v>男</v>
      </c>
    </row>
    <row r="1854" spans="1:5" ht="30" customHeight="1">
      <c r="A1854" s="8">
        <v>1851</v>
      </c>
      <c r="B1854" s="8" t="str">
        <f>"38492022042219184134390"</f>
        <v>38492022042219184134390</v>
      </c>
      <c r="C1854" s="8" t="s">
        <v>21</v>
      </c>
      <c r="D1854" s="8" t="str">
        <f>"许位恒"</f>
        <v>许位恒</v>
      </c>
      <c r="E1854" s="8" t="str">
        <f t="shared" si="261"/>
        <v>男</v>
      </c>
    </row>
    <row r="1855" spans="1:5" ht="30" customHeight="1">
      <c r="A1855" s="8">
        <v>1852</v>
      </c>
      <c r="B1855" s="8" t="str">
        <f>"38492022042219252934402"</f>
        <v>38492022042219252934402</v>
      </c>
      <c r="C1855" s="8" t="s">
        <v>21</v>
      </c>
      <c r="D1855" s="8" t="str">
        <f>"吕锦宏"</f>
        <v>吕锦宏</v>
      </c>
      <c r="E1855" s="8" t="str">
        <f t="shared" si="261"/>
        <v>男</v>
      </c>
    </row>
    <row r="1856" spans="1:5" ht="30" customHeight="1">
      <c r="A1856" s="8">
        <v>1853</v>
      </c>
      <c r="B1856" s="8" t="str">
        <f>"38492022042219365634426"</f>
        <v>38492022042219365634426</v>
      </c>
      <c r="C1856" s="8" t="s">
        <v>21</v>
      </c>
      <c r="D1856" s="8" t="str">
        <f>"林孟双"</f>
        <v>林孟双</v>
      </c>
      <c r="E1856" s="8" t="str">
        <f aca="true" t="shared" si="262" ref="E1856:E1861">"女"</f>
        <v>女</v>
      </c>
    </row>
    <row r="1857" spans="1:5" ht="30" customHeight="1">
      <c r="A1857" s="8">
        <v>1854</v>
      </c>
      <c r="B1857" s="8" t="str">
        <f>"38492022042219472634451"</f>
        <v>38492022042219472634451</v>
      </c>
      <c r="C1857" s="8" t="s">
        <v>21</v>
      </c>
      <c r="D1857" s="8" t="str">
        <f>"黄长海"</f>
        <v>黄长海</v>
      </c>
      <c r="E1857" s="8" t="str">
        <f aca="true" t="shared" si="263" ref="E1857:E1862">"男"</f>
        <v>男</v>
      </c>
    </row>
    <row r="1858" spans="1:5" ht="30" customHeight="1">
      <c r="A1858" s="8">
        <v>1855</v>
      </c>
      <c r="B1858" s="8" t="str">
        <f>"38492022042219511934458"</f>
        <v>38492022042219511934458</v>
      </c>
      <c r="C1858" s="8" t="s">
        <v>21</v>
      </c>
      <c r="D1858" s="8" t="str">
        <f>"郝光星"</f>
        <v>郝光星</v>
      </c>
      <c r="E1858" s="8" t="str">
        <f t="shared" si="262"/>
        <v>女</v>
      </c>
    </row>
    <row r="1859" spans="1:5" ht="30" customHeight="1">
      <c r="A1859" s="8">
        <v>1856</v>
      </c>
      <c r="B1859" s="8" t="str">
        <f>"38492022042219541834460"</f>
        <v>38492022042219541834460</v>
      </c>
      <c r="C1859" s="8" t="s">
        <v>21</v>
      </c>
      <c r="D1859" s="8" t="str">
        <f>"黎青帅"</f>
        <v>黎青帅</v>
      </c>
      <c r="E1859" s="8" t="str">
        <f t="shared" si="263"/>
        <v>男</v>
      </c>
    </row>
    <row r="1860" spans="1:5" ht="30" customHeight="1">
      <c r="A1860" s="8">
        <v>1857</v>
      </c>
      <c r="B1860" s="8" t="str">
        <f>"38492022042220012634470"</f>
        <v>38492022042220012634470</v>
      </c>
      <c r="C1860" s="8" t="s">
        <v>21</v>
      </c>
      <c r="D1860" s="8" t="str">
        <f>"刘静茹"</f>
        <v>刘静茹</v>
      </c>
      <c r="E1860" s="8" t="str">
        <f t="shared" si="262"/>
        <v>女</v>
      </c>
    </row>
    <row r="1861" spans="1:5" ht="30" customHeight="1">
      <c r="A1861" s="8">
        <v>1858</v>
      </c>
      <c r="B1861" s="8" t="str">
        <f>"38492022042220013734471"</f>
        <v>38492022042220013734471</v>
      </c>
      <c r="C1861" s="8" t="s">
        <v>21</v>
      </c>
      <c r="D1861" s="8" t="str">
        <f>"张石保"</f>
        <v>张石保</v>
      </c>
      <c r="E1861" s="8" t="str">
        <f t="shared" si="262"/>
        <v>女</v>
      </c>
    </row>
    <row r="1862" spans="1:5" ht="30" customHeight="1">
      <c r="A1862" s="8">
        <v>1859</v>
      </c>
      <c r="B1862" s="8" t="str">
        <f>"38492022042220044034476"</f>
        <v>38492022042220044034476</v>
      </c>
      <c r="C1862" s="8" t="s">
        <v>21</v>
      </c>
      <c r="D1862" s="8" t="str">
        <f>"谢耀欣"</f>
        <v>谢耀欣</v>
      </c>
      <c r="E1862" s="8" t="str">
        <f t="shared" si="263"/>
        <v>男</v>
      </c>
    </row>
    <row r="1863" spans="1:5" ht="30" customHeight="1">
      <c r="A1863" s="8">
        <v>1860</v>
      </c>
      <c r="B1863" s="8" t="str">
        <f>"38492022042220073434482"</f>
        <v>38492022042220073434482</v>
      </c>
      <c r="C1863" s="8" t="s">
        <v>21</v>
      </c>
      <c r="D1863" s="8" t="str">
        <f>"符连菊"</f>
        <v>符连菊</v>
      </c>
      <c r="E1863" s="8" t="str">
        <f aca="true" t="shared" si="264" ref="E1863:E1865">"女"</f>
        <v>女</v>
      </c>
    </row>
    <row r="1864" spans="1:5" ht="30" customHeight="1">
      <c r="A1864" s="8">
        <v>1861</v>
      </c>
      <c r="B1864" s="8" t="str">
        <f>"38492022042220114834488"</f>
        <v>38492022042220114834488</v>
      </c>
      <c r="C1864" s="8" t="s">
        <v>21</v>
      </c>
      <c r="D1864" s="8" t="str">
        <f>"黎姑美"</f>
        <v>黎姑美</v>
      </c>
      <c r="E1864" s="8" t="str">
        <f t="shared" si="264"/>
        <v>女</v>
      </c>
    </row>
    <row r="1865" spans="1:5" ht="30" customHeight="1">
      <c r="A1865" s="8">
        <v>1862</v>
      </c>
      <c r="B1865" s="8" t="str">
        <f>"38492022042220134034493"</f>
        <v>38492022042220134034493</v>
      </c>
      <c r="C1865" s="8" t="s">
        <v>21</v>
      </c>
      <c r="D1865" s="8" t="str">
        <f>"吴莹"</f>
        <v>吴莹</v>
      </c>
      <c r="E1865" s="8" t="str">
        <f t="shared" si="264"/>
        <v>女</v>
      </c>
    </row>
    <row r="1866" spans="1:5" ht="30" customHeight="1">
      <c r="A1866" s="8">
        <v>1863</v>
      </c>
      <c r="B1866" s="8" t="str">
        <f>"38492022042220182134501"</f>
        <v>38492022042220182134501</v>
      </c>
      <c r="C1866" s="8" t="s">
        <v>21</v>
      </c>
      <c r="D1866" s="8" t="str">
        <f>"周承政"</f>
        <v>周承政</v>
      </c>
      <c r="E1866" s="8" t="str">
        <f>"男"</f>
        <v>男</v>
      </c>
    </row>
    <row r="1867" spans="1:5" ht="30" customHeight="1">
      <c r="A1867" s="8">
        <v>1864</v>
      </c>
      <c r="B1867" s="8" t="str">
        <f>"38492022042220225034510"</f>
        <v>38492022042220225034510</v>
      </c>
      <c r="C1867" s="8" t="s">
        <v>21</v>
      </c>
      <c r="D1867" s="8" t="str">
        <f>"唐林珍"</f>
        <v>唐林珍</v>
      </c>
      <c r="E1867" s="8" t="str">
        <f aca="true" t="shared" si="265" ref="E1867:E1870">"女"</f>
        <v>女</v>
      </c>
    </row>
    <row r="1868" spans="1:5" ht="30" customHeight="1">
      <c r="A1868" s="8">
        <v>1865</v>
      </c>
      <c r="B1868" s="8" t="str">
        <f>"38492022042220230234511"</f>
        <v>38492022042220230234511</v>
      </c>
      <c r="C1868" s="8" t="s">
        <v>21</v>
      </c>
      <c r="D1868" s="8" t="str">
        <f>"陈雅静"</f>
        <v>陈雅静</v>
      </c>
      <c r="E1868" s="8" t="str">
        <f t="shared" si="265"/>
        <v>女</v>
      </c>
    </row>
    <row r="1869" spans="1:5" ht="30" customHeight="1">
      <c r="A1869" s="8">
        <v>1866</v>
      </c>
      <c r="B1869" s="8" t="str">
        <f>"38492022042220295534520"</f>
        <v>38492022042220295534520</v>
      </c>
      <c r="C1869" s="8" t="s">
        <v>21</v>
      </c>
      <c r="D1869" s="8" t="str">
        <f>"陈宛妮"</f>
        <v>陈宛妮</v>
      </c>
      <c r="E1869" s="8" t="str">
        <f t="shared" si="265"/>
        <v>女</v>
      </c>
    </row>
    <row r="1870" spans="1:5" ht="30" customHeight="1">
      <c r="A1870" s="8">
        <v>1867</v>
      </c>
      <c r="B1870" s="8" t="str">
        <f>"38492022042220315534523"</f>
        <v>38492022042220315534523</v>
      </c>
      <c r="C1870" s="8" t="s">
        <v>21</v>
      </c>
      <c r="D1870" s="8" t="str">
        <f>"李精艳"</f>
        <v>李精艳</v>
      </c>
      <c r="E1870" s="8" t="str">
        <f t="shared" si="265"/>
        <v>女</v>
      </c>
    </row>
    <row r="1871" spans="1:5" ht="30" customHeight="1">
      <c r="A1871" s="8">
        <v>1868</v>
      </c>
      <c r="B1871" s="8" t="str">
        <f>"38492022042220353934527"</f>
        <v>38492022042220353934527</v>
      </c>
      <c r="C1871" s="8" t="s">
        <v>21</v>
      </c>
      <c r="D1871" s="8" t="str">
        <f>"吴锺川"</f>
        <v>吴锺川</v>
      </c>
      <c r="E1871" s="8" t="str">
        <f>"男"</f>
        <v>男</v>
      </c>
    </row>
    <row r="1872" spans="1:5" ht="30" customHeight="1">
      <c r="A1872" s="8">
        <v>1869</v>
      </c>
      <c r="B1872" s="8" t="str">
        <f>"38492022042220355134528"</f>
        <v>38492022042220355134528</v>
      </c>
      <c r="C1872" s="8" t="s">
        <v>21</v>
      </c>
      <c r="D1872" s="8" t="str">
        <f>"王慧"</f>
        <v>王慧</v>
      </c>
      <c r="E1872" s="8" t="str">
        <f aca="true" t="shared" si="266" ref="E1872:E1878">"女"</f>
        <v>女</v>
      </c>
    </row>
    <row r="1873" spans="1:5" ht="30" customHeight="1">
      <c r="A1873" s="8">
        <v>1870</v>
      </c>
      <c r="B1873" s="8" t="str">
        <f>"38492022042220362434529"</f>
        <v>38492022042220362434529</v>
      </c>
      <c r="C1873" s="8" t="s">
        <v>21</v>
      </c>
      <c r="D1873" s="8" t="str">
        <f>"刘小叶"</f>
        <v>刘小叶</v>
      </c>
      <c r="E1873" s="8" t="str">
        <f t="shared" si="266"/>
        <v>女</v>
      </c>
    </row>
    <row r="1874" spans="1:5" ht="30" customHeight="1">
      <c r="A1874" s="8">
        <v>1871</v>
      </c>
      <c r="B1874" s="8" t="str">
        <f>"38492022042220423434547"</f>
        <v>38492022042220423434547</v>
      </c>
      <c r="C1874" s="8" t="s">
        <v>21</v>
      </c>
      <c r="D1874" s="8" t="str">
        <f>"陈奕港"</f>
        <v>陈奕港</v>
      </c>
      <c r="E1874" s="8" t="str">
        <f>"男"</f>
        <v>男</v>
      </c>
    </row>
    <row r="1875" spans="1:5" ht="30" customHeight="1">
      <c r="A1875" s="8">
        <v>1872</v>
      </c>
      <c r="B1875" s="8" t="str">
        <f>"38492022042220490134556"</f>
        <v>38492022042220490134556</v>
      </c>
      <c r="C1875" s="8" t="s">
        <v>21</v>
      </c>
      <c r="D1875" s="8" t="str">
        <f>"郑庆妍"</f>
        <v>郑庆妍</v>
      </c>
      <c r="E1875" s="8" t="str">
        <f t="shared" si="266"/>
        <v>女</v>
      </c>
    </row>
    <row r="1876" spans="1:5" ht="30" customHeight="1">
      <c r="A1876" s="8">
        <v>1873</v>
      </c>
      <c r="B1876" s="8" t="str">
        <f>"38492022042220543334568"</f>
        <v>38492022042220543334568</v>
      </c>
      <c r="C1876" s="8" t="s">
        <v>21</v>
      </c>
      <c r="D1876" s="8" t="str">
        <f>"符敦苗"</f>
        <v>符敦苗</v>
      </c>
      <c r="E1876" s="8" t="str">
        <f t="shared" si="266"/>
        <v>女</v>
      </c>
    </row>
    <row r="1877" spans="1:5" ht="30" customHeight="1">
      <c r="A1877" s="8">
        <v>1874</v>
      </c>
      <c r="B1877" s="8" t="str">
        <f>"38492022042221002534580"</f>
        <v>38492022042221002534580</v>
      </c>
      <c r="C1877" s="8" t="s">
        <v>21</v>
      </c>
      <c r="D1877" s="8" t="str">
        <f>"郑学妍"</f>
        <v>郑学妍</v>
      </c>
      <c r="E1877" s="8" t="str">
        <f t="shared" si="266"/>
        <v>女</v>
      </c>
    </row>
    <row r="1878" spans="1:5" ht="30" customHeight="1">
      <c r="A1878" s="8">
        <v>1875</v>
      </c>
      <c r="B1878" s="8" t="str">
        <f>"38492022042221015034584"</f>
        <v>38492022042221015034584</v>
      </c>
      <c r="C1878" s="8" t="s">
        <v>21</v>
      </c>
      <c r="D1878" s="8" t="str">
        <f>"李美桂"</f>
        <v>李美桂</v>
      </c>
      <c r="E1878" s="8" t="str">
        <f t="shared" si="266"/>
        <v>女</v>
      </c>
    </row>
    <row r="1879" spans="1:5" ht="30" customHeight="1">
      <c r="A1879" s="8">
        <v>1876</v>
      </c>
      <c r="B1879" s="8" t="str">
        <f>"38492022042221113834599"</f>
        <v>38492022042221113834599</v>
      </c>
      <c r="C1879" s="8" t="s">
        <v>21</v>
      </c>
      <c r="D1879" s="8" t="str">
        <f>"韦伟"</f>
        <v>韦伟</v>
      </c>
      <c r="E1879" s="8" t="str">
        <f aca="true" t="shared" si="267" ref="E1879:E1881">"男"</f>
        <v>男</v>
      </c>
    </row>
    <row r="1880" spans="1:5" ht="30" customHeight="1">
      <c r="A1880" s="8">
        <v>1877</v>
      </c>
      <c r="B1880" s="8" t="str">
        <f>"38492022042221121834600"</f>
        <v>38492022042221121834600</v>
      </c>
      <c r="C1880" s="8" t="s">
        <v>21</v>
      </c>
      <c r="D1880" s="8" t="str">
        <f>"许启琼"</f>
        <v>许启琼</v>
      </c>
      <c r="E1880" s="8" t="str">
        <f t="shared" si="267"/>
        <v>男</v>
      </c>
    </row>
    <row r="1881" spans="1:5" ht="30" customHeight="1">
      <c r="A1881" s="8">
        <v>1878</v>
      </c>
      <c r="B1881" s="8" t="str">
        <f>"38492022042221165434609"</f>
        <v>38492022042221165434609</v>
      </c>
      <c r="C1881" s="8" t="s">
        <v>21</v>
      </c>
      <c r="D1881" s="8" t="str">
        <f>"李子旺"</f>
        <v>李子旺</v>
      </c>
      <c r="E1881" s="8" t="str">
        <f t="shared" si="267"/>
        <v>男</v>
      </c>
    </row>
    <row r="1882" spans="1:5" ht="30" customHeight="1">
      <c r="A1882" s="8">
        <v>1879</v>
      </c>
      <c r="B1882" s="8" t="str">
        <f>"38492022042221175434610"</f>
        <v>38492022042221175434610</v>
      </c>
      <c r="C1882" s="8" t="s">
        <v>21</v>
      </c>
      <c r="D1882" s="8" t="str">
        <f>"陈扬玲"</f>
        <v>陈扬玲</v>
      </c>
      <c r="E1882" s="8" t="str">
        <f aca="true" t="shared" si="268" ref="E1882:E1887">"女"</f>
        <v>女</v>
      </c>
    </row>
    <row r="1883" spans="1:5" ht="30" customHeight="1">
      <c r="A1883" s="8">
        <v>1880</v>
      </c>
      <c r="B1883" s="8" t="str">
        <f>"38492022042221214434621"</f>
        <v>38492022042221214434621</v>
      </c>
      <c r="C1883" s="8" t="s">
        <v>21</v>
      </c>
      <c r="D1883" s="8" t="str">
        <f>"洪涛"</f>
        <v>洪涛</v>
      </c>
      <c r="E1883" s="8" t="str">
        <f aca="true" t="shared" si="269" ref="E1883:E1888">"男"</f>
        <v>男</v>
      </c>
    </row>
    <row r="1884" spans="1:5" ht="30" customHeight="1">
      <c r="A1884" s="8">
        <v>1881</v>
      </c>
      <c r="B1884" s="8" t="str">
        <f>"38492022042221244534624"</f>
        <v>38492022042221244534624</v>
      </c>
      <c r="C1884" s="8" t="s">
        <v>21</v>
      </c>
      <c r="D1884" s="8" t="str">
        <f>"吴燕阳"</f>
        <v>吴燕阳</v>
      </c>
      <c r="E1884" s="8" t="str">
        <f t="shared" si="268"/>
        <v>女</v>
      </c>
    </row>
    <row r="1885" spans="1:5" ht="30" customHeight="1">
      <c r="A1885" s="8">
        <v>1882</v>
      </c>
      <c r="B1885" s="8" t="str">
        <f>"38492022042221265034629"</f>
        <v>38492022042221265034629</v>
      </c>
      <c r="C1885" s="8" t="s">
        <v>21</v>
      </c>
      <c r="D1885" s="8" t="str">
        <f>"冼基海"</f>
        <v>冼基海</v>
      </c>
      <c r="E1885" s="8" t="str">
        <f t="shared" si="269"/>
        <v>男</v>
      </c>
    </row>
    <row r="1886" spans="1:5" ht="30" customHeight="1">
      <c r="A1886" s="8">
        <v>1883</v>
      </c>
      <c r="B1886" s="8" t="str">
        <f>"38492022042221300034633"</f>
        <v>38492022042221300034633</v>
      </c>
      <c r="C1886" s="8" t="s">
        <v>21</v>
      </c>
      <c r="D1886" s="8" t="str">
        <f>"罗伶"</f>
        <v>罗伶</v>
      </c>
      <c r="E1886" s="8" t="str">
        <f t="shared" si="268"/>
        <v>女</v>
      </c>
    </row>
    <row r="1887" spans="1:5" ht="30" customHeight="1">
      <c r="A1887" s="8">
        <v>1884</v>
      </c>
      <c r="B1887" s="8" t="str">
        <f>"38492022042221300734634"</f>
        <v>38492022042221300734634</v>
      </c>
      <c r="C1887" s="8" t="s">
        <v>21</v>
      </c>
      <c r="D1887" s="8" t="str">
        <f>"蔡佳华"</f>
        <v>蔡佳华</v>
      </c>
      <c r="E1887" s="8" t="str">
        <f t="shared" si="268"/>
        <v>女</v>
      </c>
    </row>
    <row r="1888" spans="1:5" ht="30" customHeight="1">
      <c r="A1888" s="8">
        <v>1885</v>
      </c>
      <c r="B1888" s="8" t="str">
        <f>"38492022042221335834641"</f>
        <v>38492022042221335834641</v>
      </c>
      <c r="C1888" s="8" t="s">
        <v>21</v>
      </c>
      <c r="D1888" s="8" t="str">
        <f>"洪海"</f>
        <v>洪海</v>
      </c>
      <c r="E1888" s="8" t="str">
        <f t="shared" si="269"/>
        <v>男</v>
      </c>
    </row>
    <row r="1889" spans="1:5" ht="30" customHeight="1">
      <c r="A1889" s="8">
        <v>1886</v>
      </c>
      <c r="B1889" s="8" t="str">
        <f>"38492022042221341934642"</f>
        <v>38492022042221341934642</v>
      </c>
      <c r="C1889" s="8" t="s">
        <v>21</v>
      </c>
      <c r="D1889" s="8" t="str">
        <f>"王钊灵"</f>
        <v>王钊灵</v>
      </c>
      <c r="E1889" s="8" t="str">
        <f aca="true" t="shared" si="270" ref="E1889:E1894">"女"</f>
        <v>女</v>
      </c>
    </row>
    <row r="1890" spans="1:5" ht="30" customHeight="1">
      <c r="A1890" s="8">
        <v>1887</v>
      </c>
      <c r="B1890" s="8" t="str">
        <f>"38492022042221411334652"</f>
        <v>38492022042221411334652</v>
      </c>
      <c r="C1890" s="8" t="s">
        <v>21</v>
      </c>
      <c r="D1890" s="8" t="str">
        <f>"冯登朝"</f>
        <v>冯登朝</v>
      </c>
      <c r="E1890" s="8" t="str">
        <f aca="true" t="shared" si="271" ref="E1890:E1897">"男"</f>
        <v>男</v>
      </c>
    </row>
    <row r="1891" spans="1:5" ht="30" customHeight="1">
      <c r="A1891" s="8">
        <v>1888</v>
      </c>
      <c r="B1891" s="8" t="str">
        <f>"38492022042221414634657"</f>
        <v>38492022042221414634657</v>
      </c>
      <c r="C1891" s="8" t="s">
        <v>21</v>
      </c>
      <c r="D1891" s="8" t="str">
        <f>"陈东湖"</f>
        <v>陈东湖</v>
      </c>
      <c r="E1891" s="8" t="str">
        <f t="shared" si="271"/>
        <v>男</v>
      </c>
    </row>
    <row r="1892" spans="1:5" ht="30" customHeight="1">
      <c r="A1892" s="8">
        <v>1889</v>
      </c>
      <c r="B1892" s="8" t="str">
        <f>"38492022042221463534670"</f>
        <v>38492022042221463534670</v>
      </c>
      <c r="C1892" s="8" t="s">
        <v>21</v>
      </c>
      <c r="D1892" s="8" t="str">
        <f>"羊金莲"</f>
        <v>羊金莲</v>
      </c>
      <c r="E1892" s="8" t="str">
        <f t="shared" si="270"/>
        <v>女</v>
      </c>
    </row>
    <row r="1893" spans="1:5" ht="30" customHeight="1">
      <c r="A1893" s="8">
        <v>1890</v>
      </c>
      <c r="B1893" s="8" t="str">
        <f>"38492022042221483434673"</f>
        <v>38492022042221483434673</v>
      </c>
      <c r="C1893" s="8" t="s">
        <v>21</v>
      </c>
      <c r="D1893" s="8" t="str">
        <f>"陈秋萍"</f>
        <v>陈秋萍</v>
      </c>
      <c r="E1893" s="8" t="str">
        <f t="shared" si="270"/>
        <v>女</v>
      </c>
    </row>
    <row r="1894" spans="1:5" ht="30" customHeight="1">
      <c r="A1894" s="8">
        <v>1891</v>
      </c>
      <c r="B1894" s="8" t="str">
        <f>"38492022042221534734682"</f>
        <v>38492022042221534734682</v>
      </c>
      <c r="C1894" s="8" t="s">
        <v>21</v>
      </c>
      <c r="D1894" s="8" t="str">
        <f>"陈冰冰"</f>
        <v>陈冰冰</v>
      </c>
      <c r="E1894" s="8" t="str">
        <f t="shared" si="270"/>
        <v>女</v>
      </c>
    </row>
    <row r="1895" spans="1:5" ht="30" customHeight="1">
      <c r="A1895" s="8">
        <v>1892</v>
      </c>
      <c r="B1895" s="8" t="str">
        <f>"38492022042221550634686"</f>
        <v>38492022042221550634686</v>
      </c>
      <c r="C1895" s="8" t="s">
        <v>21</v>
      </c>
      <c r="D1895" s="8" t="str">
        <f>"符厚华"</f>
        <v>符厚华</v>
      </c>
      <c r="E1895" s="8" t="str">
        <f t="shared" si="271"/>
        <v>男</v>
      </c>
    </row>
    <row r="1896" spans="1:5" ht="30" customHeight="1">
      <c r="A1896" s="8">
        <v>1893</v>
      </c>
      <c r="B1896" s="8" t="str">
        <f>"38492022042222031634700"</f>
        <v>38492022042222031634700</v>
      </c>
      <c r="C1896" s="8" t="s">
        <v>21</v>
      </c>
      <c r="D1896" s="8" t="str">
        <f>"符楷"</f>
        <v>符楷</v>
      </c>
      <c r="E1896" s="8" t="str">
        <f t="shared" si="271"/>
        <v>男</v>
      </c>
    </row>
    <row r="1897" spans="1:5" ht="30" customHeight="1">
      <c r="A1897" s="8">
        <v>1894</v>
      </c>
      <c r="B1897" s="8" t="str">
        <f>"38492022042222112634713"</f>
        <v>38492022042222112634713</v>
      </c>
      <c r="C1897" s="8" t="s">
        <v>21</v>
      </c>
      <c r="D1897" s="8" t="str">
        <f>"王富鹏"</f>
        <v>王富鹏</v>
      </c>
      <c r="E1897" s="8" t="str">
        <f t="shared" si="271"/>
        <v>男</v>
      </c>
    </row>
    <row r="1898" spans="1:5" ht="30" customHeight="1">
      <c r="A1898" s="8">
        <v>1895</v>
      </c>
      <c r="B1898" s="8" t="str">
        <f>"38492022042222155234720"</f>
        <v>38492022042222155234720</v>
      </c>
      <c r="C1898" s="8" t="s">
        <v>21</v>
      </c>
      <c r="D1898" s="8" t="str">
        <f>"叶欣欣"</f>
        <v>叶欣欣</v>
      </c>
      <c r="E1898" s="8" t="str">
        <f aca="true" t="shared" si="272" ref="E1898:E1901">"女"</f>
        <v>女</v>
      </c>
    </row>
    <row r="1899" spans="1:5" ht="30" customHeight="1">
      <c r="A1899" s="8">
        <v>1896</v>
      </c>
      <c r="B1899" s="8" t="str">
        <f>"38492022042222160434721"</f>
        <v>38492022042222160434721</v>
      </c>
      <c r="C1899" s="8" t="s">
        <v>21</v>
      </c>
      <c r="D1899" s="8" t="str">
        <f>"王梦园"</f>
        <v>王梦园</v>
      </c>
      <c r="E1899" s="8" t="str">
        <f t="shared" si="272"/>
        <v>女</v>
      </c>
    </row>
    <row r="1900" spans="1:5" ht="30" customHeight="1">
      <c r="A1900" s="8">
        <v>1897</v>
      </c>
      <c r="B1900" s="8" t="str">
        <f>"38492022042222165834723"</f>
        <v>38492022042222165834723</v>
      </c>
      <c r="C1900" s="8" t="s">
        <v>21</v>
      </c>
      <c r="D1900" s="8" t="str">
        <f>"郑以震"</f>
        <v>郑以震</v>
      </c>
      <c r="E1900" s="8" t="str">
        <f t="shared" si="272"/>
        <v>女</v>
      </c>
    </row>
    <row r="1901" spans="1:5" ht="30" customHeight="1">
      <c r="A1901" s="8">
        <v>1898</v>
      </c>
      <c r="B1901" s="8" t="str">
        <f>"38492022042222213534734"</f>
        <v>38492022042222213534734</v>
      </c>
      <c r="C1901" s="8" t="s">
        <v>21</v>
      </c>
      <c r="D1901" s="8" t="str">
        <f>"韦嗣扬"</f>
        <v>韦嗣扬</v>
      </c>
      <c r="E1901" s="8" t="str">
        <f t="shared" si="272"/>
        <v>女</v>
      </c>
    </row>
    <row r="1902" spans="1:5" ht="30" customHeight="1">
      <c r="A1902" s="8">
        <v>1899</v>
      </c>
      <c r="B1902" s="8" t="str">
        <f>"38492022042222215934735"</f>
        <v>38492022042222215934735</v>
      </c>
      <c r="C1902" s="8" t="s">
        <v>21</v>
      </c>
      <c r="D1902" s="8" t="str">
        <f>"谢明海"</f>
        <v>谢明海</v>
      </c>
      <c r="E1902" s="8" t="str">
        <f aca="true" t="shared" si="273" ref="E1902:E1907">"男"</f>
        <v>男</v>
      </c>
    </row>
    <row r="1903" spans="1:5" ht="30" customHeight="1">
      <c r="A1903" s="8">
        <v>1900</v>
      </c>
      <c r="B1903" s="8" t="str">
        <f>"38492022042222395934757"</f>
        <v>38492022042222395934757</v>
      </c>
      <c r="C1903" s="8" t="s">
        <v>21</v>
      </c>
      <c r="D1903" s="8" t="str">
        <f>"杜艳茹"</f>
        <v>杜艳茹</v>
      </c>
      <c r="E1903" s="8" t="str">
        <f>"女"</f>
        <v>女</v>
      </c>
    </row>
    <row r="1904" spans="1:5" ht="30" customHeight="1">
      <c r="A1904" s="8">
        <v>1901</v>
      </c>
      <c r="B1904" s="8" t="str">
        <f>"38492022042222413534761"</f>
        <v>38492022042222413534761</v>
      </c>
      <c r="C1904" s="8" t="s">
        <v>21</v>
      </c>
      <c r="D1904" s="8" t="str">
        <f>"邓家佳"</f>
        <v>邓家佳</v>
      </c>
      <c r="E1904" s="8" t="str">
        <f t="shared" si="273"/>
        <v>男</v>
      </c>
    </row>
    <row r="1905" spans="1:5" ht="30" customHeight="1">
      <c r="A1905" s="8">
        <v>1902</v>
      </c>
      <c r="B1905" s="8" t="str">
        <f>"38492022042222424434763"</f>
        <v>38492022042222424434763</v>
      </c>
      <c r="C1905" s="8" t="s">
        <v>21</v>
      </c>
      <c r="D1905" s="8" t="str">
        <f>"王广飞"</f>
        <v>王广飞</v>
      </c>
      <c r="E1905" s="8" t="str">
        <f t="shared" si="273"/>
        <v>男</v>
      </c>
    </row>
    <row r="1906" spans="1:5" ht="30" customHeight="1">
      <c r="A1906" s="8">
        <v>1903</v>
      </c>
      <c r="B1906" s="8" t="str">
        <f>"38492022042222521234776"</f>
        <v>38492022042222521234776</v>
      </c>
      <c r="C1906" s="8" t="s">
        <v>21</v>
      </c>
      <c r="D1906" s="8" t="str">
        <f>"邢王秀"</f>
        <v>邢王秀</v>
      </c>
      <c r="E1906" s="8" t="str">
        <f t="shared" si="273"/>
        <v>男</v>
      </c>
    </row>
    <row r="1907" spans="1:5" ht="30" customHeight="1">
      <c r="A1907" s="8">
        <v>1904</v>
      </c>
      <c r="B1907" s="8" t="str">
        <f>"38492022042222540134778"</f>
        <v>38492022042222540134778</v>
      </c>
      <c r="C1907" s="8" t="s">
        <v>21</v>
      </c>
      <c r="D1907" s="8" t="str">
        <f>"冯所宁"</f>
        <v>冯所宁</v>
      </c>
      <c r="E1907" s="8" t="str">
        <f t="shared" si="273"/>
        <v>男</v>
      </c>
    </row>
    <row r="1908" spans="1:5" ht="30" customHeight="1">
      <c r="A1908" s="8">
        <v>1905</v>
      </c>
      <c r="B1908" s="8" t="str">
        <f>"38492022042222554634781"</f>
        <v>38492022042222554634781</v>
      </c>
      <c r="C1908" s="8" t="s">
        <v>21</v>
      </c>
      <c r="D1908" s="8" t="str">
        <f>"陈春英"</f>
        <v>陈春英</v>
      </c>
      <c r="E1908" s="8" t="str">
        <f aca="true" t="shared" si="274" ref="E1908:E1914">"女"</f>
        <v>女</v>
      </c>
    </row>
    <row r="1909" spans="1:5" ht="30" customHeight="1">
      <c r="A1909" s="8">
        <v>1906</v>
      </c>
      <c r="B1909" s="8" t="str">
        <f>"38492022042222560234782"</f>
        <v>38492022042222560234782</v>
      </c>
      <c r="C1909" s="8" t="s">
        <v>21</v>
      </c>
      <c r="D1909" s="8" t="str">
        <f>"陈承富"</f>
        <v>陈承富</v>
      </c>
      <c r="E1909" s="8" t="str">
        <f>"男"</f>
        <v>男</v>
      </c>
    </row>
    <row r="1910" spans="1:5" ht="30" customHeight="1">
      <c r="A1910" s="8">
        <v>1907</v>
      </c>
      <c r="B1910" s="8" t="str">
        <f>"38492022042222565134783"</f>
        <v>38492022042222565134783</v>
      </c>
      <c r="C1910" s="8" t="s">
        <v>21</v>
      </c>
      <c r="D1910" s="8" t="str">
        <f>"李慢晶"</f>
        <v>李慢晶</v>
      </c>
      <c r="E1910" s="8" t="str">
        <f t="shared" si="274"/>
        <v>女</v>
      </c>
    </row>
    <row r="1911" spans="1:5" ht="30" customHeight="1">
      <c r="A1911" s="8">
        <v>1908</v>
      </c>
      <c r="B1911" s="8" t="str">
        <f>"38492022042223050734795"</f>
        <v>38492022042223050734795</v>
      </c>
      <c r="C1911" s="8" t="s">
        <v>21</v>
      </c>
      <c r="D1911" s="8" t="str">
        <f>"李秋燕"</f>
        <v>李秋燕</v>
      </c>
      <c r="E1911" s="8" t="str">
        <f t="shared" si="274"/>
        <v>女</v>
      </c>
    </row>
    <row r="1912" spans="1:5" ht="30" customHeight="1">
      <c r="A1912" s="8">
        <v>1909</v>
      </c>
      <c r="B1912" s="8" t="str">
        <f>"38492022042223354734826"</f>
        <v>38492022042223354734826</v>
      </c>
      <c r="C1912" s="8" t="s">
        <v>21</v>
      </c>
      <c r="D1912" s="8" t="str">
        <f>"陈开顺"</f>
        <v>陈开顺</v>
      </c>
      <c r="E1912" s="8" t="str">
        <f t="shared" si="274"/>
        <v>女</v>
      </c>
    </row>
    <row r="1913" spans="1:5" ht="30" customHeight="1">
      <c r="A1913" s="8">
        <v>1910</v>
      </c>
      <c r="B1913" s="8" t="str">
        <f>"38492022042223590434838"</f>
        <v>38492022042223590434838</v>
      </c>
      <c r="C1913" s="8" t="s">
        <v>21</v>
      </c>
      <c r="D1913" s="8" t="str">
        <f>"莫新嫩"</f>
        <v>莫新嫩</v>
      </c>
      <c r="E1913" s="8" t="str">
        <f t="shared" si="274"/>
        <v>女</v>
      </c>
    </row>
    <row r="1914" spans="1:5" ht="30" customHeight="1">
      <c r="A1914" s="8">
        <v>1911</v>
      </c>
      <c r="B1914" s="8" t="str">
        <f>"38492022042300134334844"</f>
        <v>38492022042300134334844</v>
      </c>
      <c r="C1914" s="8" t="s">
        <v>21</v>
      </c>
      <c r="D1914" s="8" t="str">
        <f>"陈肖飞"</f>
        <v>陈肖飞</v>
      </c>
      <c r="E1914" s="8" t="str">
        <f t="shared" si="274"/>
        <v>女</v>
      </c>
    </row>
    <row r="1915" spans="1:5" ht="30" customHeight="1">
      <c r="A1915" s="8">
        <v>1912</v>
      </c>
      <c r="B1915" s="8" t="str">
        <f>"38492022042300400634855"</f>
        <v>38492022042300400634855</v>
      </c>
      <c r="C1915" s="8" t="s">
        <v>21</v>
      </c>
      <c r="D1915" s="8" t="str">
        <f>"吴毓胜"</f>
        <v>吴毓胜</v>
      </c>
      <c r="E1915" s="8" t="str">
        <f aca="true" t="shared" si="275" ref="E1915:E1920">"男"</f>
        <v>男</v>
      </c>
    </row>
    <row r="1916" spans="1:5" ht="30" customHeight="1">
      <c r="A1916" s="8">
        <v>1913</v>
      </c>
      <c r="B1916" s="8" t="str">
        <f>"38492022042300423734857"</f>
        <v>38492022042300423734857</v>
      </c>
      <c r="C1916" s="8" t="s">
        <v>21</v>
      </c>
      <c r="D1916" s="8" t="str">
        <f>"王小妹"</f>
        <v>王小妹</v>
      </c>
      <c r="E1916" s="8" t="str">
        <f aca="true" t="shared" si="276" ref="E1916:E1919">"女"</f>
        <v>女</v>
      </c>
    </row>
    <row r="1917" spans="1:5" ht="30" customHeight="1">
      <c r="A1917" s="8">
        <v>1914</v>
      </c>
      <c r="B1917" s="8" t="str">
        <f>"38492022042301031034860"</f>
        <v>38492022042301031034860</v>
      </c>
      <c r="C1917" s="8" t="s">
        <v>21</v>
      </c>
      <c r="D1917" s="8" t="str">
        <f>"何日美"</f>
        <v>何日美</v>
      </c>
      <c r="E1917" s="8" t="str">
        <f t="shared" si="276"/>
        <v>女</v>
      </c>
    </row>
    <row r="1918" spans="1:5" ht="30" customHeight="1">
      <c r="A1918" s="8">
        <v>1915</v>
      </c>
      <c r="B1918" s="8" t="str">
        <f>"38492022042301193434865"</f>
        <v>38492022042301193434865</v>
      </c>
      <c r="C1918" s="8" t="s">
        <v>21</v>
      </c>
      <c r="D1918" s="8" t="str">
        <f>"邢增智"</f>
        <v>邢增智</v>
      </c>
      <c r="E1918" s="8" t="str">
        <f t="shared" si="275"/>
        <v>男</v>
      </c>
    </row>
    <row r="1919" spans="1:5" ht="30" customHeight="1">
      <c r="A1919" s="8">
        <v>1916</v>
      </c>
      <c r="B1919" s="8" t="str">
        <f>"38492022042301233634866"</f>
        <v>38492022042301233634866</v>
      </c>
      <c r="C1919" s="8" t="s">
        <v>21</v>
      </c>
      <c r="D1919" s="8" t="str">
        <f>"吴佳慧"</f>
        <v>吴佳慧</v>
      </c>
      <c r="E1919" s="8" t="str">
        <f t="shared" si="276"/>
        <v>女</v>
      </c>
    </row>
    <row r="1920" spans="1:5" ht="30" customHeight="1">
      <c r="A1920" s="8">
        <v>1917</v>
      </c>
      <c r="B1920" s="8" t="str">
        <f>"38492022042302325434870"</f>
        <v>38492022042302325434870</v>
      </c>
      <c r="C1920" s="8" t="s">
        <v>21</v>
      </c>
      <c r="D1920" s="8" t="str">
        <f>"韩万强"</f>
        <v>韩万强</v>
      </c>
      <c r="E1920" s="8" t="str">
        <f t="shared" si="275"/>
        <v>男</v>
      </c>
    </row>
    <row r="1921" spans="1:5" ht="30" customHeight="1">
      <c r="A1921" s="8">
        <v>1918</v>
      </c>
      <c r="B1921" s="8" t="str">
        <f>"38492022042307113434877"</f>
        <v>38492022042307113434877</v>
      </c>
      <c r="C1921" s="8" t="s">
        <v>21</v>
      </c>
      <c r="D1921" s="8" t="str">
        <f>"吴清雅"</f>
        <v>吴清雅</v>
      </c>
      <c r="E1921" s="8" t="str">
        <f aca="true" t="shared" si="277" ref="E1921:E1925">"女"</f>
        <v>女</v>
      </c>
    </row>
    <row r="1922" spans="1:5" ht="30" customHeight="1">
      <c r="A1922" s="8">
        <v>1919</v>
      </c>
      <c r="B1922" s="8" t="str">
        <f>"38492022042307424234887"</f>
        <v>38492022042307424234887</v>
      </c>
      <c r="C1922" s="8" t="s">
        <v>21</v>
      </c>
      <c r="D1922" s="8" t="str">
        <f>"王羽"</f>
        <v>王羽</v>
      </c>
      <c r="E1922" s="8" t="str">
        <f t="shared" si="277"/>
        <v>女</v>
      </c>
    </row>
    <row r="1923" spans="1:5" ht="30" customHeight="1">
      <c r="A1923" s="8">
        <v>1920</v>
      </c>
      <c r="B1923" s="8" t="str">
        <f>"38492022042308200234901"</f>
        <v>38492022042308200234901</v>
      </c>
      <c r="C1923" s="8" t="s">
        <v>21</v>
      </c>
      <c r="D1923" s="8" t="str">
        <f>"曹强锋"</f>
        <v>曹强锋</v>
      </c>
      <c r="E1923" s="8" t="str">
        <f aca="true" t="shared" si="278" ref="E1923:E1928">"男"</f>
        <v>男</v>
      </c>
    </row>
    <row r="1924" spans="1:5" ht="30" customHeight="1">
      <c r="A1924" s="8">
        <v>1921</v>
      </c>
      <c r="B1924" s="8" t="str">
        <f>"38492022042308350734912"</f>
        <v>38492022042308350734912</v>
      </c>
      <c r="C1924" s="8" t="s">
        <v>21</v>
      </c>
      <c r="D1924" s="8" t="str">
        <f>"蒙韫怡"</f>
        <v>蒙韫怡</v>
      </c>
      <c r="E1924" s="8" t="str">
        <f t="shared" si="277"/>
        <v>女</v>
      </c>
    </row>
    <row r="1925" spans="1:5" ht="30" customHeight="1">
      <c r="A1925" s="8">
        <v>1922</v>
      </c>
      <c r="B1925" s="8" t="str">
        <f>"38492022042308460634921"</f>
        <v>38492022042308460634921</v>
      </c>
      <c r="C1925" s="8" t="s">
        <v>21</v>
      </c>
      <c r="D1925" s="8" t="str">
        <f>"徐虹翡"</f>
        <v>徐虹翡</v>
      </c>
      <c r="E1925" s="8" t="str">
        <f t="shared" si="277"/>
        <v>女</v>
      </c>
    </row>
    <row r="1926" spans="1:5" ht="30" customHeight="1">
      <c r="A1926" s="8">
        <v>1923</v>
      </c>
      <c r="B1926" s="8" t="str">
        <f>"38492022042309084234929"</f>
        <v>38492022042309084234929</v>
      </c>
      <c r="C1926" s="8" t="s">
        <v>21</v>
      </c>
      <c r="D1926" s="8" t="str">
        <f>"陈川宇"</f>
        <v>陈川宇</v>
      </c>
      <c r="E1926" s="8" t="str">
        <f t="shared" si="278"/>
        <v>男</v>
      </c>
    </row>
    <row r="1927" spans="1:5" ht="30" customHeight="1">
      <c r="A1927" s="8">
        <v>1924</v>
      </c>
      <c r="B1927" s="8" t="str">
        <f>"38492022042309153334940"</f>
        <v>38492022042309153334940</v>
      </c>
      <c r="C1927" s="8" t="s">
        <v>21</v>
      </c>
      <c r="D1927" s="8" t="str">
        <f>"苏红丹"</f>
        <v>苏红丹</v>
      </c>
      <c r="E1927" s="8" t="str">
        <f aca="true" t="shared" si="279" ref="E1927:E1930">"女"</f>
        <v>女</v>
      </c>
    </row>
    <row r="1928" spans="1:5" ht="30" customHeight="1">
      <c r="A1928" s="8">
        <v>1925</v>
      </c>
      <c r="B1928" s="8" t="str">
        <f>"38492022042309191634945"</f>
        <v>38492022042309191634945</v>
      </c>
      <c r="C1928" s="8" t="s">
        <v>21</v>
      </c>
      <c r="D1928" s="8" t="str">
        <f>"邱怡平"</f>
        <v>邱怡平</v>
      </c>
      <c r="E1928" s="8" t="str">
        <f t="shared" si="278"/>
        <v>男</v>
      </c>
    </row>
    <row r="1929" spans="1:5" ht="30" customHeight="1">
      <c r="A1929" s="8">
        <v>1926</v>
      </c>
      <c r="B1929" s="8" t="str">
        <f>"38492022042309215534949"</f>
        <v>38492022042309215534949</v>
      </c>
      <c r="C1929" s="8" t="s">
        <v>21</v>
      </c>
      <c r="D1929" s="8" t="str">
        <f>"黄文彦"</f>
        <v>黄文彦</v>
      </c>
      <c r="E1929" s="8" t="str">
        <f t="shared" si="279"/>
        <v>女</v>
      </c>
    </row>
    <row r="1930" spans="1:5" ht="30" customHeight="1">
      <c r="A1930" s="8">
        <v>1927</v>
      </c>
      <c r="B1930" s="8" t="str">
        <f>"38492022042309481234982"</f>
        <v>38492022042309481234982</v>
      </c>
      <c r="C1930" s="8" t="s">
        <v>21</v>
      </c>
      <c r="D1930" s="8" t="str">
        <f>"陈定蕾"</f>
        <v>陈定蕾</v>
      </c>
      <c r="E1930" s="8" t="str">
        <f t="shared" si="279"/>
        <v>女</v>
      </c>
    </row>
    <row r="1931" spans="1:5" ht="30" customHeight="1">
      <c r="A1931" s="8">
        <v>1928</v>
      </c>
      <c r="B1931" s="8" t="str">
        <f>"38492022042309483134983"</f>
        <v>38492022042309483134983</v>
      </c>
      <c r="C1931" s="8" t="s">
        <v>21</v>
      </c>
      <c r="D1931" s="8" t="str">
        <f>"刘经纬"</f>
        <v>刘经纬</v>
      </c>
      <c r="E1931" s="8" t="str">
        <f aca="true" t="shared" si="280" ref="E1931:E1934">"男"</f>
        <v>男</v>
      </c>
    </row>
    <row r="1932" spans="1:5" ht="30" customHeight="1">
      <c r="A1932" s="8">
        <v>1929</v>
      </c>
      <c r="B1932" s="8" t="str">
        <f>"38492022042309491634985"</f>
        <v>38492022042309491634985</v>
      </c>
      <c r="C1932" s="8" t="s">
        <v>21</v>
      </c>
      <c r="D1932" s="8" t="str">
        <f>"石令敏"</f>
        <v>石令敏</v>
      </c>
      <c r="E1932" s="8" t="str">
        <f t="shared" si="280"/>
        <v>男</v>
      </c>
    </row>
    <row r="1933" spans="1:5" ht="30" customHeight="1">
      <c r="A1933" s="8">
        <v>1930</v>
      </c>
      <c r="B1933" s="8" t="str">
        <f>"38492022042309493634986"</f>
        <v>38492022042309493634986</v>
      </c>
      <c r="C1933" s="8" t="s">
        <v>21</v>
      </c>
      <c r="D1933" s="8" t="str">
        <f>"林道强"</f>
        <v>林道强</v>
      </c>
      <c r="E1933" s="8" t="str">
        <f t="shared" si="280"/>
        <v>男</v>
      </c>
    </row>
    <row r="1934" spans="1:5" ht="30" customHeight="1">
      <c r="A1934" s="8">
        <v>1931</v>
      </c>
      <c r="B1934" s="8" t="str">
        <f>"38492022042309572534996"</f>
        <v>38492022042309572534996</v>
      </c>
      <c r="C1934" s="8" t="s">
        <v>21</v>
      </c>
      <c r="D1934" s="8" t="str">
        <f>"张文兵"</f>
        <v>张文兵</v>
      </c>
      <c r="E1934" s="8" t="str">
        <f t="shared" si="280"/>
        <v>男</v>
      </c>
    </row>
    <row r="1935" spans="1:5" ht="30" customHeight="1">
      <c r="A1935" s="8">
        <v>1932</v>
      </c>
      <c r="B1935" s="8" t="str">
        <f>"38492022042309584335000"</f>
        <v>38492022042309584335000</v>
      </c>
      <c r="C1935" s="8" t="s">
        <v>21</v>
      </c>
      <c r="D1935" s="8" t="str">
        <f>"陈美玲"</f>
        <v>陈美玲</v>
      </c>
      <c r="E1935" s="8" t="str">
        <f>"女"</f>
        <v>女</v>
      </c>
    </row>
    <row r="1936" spans="1:5" ht="30" customHeight="1">
      <c r="A1936" s="8">
        <v>1933</v>
      </c>
      <c r="B1936" s="8" t="str">
        <f>"38492022042309585435001"</f>
        <v>38492022042309585435001</v>
      </c>
      <c r="C1936" s="8" t="s">
        <v>21</v>
      </c>
      <c r="D1936" s="8" t="str">
        <f>"陈翅洪"</f>
        <v>陈翅洪</v>
      </c>
      <c r="E1936" s="8" t="str">
        <f aca="true" t="shared" si="281" ref="E1936:E1939">"男"</f>
        <v>男</v>
      </c>
    </row>
    <row r="1937" spans="1:5" ht="30" customHeight="1">
      <c r="A1937" s="8">
        <v>1934</v>
      </c>
      <c r="B1937" s="8" t="str">
        <f>"38492022042310150835020"</f>
        <v>38492022042310150835020</v>
      </c>
      <c r="C1937" s="8" t="s">
        <v>21</v>
      </c>
      <c r="D1937" s="8" t="str">
        <f>"李晓文"</f>
        <v>李晓文</v>
      </c>
      <c r="E1937" s="8" t="str">
        <f t="shared" si="281"/>
        <v>男</v>
      </c>
    </row>
    <row r="1938" spans="1:5" ht="30" customHeight="1">
      <c r="A1938" s="8">
        <v>1935</v>
      </c>
      <c r="B1938" s="8" t="str">
        <f>"38492022042310284935038"</f>
        <v>38492022042310284935038</v>
      </c>
      <c r="C1938" s="8" t="s">
        <v>21</v>
      </c>
      <c r="D1938" s="8" t="str">
        <f>"韩金仁"</f>
        <v>韩金仁</v>
      </c>
      <c r="E1938" s="8" t="str">
        <f t="shared" si="281"/>
        <v>男</v>
      </c>
    </row>
    <row r="1939" spans="1:5" ht="30" customHeight="1">
      <c r="A1939" s="8">
        <v>1936</v>
      </c>
      <c r="B1939" s="8" t="str">
        <f>"38492022042310325835045"</f>
        <v>38492022042310325835045</v>
      </c>
      <c r="C1939" s="8" t="s">
        <v>21</v>
      </c>
      <c r="D1939" s="8" t="str">
        <f>"王瑞天"</f>
        <v>王瑞天</v>
      </c>
      <c r="E1939" s="8" t="str">
        <f t="shared" si="281"/>
        <v>男</v>
      </c>
    </row>
    <row r="1940" spans="1:5" ht="30" customHeight="1">
      <c r="A1940" s="8">
        <v>1937</v>
      </c>
      <c r="B1940" s="8" t="str">
        <f>"38492022042310343235048"</f>
        <v>38492022042310343235048</v>
      </c>
      <c r="C1940" s="8" t="s">
        <v>21</v>
      </c>
      <c r="D1940" s="8" t="str">
        <f>"张芳舒"</f>
        <v>张芳舒</v>
      </c>
      <c r="E1940" s="8" t="str">
        <f aca="true" t="shared" si="282" ref="E1940:E1942">"女"</f>
        <v>女</v>
      </c>
    </row>
    <row r="1941" spans="1:5" ht="30" customHeight="1">
      <c r="A1941" s="8">
        <v>1938</v>
      </c>
      <c r="B1941" s="8" t="str">
        <f>"38492022042310415035055"</f>
        <v>38492022042310415035055</v>
      </c>
      <c r="C1941" s="8" t="s">
        <v>21</v>
      </c>
      <c r="D1941" s="8" t="str">
        <f>"陈晨"</f>
        <v>陈晨</v>
      </c>
      <c r="E1941" s="8" t="str">
        <f t="shared" si="282"/>
        <v>女</v>
      </c>
    </row>
    <row r="1942" spans="1:5" ht="30" customHeight="1">
      <c r="A1942" s="8">
        <v>1939</v>
      </c>
      <c r="B1942" s="8" t="str">
        <f>"38492022042310473635061"</f>
        <v>38492022042310473635061</v>
      </c>
      <c r="C1942" s="8" t="s">
        <v>21</v>
      </c>
      <c r="D1942" s="8" t="str">
        <f>"符庆莉"</f>
        <v>符庆莉</v>
      </c>
      <c r="E1942" s="8" t="str">
        <f t="shared" si="282"/>
        <v>女</v>
      </c>
    </row>
    <row r="1943" spans="1:5" ht="30" customHeight="1">
      <c r="A1943" s="8">
        <v>1940</v>
      </c>
      <c r="B1943" s="8" t="str">
        <f>"38492022042310474135062"</f>
        <v>38492022042310474135062</v>
      </c>
      <c r="C1943" s="8" t="s">
        <v>21</v>
      </c>
      <c r="D1943" s="8" t="str">
        <f>"李毅龙"</f>
        <v>李毅龙</v>
      </c>
      <c r="E1943" s="8" t="str">
        <f aca="true" t="shared" si="283" ref="E1943:E1946">"男"</f>
        <v>男</v>
      </c>
    </row>
    <row r="1944" spans="1:5" ht="30" customHeight="1">
      <c r="A1944" s="8">
        <v>1941</v>
      </c>
      <c r="B1944" s="8" t="str">
        <f>"38492022042310575835073"</f>
        <v>38492022042310575835073</v>
      </c>
      <c r="C1944" s="8" t="s">
        <v>21</v>
      </c>
      <c r="D1944" s="8" t="str">
        <f>"赵明泽"</f>
        <v>赵明泽</v>
      </c>
      <c r="E1944" s="8" t="str">
        <f t="shared" si="283"/>
        <v>男</v>
      </c>
    </row>
    <row r="1945" spans="1:5" ht="30" customHeight="1">
      <c r="A1945" s="8">
        <v>1942</v>
      </c>
      <c r="B1945" s="8" t="str">
        <f>"38492022042311163835103"</f>
        <v>38492022042311163835103</v>
      </c>
      <c r="C1945" s="8" t="s">
        <v>21</v>
      </c>
      <c r="D1945" s="8" t="str">
        <f>"张静雨"</f>
        <v>张静雨</v>
      </c>
      <c r="E1945" s="8" t="str">
        <f aca="true" t="shared" si="284" ref="E1945:E1948">"女"</f>
        <v>女</v>
      </c>
    </row>
    <row r="1946" spans="1:5" ht="30" customHeight="1">
      <c r="A1946" s="8">
        <v>1943</v>
      </c>
      <c r="B1946" s="8" t="str">
        <f>"38492022042311262435114"</f>
        <v>38492022042311262435114</v>
      </c>
      <c r="C1946" s="8" t="s">
        <v>21</v>
      </c>
      <c r="D1946" s="8" t="str">
        <f>"林超超"</f>
        <v>林超超</v>
      </c>
      <c r="E1946" s="8" t="str">
        <f t="shared" si="283"/>
        <v>男</v>
      </c>
    </row>
    <row r="1947" spans="1:5" ht="30" customHeight="1">
      <c r="A1947" s="8">
        <v>1944</v>
      </c>
      <c r="B1947" s="8" t="str">
        <f>"38492022042311400035143"</f>
        <v>38492022042311400035143</v>
      </c>
      <c r="C1947" s="8" t="s">
        <v>21</v>
      </c>
      <c r="D1947" s="8" t="str">
        <f>"薛丽斌"</f>
        <v>薛丽斌</v>
      </c>
      <c r="E1947" s="8" t="str">
        <f t="shared" si="284"/>
        <v>女</v>
      </c>
    </row>
    <row r="1948" spans="1:5" ht="30" customHeight="1">
      <c r="A1948" s="8">
        <v>1945</v>
      </c>
      <c r="B1948" s="8" t="str">
        <f>"38492022042311404635146"</f>
        <v>38492022042311404635146</v>
      </c>
      <c r="C1948" s="8" t="s">
        <v>21</v>
      </c>
      <c r="D1948" s="8" t="str">
        <f>"莫芳瑛"</f>
        <v>莫芳瑛</v>
      </c>
      <c r="E1948" s="8" t="str">
        <f t="shared" si="284"/>
        <v>女</v>
      </c>
    </row>
    <row r="1949" spans="1:5" ht="30" customHeight="1">
      <c r="A1949" s="8">
        <v>1946</v>
      </c>
      <c r="B1949" s="8" t="str">
        <f>"38492022042311432035149"</f>
        <v>38492022042311432035149</v>
      </c>
      <c r="C1949" s="8" t="s">
        <v>21</v>
      </c>
      <c r="D1949" s="8" t="str">
        <f>"符祥辉"</f>
        <v>符祥辉</v>
      </c>
      <c r="E1949" s="8" t="str">
        <f aca="true" t="shared" si="285" ref="E1949:E1952">"男"</f>
        <v>男</v>
      </c>
    </row>
    <row r="1950" spans="1:5" ht="30" customHeight="1">
      <c r="A1950" s="8">
        <v>1947</v>
      </c>
      <c r="B1950" s="8" t="str">
        <f>"38492022042311443335150"</f>
        <v>38492022042311443335150</v>
      </c>
      <c r="C1950" s="8" t="s">
        <v>21</v>
      </c>
      <c r="D1950" s="8" t="str">
        <f>"赵世繁"</f>
        <v>赵世繁</v>
      </c>
      <c r="E1950" s="8" t="str">
        <f t="shared" si="285"/>
        <v>男</v>
      </c>
    </row>
    <row r="1951" spans="1:5" ht="30" customHeight="1">
      <c r="A1951" s="8">
        <v>1948</v>
      </c>
      <c r="B1951" s="8" t="str">
        <f>"38492022042311452335152"</f>
        <v>38492022042311452335152</v>
      </c>
      <c r="C1951" s="8" t="s">
        <v>21</v>
      </c>
      <c r="D1951" s="8" t="str">
        <f>"陈源霞"</f>
        <v>陈源霞</v>
      </c>
      <c r="E1951" s="8" t="str">
        <f aca="true" t="shared" si="286" ref="E1951:E1955">"女"</f>
        <v>女</v>
      </c>
    </row>
    <row r="1952" spans="1:5" ht="30" customHeight="1">
      <c r="A1952" s="8">
        <v>1949</v>
      </c>
      <c r="B1952" s="8" t="str">
        <f>"38492022042311460535153"</f>
        <v>38492022042311460535153</v>
      </c>
      <c r="C1952" s="8" t="s">
        <v>21</v>
      </c>
      <c r="D1952" s="8" t="str">
        <f>"王业清"</f>
        <v>王业清</v>
      </c>
      <c r="E1952" s="8" t="str">
        <f t="shared" si="285"/>
        <v>男</v>
      </c>
    </row>
    <row r="1953" spans="1:5" ht="30" customHeight="1">
      <c r="A1953" s="8">
        <v>1950</v>
      </c>
      <c r="B1953" s="8" t="str">
        <f>"38492022042311473835157"</f>
        <v>38492022042311473835157</v>
      </c>
      <c r="C1953" s="8" t="s">
        <v>21</v>
      </c>
      <c r="D1953" s="8" t="str">
        <f>"黄千钦"</f>
        <v>黄千钦</v>
      </c>
      <c r="E1953" s="8" t="str">
        <f t="shared" si="286"/>
        <v>女</v>
      </c>
    </row>
    <row r="1954" spans="1:5" ht="30" customHeight="1">
      <c r="A1954" s="8">
        <v>1951</v>
      </c>
      <c r="B1954" s="8" t="str">
        <f>"38492022042311513135163"</f>
        <v>38492022042311513135163</v>
      </c>
      <c r="C1954" s="8" t="s">
        <v>21</v>
      </c>
      <c r="D1954" s="8" t="str">
        <f>"黎月桂"</f>
        <v>黎月桂</v>
      </c>
      <c r="E1954" s="8" t="str">
        <f t="shared" si="286"/>
        <v>女</v>
      </c>
    </row>
    <row r="1955" spans="1:5" ht="30" customHeight="1">
      <c r="A1955" s="8">
        <v>1952</v>
      </c>
      <c r="B1955" s="8" t="str">
        <f>"38492022042311581235167"</f>
        <v>38492022042311581235167</v>
      </c>
      <c r="C1955" s="8" t="s">
        <v>21</v>
      </c>
      <c r="D1955" s="8" t="str">
        <f>"黎晓倩"</f>
        <v>黎晓倩</v>
      </c>
      <c r="E1955" s="8" t="str">
        <f t="shared" si="286"/>
        <v>女</v>
      </c>
    </row>
    <row r="1956" spans="1:5" ht="30" customHeight="1">
      <c r="A1956" s="8">
        <v>1953</v>
      </c>
      <c r="B1956" s="8" t="str">
        <f>"38492022042312013535174"</f>
        <v>38492022042312013535174</v>
      </c>
      <c r="C1956" s="8" t="s">
        <v>21</v>
      </c>
      <c r="D1956" s="8" t="str">
        <f>"李多钊"</f>
        <v>李多钊</v>
      </c>
      <c r="E1956" s="8" t="str">
        <f aca="true" t="shared" si="287" ref="E1956:E1961">"男"</f>
        <v>男</v>
      </c>
    </row>
    <row r="1957" spans="1:5" ht="30" customHeight="1">
      <c r="A1957" s="8">
        <v>1954</v>
      </c>
      <c r="B1957" s="8" t="str">
        <f>"38492022042312165435190"</f>
        <v>38492022042312165435190</v>
      </c>
      <c r="C1957" s="8" t="s">
        <v>21</v>
      </c>
      <c r="D1957" s="8" t="str">
        <f>"陈月丽"</f>
        <v>陈月丽</v>
      </c>
      <c r="E1957" s="8" t="str">
        <f aca="true" t="shared" si="288" ref="E1957:E1960">"女"</f>
        <v>女</v>
      </c>
    </row>
    <row r="1958" spans="1:5" ht="30" customHeight="1">
      <c r="A1958" s="8">
        <v>1955</v>
      </c>
      <c r="B1958" s="8" t="str">
        <f>"38492022042312174135192"</f>
        <v>38492022042312174135192</v>
      </c>
      <c r="C1958" s="8" t="s">
        <v>21</v>
      </c>
      <c r="D1958" s="8" t="str">
        <f>"王孟"</f>
        <v>王孟</v>
      </c>
      <c r="E1958" s="8" t="str">
        <f t="shared" si="288"/>
        <v>女</v>
      </c>
    </row>
    <row r="1959" spans="1:5" ht="30" customHeight="1">
      <c r="A1959" s="8">
        <v>1956</v>
      </c>
      <c r="B1959" s="8" t="str">
        <f>"38492022042312212435196"</f>
        <v>38492022042312212435196</v>
      </c>
      <c r="C1959" s="8" t="s">
        <v>21</v>
      </c>
      <c r="D1959" s="8" t="str">
        <f>"符克钊"</f>
        <v>符克钊</v>
      </c>
      <c r="E1959" s="8" t="str">
        <f t="shared" si="287"/>
        <v>男</v>
      </c>
    </row>
    <row r="1960" spans="1:5" ht="30" customHeight="1">
      <c r="A1960" s="8">
        <v>1957</v>
      </c>
      <c r="B1960" s="8" t="str">
        <f>"38492022042312230235197"</f>
        <v>38492022042312230235197</v>
      </c>
      <c r="C1960" s="8" t="s">
        <v>21</v>
      </c>
      <c r="D1960" s="8" t="str">
        <f>"蔡逸霖"</f>
        <v>蔡逸霖</v>
      </c>
      <c r="E1960" s="8" t="str">
        <f t="shared" si="288"/>
        <v>女</v>
      </c>
    </row>
    <row r="1961" spans="1:5" ht="30" customHeight="1">
      <c r="A1961" s="8">
        <v>1958</v>
      </c>
      <c r="B1961" s="8" t="str">
        <f>"38492022042312242535199"</f>
        <v>38492022042312242535199</v>
      </c>
      <c r="C1961" s="8" t="s">
        <v>21</v>
      </c>
      <c r="D1961" s="8" t="str">
        <f>"陈杰新"</f>
        <v>陈杰新</v>
      </c>
      <c r="E1961" s="8" t="str">
        <f t="shared" si="287"/>
        <v>男</v>
      </c>
    </row>
    <row r="1962" spans="1:5" ht="30" customHeight="1">
      <c r="A1962" s="8">
        <v>1959</v>
      </c>
      <c r="B1962" s="8" t="str">
        <f>"38492022042312315835207"</f>
        <v>38492022042312315835207</v>
      </c>
      <c r="C1962" s="8" t="s">
        <v>21</v>
      </c>
      <c r="D1962" s="8" t="str">
        <f>"张秀梅"</f>
        <v>张秀梅</v>
      </c>
      <c r="E1962" s="8" t="str">
        <f>"女"</f>
        <v>女</v>
      </c>
    </row>
    <row r="1963" spans="1:5" ht="30" customHeight="1">
      <c r="A1963" s="8">
        <v>1960</v>
      </c>
      <c r="B1963" s="8" t="str">
        <f>"38492022042312475035218"</f>
        <v>38492022042312475035218</v>
      </c>
      <c r="C1963" s="8" t="s">
        <v>21</v>
      </c>
      <c r="D1963" s="8" t="str">
        <f>"林明江"</f>
        <v>林明江</v>
      </c>
      <c r="E1963" s="8" t="str">
        <f aca="true" t="shared" si="289" ref="E1963:E1966">"男"</f>
        <v>男</v>
      </c>
    </row>
    <row r="1964" spans="1:5" ht="30" customHeight="1">
      <c r="A1964" s="8">
        <v>1961</v>
      </c>
      <c r="B1964" s="8" t="str">
        <f>"38492022042312495635219"</f>
        <v>38492022042312495635219</v>
      </c>
      <c r="C1964" s="8" t="s">
        <v>21</v>
      </c>
      <c r="D1964" s="8" t="str">
        <f>"王则朝"</f>
        <v>王则朝</v>
      </c>
      <c r="E1964" s="8" t="str">
        <f t="shared" si="289"/>
        <v>男</v>
      </c>
    </row>
    <row r="1965" spans="1:5" ht="30" customHeight="1">
      <c r="A1965" s="8">
        <v>1962</v>
      </c>
      <c r="B1965" s="8" t="str">
        <f>"38492022042312520135223"</f>
        <v>38492022042312520135223</v>
      </c>
      <c r="C1965" s="8" t="s">
        <v>21</v>
      </c>
      <c r="D1965" s="8" t="str">
        <f>"李勇志"</f>
        <v>李勇志</v>
      </c>
      <c r="E1965" s="8" t="str">
        <f t="shared" si="289"/>
        <v>男</v>
      </c>
    </row>
    <row r="1966" spans="1:5" ht="30" customHeight="1">
      <c r="A1966" s="8">
        <v>1963</v>
      </c>
      <c r="B1966" s="8" t="str">
        <f>"38492022042312570935233"</f>
        <v>38492022042312570935233</v>
      </c>
      <c r="C1966" s="8" t="s">
        <v>21</v>
      </c>
      <c r="D1966" s="8" t="str">
        <f>"符启剑"</f>
        <v>符启剑</v>
      </c>
      <c r="E1966" s="8" t="str">
        <f t="shared" si="289"/>
        <v>男</v>
      </c>
    </row>
    <row r="1967" spans="1:5" ht="30" customHeight="1">
      <c r="A1967" s="8">
        <v>1964</v>
      </c>
      <c r="B1967" s="8" t="str">
        <f>"38492022042312592235236"</f>
        <v>38492022042312592235236</v>
      </c>
      <c r="C1967" s="8" t="s">
        <v>21</v>
      </c>
      <c r="D1967" s="8" t="str">
        <f>"吴秀容"</f>
        <v>吴秀容</v>
      </c>
      <c r="E1967" s="8" t="str">
        <f aca="true" t="shared" si="290" ref="E1967:E1969">"女"</f>
        <v>女</v>
      </c>
    </row>
    <row r="1968" spans="1:5" ht="30" customHeight="1">
      <c r="A1968" s="8">
        <v>1965</v>
      </c>
      <c r="B1968" s="8" t="str">
        <f>"38492022042313015635240"</f>
        <v>38492022042313015635240</v>
      </c>
      <c r="C1968" s="8" t="s">
        <v>21</v>
      </c>
      <c r="D1968" s="8" t="str">
        <f>"邓晓慧"</f>
        <v>邓晓慧</v>
      </c>
      <c r="E1968" s="8" t="str">
        <f t="shared" si="290"/>
        <v>女</v>
      </c>
    </row>
    <row r="1969" spans="1:5" ht="30" customHeight="1">
      <c r="A1969" s="8">
        <v>1966</v>
      </c>
      <c r="B1969" s="8" t="str">
        <f>"38492022042313125435251"</f>
        <v>38492022042313125435251</v>
      </c>
      <c r="C1969" s="8" t="s">
        <v>21</v>
      </c>
      <c r="D1969" s="8" t="str">
        <f>"温乐珍"</f>
        <v>温乐珍</v>
      </c>
      <c r="E1969" s="8" t="str">
        <f t="shared" si="290"/>
        <v>女</v>
      </c>
    </row>
    <row r="1970" spans="1:5" ht="30" customHeight="1">
      <c r="A1970" s="8">
        <v>1967</v>
      </c>
      <c r="B1970" s="8" t="str">
        <f>"38492022042313463335285"</f>
        <v>38492022042313463335285</v>
      </c>
      <c r="C1970" s="8" t="s">
        <v>21</v>
      </c>
      <c r="D1970" s="8" t="str">
        <f>"蒋锦权"</f>
        <v>蒋锦权</v>
      </c>
      <c r="E1970" s="8" t="str">
        <f aca="true" t="shared" si="291" ref="E1970:E1975">"男"</f>
        <v>男</v>
      </c>
    </row>
    <row r="1971" spans="1:5" ht="30" customHeight="1">
      <c r="A1971" s="8">
        <v>1968</v>
      </c>
      <c r="B1971" s="8" t="str">
        <f>"38492022042313522235293"</f>
        <v>38492022042313522235293</v>
      </c>
      <c r="C1971" s="8" t="s">
        <v>21</v>
      </c>
      <c r="D1971" s="8" t="str">
        <f>"李美坚"</f>
        <v>李美坚</v>
      </c>
      <c r="E1971" s="8" t="str">
        <f aca="true" t="shared" si="292" ref="E1971:E1974">"女"</f>
        <v>女</v>
      </c>
    </row>
    <row r="1972" spans="1:5" ht="30" customHeight="1">
      <c r="A1972" s="8">
        <v>1969</v>
      </c>
      <c r="B1972" s="8" t="str">
        <f>"38492022042314063935315"</f>
        <v>38492022042314063935315</v>
      </c>
      <c r="C1972" s="8" t="s">
        <v>21</v>
      </c>
      <c r="D1972" s="8" t="str">
        <f>"叶秀香"</f>
        <v>叶秀香</v>
      </c>
      <c r="E1972" s="8" t="str">
        <f t="shared" si="292"/>
        <v>女</v>
      </c>
    </row>
    <row r="1973" spans="1:5" ht="30" customHeight="1">
      <c r="A1973" s="8">
        <v>1970</v>
      </c>
      <c r="B1973" s="8" t="str">
        <f>"38492022042314072135318"</f>
        <v>38492022042314072135318</v>
      </c>
      <c r="C1973" s="8" t="s">
        <v>21</v>
      </c>
      <c r="D1973" s="8" t="str">
        <f>"董江义"</f>
        <v>董江义</v>
      </c>
      <c r="E1973" s="8" t="str">
        <f t="shared" si="291"/>
        <v>男</v>
      </c>
    </row>
    <row r="1974" spans="1:5" ht="30" customHeight="1">
      <c r="A1974" s="8">
        <v>1971</v>
      </c>
      <c r="B1974" s="8" t="str">
        <f>"38492022042314095835324"</f>
        <v>38492022042314095835324</v>
      </c>
      <c r="C1974" s="8" t="s">
        <v>21</v>
      </c>
      <c r="D1974" s="8" t="str">
        <f>"林蝶"</f>
        <v>林蝶</v>
      </c>
      <c r="E1974" s="8" t="str">
        <f t="shared" si="292"/>
        <v>女</v>
      </c>
    </row>
    <row r="1975" spans="1:5" ht="30" customHeight="1">
      <c r="A1975" s="8">
        <v>1972</v>
      </c>
      <c r="B1975" s="8" t="str">
        <f>"38492022042314101535325"</f>
        <v>38492022042314101535325</v>
      </c>
      <c r="C1975" s="8" t="s">
        <v>21</v>
      </c>
      <c r="D1975" s="8" t="str">
        <f>"陈建瑞"</f>
        <v>陈建瑞</v>
      </c>
      <c r="E1975" s="8" t="str">
        <f t="shared" si="291"/>
        <v>男</v>
      </c>
    </row>
    <row r="1976" spans="1:5" ht="30" customHeight="1">
      <c r="A1976" s="8">
        <v>1973</v>
      </c>
      <c r="B1976" s="8" t="str">
        <f>"38492022042314131735331"</f>
        <v>38492022042314131735331</v>
      </c>
      <c r="C1976" s="8" t="s">
        <v>21</v>
      </c>
      <c r="D1976" s="8" t="str">
        <f>"黎颖"</f>
        <v>黎颖</v>
      </c>
      <c r="E1976" s="8" t="str">
        <f aca="true" t="shared" si="293" ref="E1976:E1980">"女"</f>
        <v>女</v>
      </c>
    </row>
    <row r="1977" spans="1:5" ht="30" customHeight="1">
      <c r="A1977" s="8">
        <v>1974</v>
      </c>
      <c r="B1977" s="8" t="str">
        <f>"38492022042314155935334"</f>
        <v>38492022042314155935334</v>
      </c>
      <c r="C1977" s="8" t="s">
        <v>21</v>
      </c>
      <c r="D1977" s="8" t="str">
        <f>"薛舒"</f>
        <v>薛舒</v>
      </c>
      <c r="E1977" s="8" t="str">
        <f t="shared" si="293"/>
        <v>女</v>
      </c>
    </row>
    <row r="1978" spans="1:5" ht="30" customHeight="1">
      <c r="A1978" s="8">
        <v>1975</v>
      </c>
      <c r="B1978" s="8" t="str">
        <f>"38492022042314193135336"</f>
        <v>38492022042314193135336</v>
      </c>
      <c r="C1978" s="8" t="s">
        <v>21</v>
      </c>
      <c r="D1978" s="8" t="str">
        <f>"符发琼"</f>
        <v>符发琼</v>
      </c>
      <c r="E1978" s="8" t="str">
        <f aca="true" t="shared" si="294" ref="E1978:E1982">"男"</f>
        <v>男</v>
      </c>
    </row>
    <row r="1979" spans="1:5" ht="30" customHeight="1">
      <c r="A1979" s="8">
        <v>1976</v>
      </c>
      <c r="B1979" s="8" t="str">
        <f>"38492022042314404535358"</f>
        <v>38492022042314404535358</v>
      </c>
      <c r="C1979" s="8" t="s">
        <v>21</v>
      </c>
      <c r="D1979" s="8" t="str">
        <f>"朱金辉"</f>
        <v>朱金辉</v>
      </c>
      <c r="E1979" s="8" t="str">
        <f t="shared" si="294"/>
        <v>男</v>
      </c>
    </row>
    <row r="1980" spans="1:5" ht="30" customHeight="1">
      <c r="A1980" s="8">
        <v>1977</v>
      </c>
      <c r="B1980" s="8" t="str">
        <f>"38492022042314442235361"</f>
        <v>38492022042314442235361</v>
      </c>
      <c r="C1980" s="8" t="s">
        <v>21</v>
      </c>
      <c r="D1980" s="8" t="str">
        <f>"叶榕日"</f>
        <v>叶榕日</v>
      </c>
      <c r="E1980" s="8" t="str">
        <f t="shared" si="293"/>
        <v>女</v>
      </c>
    </row>
    <row r="1981" spans="1:5" ht="30" customHeight="1">
      <c r="A1981" s="8">
        <v>1978</v>
      </c>
      <c r="B1981" s="8" t="str">
        <f>"38492022042314444535362"</f>
        <v>38492022042314444535362</v>
      </c>
      <c r="C1981" s="8" t="s">
        <v>21</v>
      </c>
      <c r="D1981" s="8" t="str">
        <f>"王大导"</f>
        <v>王大导</v>
      </c>
      <c r="E1981" s="8" t="str">
        <f t="shared" si="294"/>
        <v>男</v>
      </c>
    </row>
    <row r="1982" spans="1:5" ht="30" customHeight="1">
      <c r="A1982" s="8">
        <v>1979</v>
      </c>
      <c r="B1982" s="8" t="str">
        <f>"38492022042315055935384"</f>
        <v>38492022042315055935384</v>
      </c>
      <c r="C1982" s="8" t="s">
        <v>21</v>
      </c>
      <c r="D1982" s="8" t="str">
        <f>"冼基南"</f>
        <v>冼基南</v>
      </c>
      <c r="E1982" s="8" t="str">
        <f t="shared" si="294"/>
        <v>男</v>
      </c>
    </row>
    <row r="1983" spans="1:5" ht="30" customHeight="1">
      <c r="A1983" s="8">
        <v>1980</v>
      </c>
      <c r="B1983" s="8" t="str">
        <f>"38492022042315135635396"</f>
        <v>38492022042315135635396</v>
      </c>
      <c r="C1983" s="8" t="s">
        <v>21</v>
      </c>
      <c r="D1983" s="8" t="str">
        <f>"李一枝"</f>
        <v>李一枝</v>
      </c>
      <c r="E1983" s="8" t="str">
        <f aca="true" t="shared" si="295" ref="E1983:E1985">"女"</f>
        <v>女</v>
      </c>
    </row>
    <row r="1984" spans="1:5" ht="30" customHeight="1">
      <c r="A1984" s="8">
        <v>1981</v>
      </c>
      <c r="B1984" s="8" t="str">
        <f>"38492022042315143535398"</f>
        <v>38492022042315143535398</v>
      </c>
      <c r="C1984" s="8" t="s">
        <v>21</v>
      </c>
      <c r="D1984" s="8" t="str">
        <f>"周瑞媛"</f>
        <v>周瑞媛</v>
      </c>
      <c r="E1984" s="8" t="str">
        <f t="shared" si="295"/>
        <v>女</v>
      </c>
    </row>
    <row r="1985" spans="1:5" ht="30" customHeight="1">
      <c r="A1985" s="8">
        <v>1982</v>
      </c>
      <c r="B1985" s="8" t="str">
        <f>"38492022042315152835403"</f>
        <v>38492022042315152835403</v>
      </c>
      <c r="C1985" s="8" t="s">
        <v>21</v>
      </c>
      <c r="D1985" s="8" t="str">
        <f>"谢锦"</f>
        <v>谢锦</v>
      </c>
      <c r="E1985" s="8" t="str">
        <f t="shared" si="295"/>
        <v>女</v>
      </c>
    </row>
    <row r="1986" spans="1:5" ht="30" customHeight="1">
      <c r="A1986" s="8">
        <v>1983</v>
      </c>
      <c r="B1986" s="8" t="str">
        <f>"38492022042315300635417"</f>
        <v>38492022042315300635417</v>
      </c>
      <c r="C1986" s="8" t="s">
        <v>21</v>
      </c>
      <c r="D1986" s="8" t="str">
        <f>"符居荣"</f>
        <v>符居荣</v>
      </c>
      <c r="E1986" s="8" t="str">
        <f aca="true" t="shared" si="296" ref="E1986:E1990">"男"</f>
        <v>男</v>
      </c>
    </row>
    <row r="1987" spans="1:5" ht="30" customHeight="1">
      <c r="A1987" s="8">
        <v>1984</v>
      </c>
      <c r="B1987" s="8" t="str">
        <f>"38492022042315343335423"</f>
        <v>38492022042315343335423</v>
      </c>
      <c r="C1987" s="8" t="s">
        <v>21</v>
      </c>
      <c r="D1987" s="8" t="str">
        <f>"吉云凯"</f>
        <v>吉云凯</v>
      </c>
      <c r="E1987" s="8" t="str">
        <f t="shared" si="296"/>
        <v>男</v>
      </c>
    </row>
    <row r="1988" spans="1:5" ht="30" customHeight="1">
      <c r="A1988" s="8">
        <v>1985</v>
      </c>
      <c r="B1988" s="8" t="str">
        <f>"38492022042315371635431"</f>
        <v>38492022042315371635431</v>
      </c>
      <c r="C1988" s="8" t="s">
        <v>21</v>
      </c>
      <c r="D1988" s="8" t="str">
        <f>"傅圆圆"</f>
        <v>傅圆圆</v>
      </c>
      <c r="E1988" s="8" t="str">
        <f>"女"</f>
        <v>女</v>
      </c>
    </row>
    <row r="1989" spans="1:5" ht="30" customHeight="1">
      <c r="A1989" s="8">
        <v>1986</v>
      </c>
      <c r="B1989" s="8" t="str">
        <f>"38492022042315385835442"</f>
        <v>38492022042315385835442</v>
      </c>
      <c r="C1989" s="8" t="s">
        <v>21</v>
      </c>
      <c r="D1989" s="8" t="str">
        <f>"苏义超"</f>
        <v>苏义超</v>
      </c>
      <c r="E1989" s="8" t="str">
        <f t="shared" si="296"/>
        <v>男</v>
      </c>
    </row>
    <row r="1990" spans="1:5" ht="30" customHeight="1">
      <c r="A1990" s="8">
        <v>1987</v>
      </c>
      <c r="B1990" s="8" t="str">
        <f>"38492022042315420135447"</f>
        <v>38492022042315420135447</v>
      </c>
      <c r="C1990" s="8" t="s">
        <v>21</v>
      </c>
      <c r="D1990" s="8" t="str">
        <f>"林小徐"</f>
        <v>林小徐</v>
      </c>
      <c r="E1990" s="8" t="str">
        <f t="shared" si="296"/>
        <v>男</v>
      </c>
    </row>
    <row r="1991" spans="1:5" ht="30" customHeight="1">
      <c r="A1991" s="8">
        <v>1988</v>
      </c>
      <c r="B1991" s="8" t="str">
        <f>"38492022042315524935467"</f>
        <v>38492022042315524935467</v>
      </c>
      <c r="C1991" s="8" t="s">
        <v>21</v>
      </c>
      <c r="D1991" s="8" t="str">
        <f>"冯昌丽"</f>
        <v>冯昌丽</v>
      </c>
      <c r="E1991" s="8" t="str">
        <f aca="true" t="shared" si="297" ref="E1991:E1998">"女"</f>
        <v>女</v>
      </c>
    </row>
    <row r="1992" spans="1:5" ht="30" customHeight="1">
      <c r="A1992" s="8">
        <v>1989</v>
      </c>
      <c r="B1992" s="8" t="str">
        <f>"38492022042315534535468"</f>
        <v>38492022042315534535468</v>
      </c>
      <c r="C1992" s="8" t="s">
        <v>21</v>
      </c>
      <c r="D1992" s="8" t="str">
        <f>"吴起官"</f>
        <v>吴起官</v>
      </c>
      <c r="E1992" s="8" t="str">
        <f aca="true" t="shared" si="298" ref="E1992:E1994">"男"</f>
        <v>男</v>
      </c>
    </row>
    <row r="1993" spans="1:5" ht="30" customHeight="1">
      <c r="A1993" s="8">
        <v>1990</v>
      </c>
      <c r="B1993" s="8" t="str">
        <f>"38492022042315554635471"</f>
        <v>38492022042315554635471</v>
      </c>
      <c r="C1993" s="8" t="s">
        <v>21</v>
      </c>
      <c r="D1993" s="8" t="str">
        <f>"苏义翔"</f>
        <v>苏义翔</v>
      </c>
      <c r="E1993" s="8" t="str">
        <f t="shared" si="298"/>
        <v>男</v>
      </c>
    </row>
    <row r="1994" spans="1:5" ht="30" customHeight="1">
      <c r="A1994" s="8">
        <v>1991</v>
      </c>
      <c r="B1994" s="8" t="str">
        <f>"38492022042315554735472"</f>
        <v>38492022042315554735472</v>
      </c>
      <c r="C1994" s="8" t="s">
        <v>21</v>
      </c>
      <c r="D1994" s="8" t="str">
        <f>"蔡伟良"</f>
        <v>蔡伟良</v>
      </c>
      <c r="E1994" s="8" t="str">
        <f t="shared" si="298"/>
        <v>男</v>
      </c>
    </row>
    <row r="1995" spans="1:5" ht="30" customHeight="1">
      <c r="A1995" s="8">
        <v>1992</v>
      </c>
      <c r="B1995" s="8" t="str">
        <f>"38492022042315560535474"</f>
        <v>38492022042315560535474</v>
      </c>
      <c r="C1995" s="8" t="s">
        <v>21</v>
      </c>
      <c r="D1995" s="8" t="str">
        <f>"文坤婷"</f>
        <v>文坤婷</v>
      </c>
      <c r="E1995" s="8" t="str">
        <f t="shared" si="297"/>
        <v>女</v>
      </c>
    </row>
    <row r="1996" spans="1:5" ht="30" customHeight="1">
      <c r="A1996" s="8">
        <v>1993</v>
      </c>
      <c r="B1996" s="8" t="str">
        <f>"38492022042316025135484"</f>
        <v>38492022042316025135484</v>
      </c>
      <c r="C1996" s="8" t="s">
        <v>21</v>
      </c>
      <c r="D1996" s="8" t="str">
        <f>"陈申丽"</f>
        <v>陈申丽</v>
      </c>
      <c r="E1996" s="8" t="str">
        <f t="shared" si="297"/>
        <v>女</v>
      </c>
    </row>
    <row r="1997" spans="1:5" ht="30" customHeight="1">
      <c r="A1997" s="8">
        <v>1994</v>
      </c>
      <c r="B1997" s="8" t="str">
        <f>"38492022042316124235499"</f>
        <v>38492022042316124235499</v>
      </c>
      <c r="C1997" s="8" t="s">
        <v>21</v>
      </c>
      <c r="D1997" s="8" t="str">
        <f>"羊玉凤"</f>
        <v>羊玉凤</v>
      </c>
      <c r="E1997" s="8" t="str">
        <f t="shared" si="297"/>
        <v>女</v>
      </c>
    </row>
    <row r="1998" spans="1:5" ht="30" customHeight="1">
      <c r="A1998" s="8">
        <v>1995</v>
      </c>
      <c r="B1998" s="8" t="str">
        <f>"38492022042316193635505"</f>
        <v>38492022042316193635505</v>
      </c>
      <c r="C1998" s="8" t="s">
        <v>21</v>
      </c>
      <c r="D1998" s="8" t="str">
        <f>"张慧娴"</f>
        <v>张慧娴</v>
      </c>
      <c r="E1998" s="8" t="str">
        <f t="shared" si="297"/>
        <v>女</v>
      </c>
    </row>
    <row r="1999" spans="1:5" ht="30" customHeight="1">
      <c r="A1999" s="8">
        <v>1996</v>
      </c>
      <c r="B1999" s="8" t="str">
        <f>"38492022042316235735511"</f>
        <v>38492022042316235735511</v>
      </c>
      <c r="C1999" s="8" t="s">
        <v>21</v>
      </c>
      <c r="D1999" s="8" t="str">
        <f>"林光琤"</f>
        <v>林光琤</v>
      </c>
      <c r="E1999" s="8" t="str">
        <f aca="true" t="shared" si="299" ref="E1999:E2003">"男"</f>
        <v>男</v>
      </c>
    </row>
    <row r="2000" spans="1:5" ht="30" customHeight="1">
      <c r="A2000" s="8">
        <v>1997</v>
      </c>
      <c r="B2000" s="8" t="str">
        <f>"38492022042316314535517"</f>
        <v>38492022042316314535517</v>
      </c>
      <c r="C2000" s="8" t="s">
        <v>21</v>
      </c>
      <c r="D2000" s="8" t="str">
        <f>"王那"</f>
        <v>王那</v>
      </c>
      <c r="E2000" s="8" t="str">
        <f aca="true" t="shared" si="300" ref="E2000:E2004">"女"</f>
        <v>女</v>
      </c>
    </row>
    <row r="2001" spans="1:5" ht="30" customHeight="1">
      <c r="A2001" s="8">
        <v>1998</v>
      </c>
      <c r="B2001" s="8" t="str">
        <f>"38492022042316343035520"</f>
        <v>38492022042316343035520</v>
      </c>
      <c r="C2001" s="8" t="s">
        <v>21</v>
      </c>
      <c r="D2001" s="8" t="str">
        <f>"郑泽成"</f>
        <v>郑泽成</v>
      </c>
      <c r="E2001" s="8" t="str">
        <f t="shared" si="299"/>
        <v>男</v>
      </c>
    </row>
    <row r="2002" spans="1:5" ht="30" customHeight="1">
      <c r="A2002" s="8">
        <v>1999</v>
      </c>
      <c r="B2002" s="8" t="str">
        <f>"38492022042316415935528"</f>
        <v>38492022042316415935528</v>
      </c>
      <c r="C2002" s="8" t="s">
        <v>21</v>
      </c>
      <c r="D2002" s="8" t="str">
        <f>"吴慧芳"</f>
        <v>吴慧芳</v>
      </c>
      <c r="E2002" s="8" t="str">
        <f t="shared" si="300"/>
        <v>女</v>
      </c>
    </row>
    <row r="2003" spans="1:5" ht="30" customHeight="1">
      <c r="A2003" s="8">
        <v>2000</v>
      </c>
      <c r="B2003" s="8" t="str">
        <f>"38492022042316460435538"</f>
        <v>38492022042316460435538</v>
      </c>
      <c r="C2003" s="8" t="s">
        <v>21</v>
      </c>
      <c r="D2003" s="8" t="str">
        <f>"郑祖家"</f>
        <v>郑祖家</v>
      </c>
      <c r="E2003" s="8" t="str">
        <f t="shared" si="299"/>
        <v>男</v>
      </c>
    </row>
    <row r="2004" spans="1:5" ht="30" customHeight="1">
      <c r="A2004" s="8">
        <v>2001</v>
      </c>
      <c r="B2004" s="8" t="str">
        <f>"38492022042316475135543"</f>
        <v>38492022042316475135543</v>
      </c>
      <c r="C2004" s="8" t="s">
        <v>21</v>
      </c>
      <c r="D2004" s="8" t="str">
        <f>"曹素金"</f>
        <v>曹素金</v>
      </c>
      <c r="E2004" s="8" t="str">
        <f t="shared" si="300"/>
        <v>女</v>
      </c>
    </row>
    <row r="2005" spans="1:5" ht="30" customHeight="1">
      <c r="A2005" s="8">
        <v>2002</v>
      </c>
      <c r="B2005" s="8" t="str">
        <f>"38492022042316562935558"</f>
        <v>38492022042316562935558</v>
      </c>
      <c r="C2005" s="8" t="s">
        <v>21</v>
      </c>
      <c r="D2005" s="8" t="str">
        <f>"符德柱"</f>
        <v>符德柱</v>
      </c>
      <c r="E2005" s="8" t="str">
        <f>"男"</f>
        <v>男</v>
      </c>
    </row>
    <row r="2006" spans="1:5" ht="30" customHeight="1">
      <c r="A2006" s="8">
        <v>2003</v>
      </c>
      <c r="B2006" s="8" t="str">
        <f>"38492022042317011735566"</f>
        <v>38492022042317011735566</v>
      </c>
      <c r="C2006" s="8" t="s">
        <v>21</v>
      </c>
      <c r="D2006" s="8" t="str">
        <f>"黄小雪"</f>
        <v>黄小雪</v>
      </c>
      <c r="E2006" s="8" t="str">
        <f aca="true" t="shared" si="301" ref="E2006:E2011">"女"</f>
        <v>女</v>
      </c>
    </row>
    <row r="2007" spans="1:5" ht="30" customHeight="1">
      <c r="A2007" s="8">
        <v>2004</v>
      </c>
      <c r="B2007" s="8" t="str">
        <f>"38492022042317071435571"</f>
        <v>38492022042317071435571</v>
      </c>
      <c r="C2007" s="8" t="s">
        <v>21</v>
      </c>
      <c r="D2007" s="8" t="str">
        <f>"李紫瑶"</f>
        <v>李紫瑶</v>
      </c>
      <c r="E2007" s="8" t="str">
        <f t="shared" si="301"/>
        <v>女</v>
      </c>
    </row>
    <row r="2008" spans="1:5" ht="30" customHeight="1">
      <c r="A2008" s="8">
        <v>2005</v>
      </c>
      <c r="B2008" s="8" t="str">
        <f>"38492022042317095035576"</f>
        <v>38492022042317095035576</v>
      </c>
      <c r="C2008" s="8" t="s">
        <v>21</v>
      </c>
      <c r="D2008" s="8" t="str">
        <f>"黎娜"</f>
        <v>黎娜</v>
      </c>
      <c r="E2008" s="8" t="str">
        <f t="shared" si="301"/>
        <v>女</v>
      </c>
    </row>
    <row r="2009" spans="1:5" ht="30" customHeight="1">
      <c r="A2009" s="8">
        <v>2006</v>
      </c>
      <c r="B2009" s="8" t="str">
        <f>"38492022042317103235578"</f>
        <v>38492022042317103235578</v>
      </c>
      <c r="C2009" s="8" t="s">
        <v>21</v>
      </c>
      <c r="D2009" s="8" t="str">
        <f>"符晶慧"</f>
        <v>符晶慧</v>
      </c>
      <c r="E2009" s="8" t="str">
        <f t="shared" si="301"/>
        <v>女</v>
      </c>
    </row>
    <row r="2010" spans="1:5" ht="30" customHeight="1">
      <c r="A2010" s="8">
        <v>2007</v>
      </c>
      <c r="B2010" s="8" t="str">
        <f>"38492022042317135835580"</f>
        <v>38492022042317135835580</v>
      </c>
      <c r="C2010" s="8" t="s">
        <v>21</v>
      </c>
      <c r="D2010" s="8" t="str">
        <f>"王兰娇"</f>
        <v>王兰娇</v>
      </c>
      <c r="E2010" s="8" t="str">
        <f t="shared" si="301"/>
        <v>女</v>
      </c>
    </row>
    <row r="2011" spans="1:5" ht="30" customHeight="1">
      <c r="A2011" s="8">
        <v>2008</v>
      </c>
      <c r="B2011" s="8" t="str">
        <f>"38492022042317205535591"</f>
        <v>38492022042317205535591</v>
      </c>
      <c r="C2011" s="8" t="s">
        <v>21</v>
      </c>
      <c r="D2011" s="8" t="str">
        <f>"许玮韫"</f>
        <v>许玮韫</v>
      </c>
      <c r="E2011" s="8" t="str">
        <f t="shared" si="301"/>
        <v>女</v>
      </c>
    </row>
    <row r="2012" spans="1:5" ht="30" customHeight="1">
      <c r="A2012" s="8">
        <v>2009</v>
      </c>
      <c r="B2012" s="8" t="str">
        <f>"38492022042317222735592"</f>
        <v>38492022042317222735592</v>
      </c>
      <c r="C2012" s="8" t="s">
        <v>21</v>
      </c>
      <c r="D2012" s="8" t="str">
        <f>"林勤"</f>
        <v>林勤</v>
      </c>
      <c r="E2012" s="8" t="str">
        <f>"男"</f>
        <v>男</v>
      </c>
    </row>
    <row r="2013" spans="1:5" ht="30" customHeight="1">
      <c r="A2013" s="8">
        <v>2010</v>
      </c>
      <c r="B2013" s="8" t="str">
        <f>"38492022042317241435593"</f>
        <v>38492022042317241435593</v>
      </c>
      <c r="C2013" s="8" t="s">
        <v>21</v>
      </c>
      <c r="D2013" s="8" t="str">
        <f>"方伟涛"</f>
        <v>方伟涛</v>
      </c>
      <c r="E2013" s="8" t="str">
        <f>"男"</f>
        <v>男</v>
      </c>
    </row>
    <row r="2014" spans="1:5" ht="30" customHeight="1">
      <c r="A2014" s="8">
        <v>2011</v>
      </c>
      <c r="B2014" s="8" t="str">
        <f>"38492022042317552335622"</f>
        <v>38492022042317552335622</v>
      </c>
      <c r="C2014" s="8" t="s">
        <v>21</v>
      </c>
      <c r="D2014" s="8" t="str">
        <f>"吴春月"</f>
        <v>吴春月</v>
      </c>
      <c r="E2014" s="8" t="str">
        <f aca="true" t="shared" si="302" ref="E2014:E2017">"女"</f>
        <v>女</v>
      </c>
    </row>
    <row r="2015" spans="1:5" ht="30" customHeight="1">
      <c r="A2015" s="8">
        <v>2012</v>
      </c>
      <c r="B2015" s="8" t="str">
        <f>"38492022042318261435650"</f>
        <v>38492022042318261435650</v>
      </c>
      <c r="C2015" s="8" t="s">
        <v>21</v>
      </c>
      <c r="D2015" s="8" t="str">
        <f>"马欢"</f>
        <v>马欢</v>
      </c>
      <c r="E2015" s="8" t="str">
        <f t="shared" si="302"/>
        <v>女</v>
      </c>
    </row>
    <row r="2016" spans="1:5" ht="30" customHeight="1">
      <c r="A2016" s="8">
        <v>2013</v>
      </c>
      <c r="B2016" s="8" t="str">
        <f>"38492022042318404435663"</f>
        <v>38492022042318404435663</v>
      </c>
      <c r="C2016" s="8" t="s">
        <v>21</v>
      </c>
      <c r="D2016" s="8" t="str">
        <f>"陈婆传"</f>
        <v>陈婆传</v>
      </c>
      <c r="E2016" s="8" t="str">
        <f t="shared" si="302"/>
        <v>女</v>
      </c>
    </row>
    <row r="2017" spans="1:5" ht="30" customHeight="1">
      <c r="A2017" s="8">
        <v>2014</v>
      </c>
      <c r="B2017" s="8" t="str">
        <f>"38492022042318405335664"</f>
        <v>38492022042318405335664</v>
      </c>
      <c r="C2017" s="8" t="s">
        <v>21</v>
      </c>
      <c r="D2017" s="8" t="str">
        <f>"韦云"</f>
        <v>韦云</v>
      </c>
      <c r="E2017" s="8" t="str">
        <f t="shared" si="302"/>
        <v>女</v>
      </c>
    </row>
    <row r="2018" spans="1:5" ht="30" customHeight="1">
      <c r="A2018" s="8">
        <v>2015</v>
      </c>
      <c r="B2018" s="8" t="str">
        <f>"38492022042318450635667"</f>
        <v>38492022042318450635667</v>
      </c>
      <c r="C2018" s="8" t="s">
        <v>21</v>
      </c>
      <c r="D2018" s="8" t="str">
        <f>"林胜"</f>
        <v>林胜</v>
      </c>
      <c r="E2018" s="8" t="str">
        <f>"男"</f>
        <v>男</v>
      </c>
    </row>
    <row r="2019" spans="1:5" ht="30" customHeight="1">
      <c r="A2019" s="8">
        <v>2016</v>
      </c>
      <c r="B2019" s="8" t="str">
        <f>"38492022042318490835670"</f>
        <v>38492022042318490835670</v>
      </c>
      <c r="C2019" s="8" t="s">
        <v>21</v>
      </c>
      <c r="D2019" s="8" t="str">
        <f>"曾维成"</f>
        <v>曾维成</v>
      </c>
      <c r="E2019" s="8" t="str">
        <f>"男"</f>
        <v>男</v>
      </c>
    </row>
    <row r="2020" spans="1:5" ht="30" customHeight="1">
      <c r="A2020" s="8">
        <v>2017</v>
      </c>
      <c r="B2020" s="8" t="str">
        <f>"38492022042319183335689"</f>
        <v>38492022042319183335689</v>
      </c>
      <c r="C2020" s="8" t="s">
        <v>21</v>
      </c>
      <c r="D2020" s="8" t="str">
        <f>"曾燕霜"</f>
        <v>曾燕霜</v>
      </c>
      <c r="E2020" s="8" t="str">
        <f aca="true" t="shared" si="303" ref="E2020:E2023">"女"</f>
        <v>女</v>
      </c>
    </row>
    <row r="2021" spans="1:5" ht="30" customHeight="1">
      <c r="A2021" s="8">
        <v>2018</v>
      </c>
      <c r="B2021" s="8" t="str">
        <f>"38492022042319232035695"</f>
        <v>38492022042319232035695</v>
      </c>
      <c r="C2021" s="8" t="s">
        <v>21</v>
      </c>
      <c r="D2021" s="8" t="str">
        <f>"王慧彬"</f>
        <v>王慧彬</v>
      </c>
      <c r="E2021" s="8" t="str">
        <f t="shared" si="303"/>
        <v>女</v>
      </c>
    </row>
    <row r="2022" spans="1:5" ht="30" customHeight="1">
      <c r="A2022" s="8">
        <v>2019</v>
      </c>
      <c r="B2022" s="8" t="str">
        <f>"38492022042319380535712"</f>
        <v>38492022042319380535712</v>
      </c>
      <c r="C2022" s="8" t="s">
        <v>21</v>
      </c>
      <c r="D2022" s="8" t="str">
        <f>"甘燕"</f>
        <v>甘燕</v>
      </c>
      <c r="E2022" s="8" t="str">
        <f t="shared" si="303"/>
        <v>女</v>
      </c>
    </row>
    <row r="2023" spans="1:5" ht="30" customHeight="1">
      <c r="A2023" s="8">
        <v>2020</v>
      </c>
      <c r="B2023" s="8" t="str">
        <f>"38492022042319400235716"</f>
        <v>38492022042319400235716</v>
      </c>
      <c r="C2023" s="8" t="s">
        <v>21</v>
      </c>
      <c r="D2023" s="8" t="str">
        <f>"徐月圆"</f>
        <v>徐月圆</v>
      </c>
      <c r="E2023" s="8" t="str">
        <f t="shared" si="303"/>
        <v>女</v>
      </c>
    </row>
    <row r="2024" spans="1:5" ht="30" customHeight="1">
      <c r="A2024" s="8">
        <v>2021</v>
      </c>
      <c r="B2024" s="8" t="str">
        <f>"38492022042319474435724"</f>
        <v>38492022042319474435724</v>
      </c>
      <c r="C2024" s="8" t="s">
        <v>21</v>
      </c>
      <c r="D2024" s="8" t="str">
        <f>"李道鑫"</f>
        <v>李道鑫</v>
      </c>
      <c r="E2024" s="8" t="str">
        <f aca="true" t="shared" si="304" ref="E2024:E2026">"男"</f>
        <v>男</v>
      </c>
    </row>
    <row r="2025" spans="1:5" ht="30" customHeight="1">
      <c r="A2025" s="8">
        <v>2022</v>
      </c>
      <c r="B2025" s="8" t="str">
        <f>"38492022042319482735726"</f>
        <v>38492022042319482735726</v>
      </c>
      <c r="C2025" s="8" t="s">
        <v>21</v>
      </c>
      <c r="D2025" s="8" t="str">
        <f>"孙才德"</f>
        <v>孙才德</v>
      </c>
      <c r="E2025" s="8" t="str">
        <f t="shared" si="304"/>
        <v>男</v>
      </c>
    </row>
    <row r="2026" spans="1:5" ht="30" customHeight="1">
      <c r="A2026" s="8">
        <v>2023</v>
      </c>
      <c r="B2026" s="8" t="str">
        <f>"38492022042319491635727"</f>
        <v>38492022042319491635727</v>
      </c>
      <c r="C2026" s="8" t="s">
        <v>21</v>
      </c>
      <c r="D2026" s="8" t="str">
        <f>"刘峰"</f>
        <v>刘峰</v>
      </c>
      <c r="E2026" s="8" t="str">
        <f t="shared" si="304"/>
        <v>男</v>
      </c>
    </row>
    <row r="2027" spans="1:5" ht="30" customHeight="1">
      <c r="A2027" s="8">
        <v>2024</v>
      </c>
      <c r="B2027" s="8" t="str">
        <f>"38492022042319553435734"</f>
        <v>38492022042319553435734</v>
      </c>
      <c r="C2027" s="8" t="s">
        <v>21</v>
      </c>
      <c r="D2027" s="8" t="str">
        <f>"陈映洁"</f>
        <v>陈映洁</v>
      </c>
      <c r="E2027" s="8" t="str">
        <f aca="true" t="shared" si="305" ref="E2027:E2033">"女"</f>
        <v>女</v>
      </c>
    </row>
    <row r="2028" spans="1:5" ht="30" customHeight="1">
      <c r="A2028" s="8">
        <v>2025</v>
      </c>
      <c r="B2028" s="8" t="str">
        <f>"38492022042319573435737"</f>
        <v>38492022042319573435737</v>
      </c>
      <c r="C2028" s="8" t="s">
        <v>21</v>
      </c>
      <c r="D2028" s="8" t="str">
        <f>"卓心茹"</f>
        <v>卓心茹</v>
      </c>
      <c r="E2028" s="8" t="str">
        <f t="shared" si="305"/>
        <v>女</v>
      </c>
    </row>
    <row r="2029" spans="1:5" ht="30" customHeight="1">
      <c r="A2029" s="8">
        <v>2026</v>
      </c>
      <c r="B2029" s="8" t="str">
        <f>"38492022042320004535740"</f>
        <v>38492022042320004535740</v>
      </c>
      <c r="C2029" s="8" t="s">
        <v>21</v>
      </c>
      <c r="D2029" s="8" t="str">
        <f>"邓力豪"</f>
        <v>邓力豪</v>
      </c>
      <c r="E2029" s="8" t="str">
        <f aca="true" t="shared" si="306" ref="E2029:E2031">"男"</f>
        <v>男</v>
      </c>
    </row>
    <row r="2030" spans="1:5" ht="30" customHeight="1">
      <c r="A2030" s="8">
        <v>2027</v>
      </c>
      <c r="B2030" s="8" t="str">
        <f>"38492022042320031735745"</f>
        <v>38492022042320031735745</v>
      </c>
      <c r="C2030" s="8" t="s">
        <v>21</v>
      </c>
      <c r="D2030" s="8" t="str">
        <f>"郭泽驱"</f>
        <v>郭泽驱</v>
      </c>
      <c r="E2030" s="8" t="str">
        <f t="shared" si="306"/>
        <v>男</v>
      </c>
    </row>
    <row r="2031" spans="1:5" ht="30" customHeight="1">
      <c r="A2031" s="8">
        <v>2028</v>
      </c>
      <c r="B2031" s="8" t="str">
        <f>"38492022042320282135779"</f>
        <v>38492022042320282135779</v>
      </c>
      <c r="C2031" s="8" t="s">
        <v>21</v>
      </c>
      <c r="D2031" s="8" t="str">
        <f>"黄身平"</f>
        <v>黄身平</v>
      </c>
      <c r="E2031" s="8" t="str">
        <f t="shared" si="306"/>
        <v>男</v>
      </c>
    </row>
    <row r="2032" spans="1:5" ht="30" customHeight="1">
      <c r="A2032" s="8">
        <v>2029</v>
      </c>
      <c r="B2032" s="8" t="str">
        <f>"38492022042320405135806"</f>
        <v>38492022042320405135806</v>
      </c>
      <c r="C2032" s="8" t="s">
        <v>21</v>
      </c>
      <c r="D2032" s="8" t="str">
        <f>"王甲丹"</f>
        <v>王甲丹</v>
      </c>
      <c r="E2032" s="8" t="str">
        <f t="shared" si="305"/>
        <v>女</v>
      </c>
    </row>
    <row r="2033" spans="1:5" ht="30" customHeight="1">
      <c r="A2033" s="8">
        <v>2030</v>
      </c>
      <c r="B2033" s="8" t="str">
        <f>"38492022042320520035825"</f>
        <v>38492022042320520035825</v>
      </c>
      <c r="C2033" s="8" t="s">
        <v>21</v>
      </c>
      <c r="D2033" s="8" t="str">
        <f>"韦吉烨"</f>
        <v>韦吉烨</v>
      </c>
      <c r="E2033" s="8" t="str">
        <f t="shared" si="305"/>
        <v>女</v>
      </c>
    </row>
    <row r="2034" spans="1:5" ht="30" customHeight="1">
      <c r="A2034" s="8">
        <v>2031</v>
      </c>
      <c r="B2034" s="8" t="str">
        <f>"38492022042320574435830"</f>
        <v>38492022042320574435830</v>
      </c>
      <c r="C2034" s="8" t="s">
        <v>21</v>
      </c>
      <c r="D2034" s="8" t="str">
        <f>"符其再"</f>
        <v>符其再</v>
      </c>
      <c r="E2034" s="8" t="str">
        <f>"男"</f>
        <v>男</v>
      </c>
    </row>
    <row r="2035" spans="1:5" ht="30" customHeight="1">
      <c r="A2035" s="8">
        <v>2032</v>
      </c>
      <c r="B2035" s="8" t="str">
        <f>"38492022042320593035832"</f>
        <v>38492022042320593035832</v>
      </c>
      <c r="C2035" s="8" t="s">
        <v>21</v>
      </c>
      <c r="D2035" s="8" t="str">
        <f>"黎婕"</f>
        <v>黎婕</v>
      </c>
      <c r="E2035" s="8" t="str">
        <f aca="true" t="shared" si="307" ref="E2035:E2040">"女"</f>
        <v>女</v>
      </c>
    </row>
    <row r="2036" spans="1:5" ht="30" customHeight="1">
      <c r="A2036" s="8">
        <v>2033</v>
      </c>
      <c r="B2036" s="8" t="str">
        <f>"38492022042321013735835"</f>
        <v>38492022042321013735835</v>
      </c>
      <c r="C2036" s="8" t="s">
        <v>21</v>
      </c>
      <c r="D2036" s="8" t="str">
        <f>"梁浩"</f>
        <v>梁浩</v>
      </c>
      <c r="E2036" s="8" t="str">
        <f>"男"</f>
        <v>男</v>
      </c>
    </row>
    <row r="2037" spans="1:5" ht="30" customHeight="1">
      <c r="A2037" s="8">
        <v>2034</v>
      </c>
      <c r="B2037" s="8" t="str">
        <f>"38492022042321014735836"</f>
        <v>38492022042321014735836</v>
      </c>
      <c r="C2037" s="8" t="s">
        <v>21</v>
      </c>
      <c r="D2037" s="8" t="str">
        <f>"林升敏"</f>
        <v>林升敏</v>
      </c>
      <c r="E2037" s="8" t="str">
        <f t="shared" si="307"/>
        <v>女</v>
      </c>
    </row>
    <row r="2038" spans="1:5" ht="30" customHeight="1">
      <c r="A2038" s="8">
        <v>2035</v>
      </c>
      <c r="B2038" s="8" t="str">
        <f>"38492022042321042235842"</f>
        <v>38492022042321042235842</v>
      </c>
      <c r="C2038" s="8" t="s">
        <v>21</v>
      </c>
      <c r="D2038" s="8" t="str">
        <f>"胡宇萍"</f>
        <v>胡宇萍</v>
      </c>
      <c r="E2038" s="8" t="str">
        <f t="shared" si="307"/>
        <v>女</v>
      </c>
    </row>
    <row r="2039" spans="1:5" ht="30" customHeight="1">
      <c r="A2039" s="8">
        <v>2036</v>
      </c>
      <c r="B2039" s="8" t="str">
        <f>"38492022042321233535871"</f>
        <v>38492022042321233535871</v>
      </c>
      <c r="C2039" s="8" t="s">
        <v>21</v>
      </c>
      <c r="D2039" s="8" t="str">
        <f>"王丽红"</f>
        <v>王丽红</v>
      </c>
      <c r="E2039" s="8" t="str">
        <f t="shared" si="307"/>
        <v>女</v>
      </c>
    </row>
    <row r="2040" spans="1:5" ht="30" customHeight="1">
      <c r="A2040" s="8">
        <v>2037</v>
      </c>
      <c r="B2040" s="8" t="str">
        <f>"38492022042321371635893"</f>
        <v>38492022042321371635893</v>
      </c>
      <c r="C2040" s="8" t="s">
        <v>21</v>
      </c>
      <c r="D2040" s="8" t="str">
        <f>"符小珍"</f>
        <v>符小珍</v>
      </c>
      <c r="E2040" s="8" t="str">
        <f t="shared" si="307"/>
        <v>女</v>
      </c>
    </row>
    <row r="2041" spans="1:5" ht="30" customHeight="1">
      <c r="A2041" s="8">
        <v>2038</v>
      </c>
      <c r="B2041" s="8" t="str">
        <f>"38492022042321381935895"</f>
        <v>38492022042321381935895</v>
      </c>
      <c r="C2041" s="8" t="s">
        <v>21</v>
      </c>
      <c r="D2041" s="8" t="str">
        <f>"陈俊儒"</f>
        <v>陈俊儒</v>
      </c>
      <c r="E2041" s="8" t="str">
        <f aca="true" t="shared" si="308" ref="E2041:E2047">"男"</f>
        <v>男</v>
      </c>
    </row>
    <row r="2042" spans="1:5" ht="30" customHeight="1">
      <c r="A2042" s="8">
        <v>2039</v>
      </c>
      <c r="B2042" s="8" t="str">
        <f>"38492022042321402035903"</f>
        <v>38492022042321402035903</v>
      </c>
      <c r="C2042" s="8" t="s">
        <v>21</v>
      </c>
      <c r="D2042" s="8" t="str">
        <f>"周敏华"</f>
        <v>周敏华</v>
      </c>
      <c r="E2042" s="8" t="str">
        <f t="shared" si="308"/>
        <v>男</v>
      </c>
    </row>
    <row r="2043" spans="1:5" ht="30" customHeight="1">
      <c r="A2043" s="8">
        <v>2040</v>
      </c>
      <c r="B2043" s="8" t="str">
        <f>"38492022042321404235904"</f>
        <v>38492022042321404235904</v>
      </c>
      <c r="C2043" s="8" t="s">
        <v>21</v>
      </c>
      <c r="D2043" s="8" t="str">
        <f>"邓蕾"</f>
        <v>邓蕾</v>
      </c>
      <c r="E2043" s="8" t="str">
        <f>"女"</f>
        <v>女</v>
      </c>
    </row>
    <row r="2044" spans="1:5" ht="30" customHeight="1">
      <c r="A2044" s="8">
        <v>2041</v>
      </c>
      <c r="B2044" s="8" t="str">
        <f>"38492022042321422335908"</f>
        <v>38492022042321422335908</v>
      </c>
      <c r="C2044" s="8" t="s">
        <v>21</v>
      </c>
      <c r="D2044" s="8" t="str">
        <f>"王鹏"</f>
        <v>王鹏</v>
      </c>
      <c r="E2044" s="8" t="str">
        <f t="shared" si="308"/>
        <v>男</v>
      </c>
    </row>
    <row r="2045" spans="1:5" ht="30" customHeight="1">
      <c r="A2045" s="8">
        <v>2042</v>
      </c>
      <c r="B2045" s="8" t="str">
        <f>"38492022042321423235909"</f>
        <v>38492022042321423235909</v>
      </c>
      <c r="C2045" s="8" t="s">
        <v>21</v>
      </c>
      <c r="D2045" s="8" t="str">
        <f>"杨全璋"</f>
        <v>杨全璋</v>
      </c>
      <c r="E2045" s="8" t="str">
        <f t="shared" si="308"/>
        <v>男</v>
      </c>
    </row>
    <row r="2046" spans="1:5" ht="30" customHeight="1">
      <c r="A2046" s="8">
        <v>2043</v>
      </c>
      <c r="B2046" s="8" t="str">
        <f>"38492022042321462535921"</f>
        <v>38492022042321462535921</v>
      </c>
      <c r="C2046" s="8" t="s">
        <v>21</v>
      </c>
      <c r="D2046" s="8" t="str">
        <f>"蒋传家"</f>
        <v>蒋传家</v>
      </c>
      <c r="E2046" s="8" t="str">
        <f t="shared" si="308"/>
        <v>男</v>
      </c>
    </row>
    <row r="2047" spans="1:5" ht="30" customHeight="1">
      <c r="A2047" s="8">
        <v>2044</v>
      </c>
      <c r="B2047" s="8" t="str">
        <f>"38492022042321495635925"</f>
        <v>38492022042321495635925</v>
      </c>
      <c r="C2047" s="8" t="s">
        <v>21</v>
      </c>
      <c r="D2047" s="8" t="str">
        <f>"孙贤隆"</f>
        <v>孙贤隆</v>
      </c>
      <c r="E2047" s="8" t="str">
        <f t="shared" si="308"/>
        <v>男</v>
      </c>
    </row>
    <row r="2048" spans="1:5" ht="30" customHeight="1">
      <c r="A2048" s="8">
        <v>2045</v>
      </c>
      <c r="B2048" s="8" t="str">
        <f>"38492022042322002535936"</f>
        <v>38492022042322002535936</v>
      </c>
      <c r="C2048" s="8" t="s">
        <v>21</v>
      </c>
      <c r="D2048" s="8" t="str">
        <f>"杨婷"</f>
        <v>杨婷</v>
      </c>
      <c r="E2048" s="8" t="str">
        <f aca="true" t="shared" si="309" ref="E2048:E2051">"女"</f>
        <v>女</v>
      </c>
    </row>
    <row r="2049" spans="1:5" ht="30" customHeight="1">
      <c r="A2049" s="8">
        <v>2046</v>
      </c>
      <c r="B2049" s="8" t="str">
        <f>"38492022042322033335941"</f>
        <v>38492022042322033335941</v>
      </c>
      <c r="C2049" s="8" t="s">
        <v>21</v>
      </c>
      <c r="D2049" s="8" t="str">
        <f>"许玮琇"</f>
        <v>许玮琇</v>
      </c>
      <c r="E2049" s="8" t="str">
        <f t="shared" si="309"/>
        <v>女</v>
      </c>
    </row>
    <row r="2050" spans="1:5" ht="30" customHeight="1">
      <c r="A2050" s="8">
        <v>2047</v>
      </c>
      <c r="B2050" s="8" t="str">
        <f>"38492022042322040935942"</f>
        <v>38492022042322040935942</v>
      </c>
      <c r="C2050" s="8" t="s">
        <v>21</v>
      </c>
      <c r="D2050" s="8" t="str">
        <f>"羊翰士"</f>
        <v>羊翰士</v>
      </c>
      <c r="E2050" s="8" t="str">
        <f aca="true" t="shared" si="310" ref="E2050:E2055">"男"</f>
        <v>男</v>
      </c>
    </row>
    <row r="2051" spans="1:5" ht="30" customHeight="1">
      <c r="A2051" s="8">
        <v>2048</v>
      </c>
      <c r="B2051" s="8" t="str">
        <f>"38492022042322125235957"</f>
        <v>38492022042322125235957</v>
      </c>
      <c r="C2051" s="8" t="s">
        <v>21</v>
      </c>
      <c r="D2051" s="8" t="str">
        <f>"黄艳"</f>
        <v>黄艳</v>
      </c>
      <c r="E2051" s="8" t="str">
        <f t="shared" si="309"/>
        <v>女</v>
      </c>
    </row>
    <row r="2052" spans="1:5" ht="30" customHeight="1">
      <c r="A2052" s="8">
        <v>2049</v>
      </c>
      <c r="B2052" s="8" t="str">
        <f>"38492022042322230135972"</f>
        <v>38492022042322230135972</v>
      </c>
      <c r="C2052" s="8" t="s">
        <v>21</v>
      </c>
      <c r="D2052" s="8" t="str">
        <f>"陈才舜"</f>
        <v>陈才舜</v>
      </c>
      <c r="E2052" s="8" t="str">
        <f t="shared" si="310"/>
        <v>男</v>
      </c>
    </row>
    <row r="2053" spans="1:5" ht="30" customHeight="1">
      <c r="A2053" s="8">
        <v>2050</v>
      </c>
      <c r="B2053" s="8" t="str">
        <f>"38492022042322301835984"</f>
        <v>38492022042322301835984</v>
      </c>
      <c r="C2053" s="8" t="s">
        <v>21</v>
      </c>
      <c r="D2053" s="8" t="str">
        <f>"黄燕荣"</f>
        <v>黄燕荣</v>
      </c>
      <c r="E2053" s="8" t="str">
        <f aca="true" t="shared" si="311" ref="E2053:E2056">"女"</f>
        <v>女</v>
      </c>
    </row>
    <row r="2054" spans="1:5" ht="30" customHeight="1">
      <c r="A2054" s="8">
        <v>2051</v>
      </c>
      <c r="B2054" s="8" t="str">
        <f>"38492022042322313635986"</f>
        <v>38492022042322313635986</v>
      </c>
      <c r="C2054" s="8" t="s">
        <v>21</v>
      </c>
      <c r="D2054" s="8" t="str">
        <f>"陈少英"</f>
        <v>陈少英</v>
      </c>
      <c r="E2054" s="8" t="str">
        <f t="shared" si="311"/>
        <v>女</v>
      </c>
    </row>
    <row r="2055" spans="1:5" ht="30" customHeight="1">
      <c r="A2055" s="8">
        <v>2052</v>
      </c>
      <c r="B2055" s="8" t="str">
        <f>"38492022042322314435988"</f>
        <v>38492022042322314435988</v>
      </c>
      <c r="C2055" s="8" t="s">
        <v>21</v>
      </c>
      <c r="D2055" s="8" t="str">
        <f>"彭信翔"</f>
        <v>彭信翔</v>
      </c>
      <c r="E2055" s="8" t="str">
        <f t="shared" si="310"/>
        <v>男</v>
      </c>
    </row>
    <row r="2056" spans="1:5" ht="30" customHeight="1">
      <c r="A2056" s="8">
        <v>2053</v>
      </c>
      <c r="B2056" s="8" t="str">
        <f>"38492022042322315035989"</f>
        <v>38492022042322315035989</v>
      </c>
      <c r="C2056" s="8" t="s">
        <v>21</v>
      </c>
      <c r="D2056" s="8" t="str">
        <f>"张倩怡"</f>
        <v>张倩怡</v>
      </c>
      <c r="E2056" s="8" t="str">
        <f t="shared" si="311"/>
        <v>女</v>
      </c>
    </row>
    <row r="2057" spans="1:5" ht="30" customHeight="1">
      <c r="A2057" s="8">
        <v>2054</v>
      </c>
      <c r="B2057" s="8" t="str">
        <f>"38492022042322343535995"</f>
        <v>38492022042322343535995</v>
      </c>
      <c r="C2057" s="8" t="s">
        <v>21</v>
      </c>
      <c r="D2057" s="8" t="str">
        <f>"盛援斌"</f>
        <v>盛援斌</v>
      </c>
      <c r="E2057" s="8" t="str">
        <f aca="true" t="shared" si="312" ref="E2057:E2060">"男"</f>
        <v>男</v>
      </c>
    </row>
    <row r="2058" spans="1:5" ht="30" customHeight="1">
      <c r="A2058" s="8">
        <v>2055</v>
      </c>
      <c r="B2058" s="8" t="str">
        <f>"38492022042322434336015"</f>
        <v>38492022042322434336015</v>
      </c>
      <c r="C2058" s="8" t="s">
        <v>21</v>
      </c>
      <c r="D2058" s="8" t="str">
        <f>"符海敏"</f>
        <v>符海敏</v>
      </c>
      <c r="E2058" s="8" t="str">
        <f t="shared" si="312"/>
        <v>男</v>
      </c>
    </row>
    <row r="2059" spans="1:5" ht="30" customHeight="1">
      <c r="A2059" s="8">
        <v>2056</v>
      </c>
      <c r="B2059" s="8" t="str">
        <f>"38492022042322461736021"</f>
        <v>38492022042322461736021</v>
      </c>
      <c r="C2059" s="8" t="s">
        <v>21</v>
      </c>
      <c r="D2059" s="8" t="str">
        <f>"裴名相"</f>
        <v>裴名相</v>
      </c>
      <c r="E2059" s="8" t="str">
        <f t="shared" si="312"/>
        <v>男</v>
      </c>
    </row>
    <row r="2060" spans="1:5" ht="30" customHeight="1">
      <c r="A2060" s="8">
        <v>2057</v>
      </c>
      <c r="B2060" s="8" t="str">
        <f>"38492022042322490636025"</f>
        <v>38492022042322490636025</v>
      </c>
      <c r="C2060" s="8" t="s">
        <v>21</v>
      </c>
      <c r="D2060" s="8" t="str">
        <f>"刘仲杰"</f>
        <v>刘仲杰</v>
      </c>
      <c r="E2060" s="8" t="str">
        <f t="shared" si="312"/>
        <v>男</v>
      </c>
    </row>
    <row r="2061" spans="1:5" ht="30" customHeight="1">
      <c r="A2061" s="8">
        <v>2058</v>
      </c>
      <c r="B2061" s="8" t="str">
        <f>"38492022042322552736038"</f>
        <v>38492022042322552736038</v>
      </c>
      <c r="C2061" s="8" t="s">
        <v>21</v>
      </c>
      <c r="D2061" s="8" t="str">
        <f>"谢君绮"</f>
        <v>谢君绮</v>
      </c>
      <c r="E2061" s="8" t="str">
        <f aca="true" t="shared" si="313" ref="E2061:E2065">"女"</f>
        <v>女</v>
      </c>
    </row>
    <row r="2062" spans="1:5" ht="30" customHeight="1">
      <c r="A2062" s="8">
        <v>2059</v>
      </c>
      <c r="B2062" s="8" t="str">
        <f>"38492022042322563836039"</f>
        <v>38492022042322563836039</v>
      </c>
      <c r="C2062" s="8" t="s">
        <v>21</v>
      </c>
      <c r="D2062" s="8" t="str">
        <f>"赖芸"</f>
        <v>赖芸</v>
      </c>
      <c r="E2062" s="8" t="str">
        <f t="shared" si="313"/>
        <v>女</v>
      </c>
    </row>
    <row r="2063" spans="1:5" ht="30" customHeight="1">
      <c r="A2063" s="8">
        <v>2060</v>
      </c>
      <c r="B2063" s="8" t="str">
        <f>"38492022042322574436042"</f>
        <v>38492022042322574436042</v>
      </c>
      <c r="C2063" s="8" t="s">
        <v>21</v>
      </c>
      <c r="D2063" s="8" t="str">
        <f>"云惟顺"</f>
        <v>云惟顺</v>
      </c>
      <c r="E2063" s="8" t="str">
        <f aca="true" t="shared" si="314" ref="E2063:E2066">"男"</f>
        <v>男</v>
      </c>
    </row>
    <row r="2064" spans="1:5" ht="30" customHeight="1">
      <c r="A2064" s="8">
        <v>2061</v>
      </c>
      <c r="B2064" s="8" t="str">
        <f>"38492022042323095836063"</f>
        <v>38492022042323095836063</v>
      </c>
      <c r="C2064" s="8" t="s">
        <v>21</v>
      </c>
      <c r="D2064" s="8" t="str">
        <f>"羊臣俊"</f>
        <v>羊臣俊</v>
      </c>
      <c r="E2064" s="8" t="str">
        <f t="shared" si="314"/>
        <v>男</v>
      </c>
    </row>
    <row r="2065" spans="1:5" ht="30" customHeight="1">
      <c r="A2065" s="8">
        <v>2062</v>
      </c>
      <c r="B2065" s="8" t="str">
        <f>"38492022042323105836066"</f>
        <v>38492022042323105836066</v>
      </c>
      <c r="C2065" s="8" t="s">
        <v>21</v>
      </c>
      <c r="D2065" s="8" t="str">
        <f>"符乐"</f>
        <v>符乐</v>
      </c>
      <c r="E2065" s="8" t="str">
        <f t="shared" si="313"/>
        <v>女</v>
      </c>
    </row>
    <row r="2066" spans="1:5" ht="30" customHeight="1">
      <c r="A2066" s="8">
        <v>2063</v>
      </c>
      <c r="B2066" s="8" t="str">
        <f>"38492022042323151136069"</f>
        <v>38492022042323151136069</v>
      </c>
      <c r="C2066" s="8" t="s">
        <v>21</v>
      </c>
      <c r="D2066" s="8" t="str">
        <f>"张译"</f>
        <v>张译</v>
      </c>
      <c r="E2066" s="8" t="str">
        <f t="shared" si="314"/>
        <v>男</v>
      </c>
    </row>
    <row r="2067" spans="1:5" ht="30" customHeight="1">
      <c r="A2067" s="8">
        <v>2064</v>
      </c>
      <c r="B2067" s="8" t="str">
        <f>"38492022042323195436072"</f>
        <v>38492022042323195436072</v>
      </c>
      <c r="C2067" s="8" t="s">
        <v>21</v>
      </c>
      <c r="D2067" s="8" t="str">
        <f>"林建柳"</f>
        <v>林建柳</v>
      </c>
      <c r="E2067" s="8" t="str">
        <f aca="true" t="shared" si="315" ref="E2067:E2072">"女"</f>
        <v>女</v>
      </c>
    </row>
    <row r="2068" spans="1:5" ht="30" customHeight="1">
      <c r="A2068" s="8">
        <v>2065</v>
      </c>
      <c r="B2068" s="8" t="str">
        <f>"38492022042323205236074"</f>
        <v>38492022042323205236074</v>
      </c>
      <c r="C2068" s="8" t="s">
        <v>21</v>
      </c>
      <c r="D2068" s="8" t="str">
        <f>"符为鲁"</f>
        <v>符为鲁</v>
      </c>
      <c r="E2068" s="8" t="str">
        <f aca="true" t="shared" si="316" ref="E2068:E2071">"男"</f>
        <v>男</v>
      </c>
    </row>
    <row r="2069" spans="1:5" ht="30" customHeight="1">
      <c r="A2069" s="8">
        <v>2066</v>
      </c>
      <c r="B2069" s="8" t="str">
        <f>"38492022042323281336078"</f>
        <v>38492022042323281336078</v>
      </c>
      <c r="C2069" s="8" t="s">
        <v>21</v>
      </c>
      <c r="D2069" s="8" t="str">
        <f>"曾永秀"</f>
        <v>曾永秀</v>
      </c>
      <c r="E2069" s="8" t="str">
        <f t="shared" si="315"/>
        <v>女</v>
      </c>
    </row>
    <row r="2070" spans="1:5" ht="30" customHeight="1">
      <c r="A2070" s="8">
        <v>2067</v>
      </c>
      <c r="B2070" s="8" t="str">
        <f>"38492022042323314536080"</f>
        <v>38492022042323314536080</v>
      </c>
      <c r="C2070" s="8" t="s">
        <v>21</v>
      </c>
      <c r="D2070" s="8" t="str">
        <f>"王德祥"</f>
        <v>王德祥</v>
      </c>
      <c r="E2070" s="8" t="str">
        <f t="shared" si="316"/>
        <v>男</v>
      </c>
    </row>
    <row r="2071" spans="1:5" ht="30" customHeight="1">
      <c r="A2071" s="8">
        <v>2068</v>
      </c>
      <c r="B2071" s="8" t="str">
        <f>"38492022042323340736082"</f>
        <v>38492022042323340736082</v>
      </c>
      <c r="C2071" s="8" t="s">
        <v>21</v>
      </c>
      <c r="D2071" s="8" t="str">
        <f>"王永鹏"</f>
        <v>王永鹏</v>
      </c>
      <c r="E2071" s="8" t="str">
        <f t="shared" si="316"/>
        <v>男</v>
      </c>
    </row>
    <row r="2072" spans="1:5" ht="30" customHeight="1">
      <c r="A2072" s="8">
        <v>2069</v>
      </c>
      <c r="B2072" s="8" t="str">
        <f>"38492022042323343536083"</f>
        <v>38492022042323343536083</v>
      </c>
      <c r="C2072" s="8" t="s">
        <v>21</v>
      </c>
      <c r="D2072" s="8" t="str">
        <f>"黄甜"</f>
        <v>黄甜</v>
      </c>
      <c r="E2072" s="8" t="str">
        <f t="shared" si="315"/>
        <v>女</v>
      </c>
    </row>
    <row r="2073" spans="1:5" ht="30" customHeight="1">
      <c r="A2073" s="8">
        <v>2070</v>
      </c>
      <c r="B2073" s="8" t="str">
        <f>"38492022042323385536088"</f>
        <v>38492022042323385536088</v>
      </c>
      <c r="C2073" s="8" t="s">
        <v>21</v>
      </c>
      <c r="D2073" s="8" t="str">
        <f>"陈冠岳"</f>
        <v>陈冠岳</v>
      </c>
      <c r="E2073" s="8" t="str">
        <f aca="true" t="shared" si="317" ref="E2073:E2078">"男"</f>
        <v>男</v>
      </c>
    </row>
    <row r="2074" spans="1:5" ht="30" customHeight="1">
      <c r="A2074" s="8">
        <v>2071</v>
      </c>
      <c r="B2074" s="8" t="str">
        <f>"38492022042323592536107"</f>
        <v>38492022042323592536107</v>
      </c>
      <c r="C2074" s="8" t="s">
        <v>21</v>
      </c>
      <c r="D2074" s="8" t="str">
        <f>"王霞"</f>
        <v>王霞</v>
      </c>
      <c r="E2074" s="8" t="str">
        <f aca="true" t="shared" si="318" ref="E2074:E2079">"女"</f>
        <v>女</v>
      </c>
    </row>
    <row r="2075" spans="1:5" ht="30" customHeight="1">
      <c r="A2075" s="8">
        <v>2072</v>
      </c>
      <c r="B2075" s="8" t="str">
        <f>"38492022042323594036108"</f>
        <v>38492022042323594036108</v>
      </c>
      <c r="C2075" s="8" t="s">
        <v>21</v>
      </c>
      <c r="D2075" s="8" t="str">
        <f>"蔡沾敏"</f>
        <v>蔡沾敏</v>
      </c>
      <c r="E2075" s="8" t="str">
        <f t="shared" si="317"/>
        <v>男</v>
      </c>
    </row>
    <row r="2076" spans="1:5" ht="30" customHeight="1">
      <c r="A2076" s="8">
        <v>2073</v>
      </c>
      <c r="B2076" s="8" t="str">
        <f>"38492022042400171436115"</f>
        <v>38492022042400171436115</v>
      </c>
      <c r="C2076" s="8" t="s">
        <v>21</v>
      </c>
      <c r="D2076" s="8" t="str">
        <f>"王井莲"</f>
        <v>王井莲</v>
      </c>
      <c r="E2076" s="8" t="str">
        <f t="shared" si="318"/>
        <v>女</v>
      </c>
    </row>
    <row r="2077" spans="1:5" ht="30" customHeight="1">
      <c r="A2077" s="8">
        <v>2074</v>
      </c>
      <c r="B2077" s="8" t="str">
        <f>"38492022042400301336120"</f>
        <v>38492022042400301336120</v>
      </c>
      <c r="C2077" s="8" t="s">
        <v>21</v>
      </c>
      <c r="D2077" s="8" t="str">
        <f>"林明明"</f>
        <v>林明明</v>
      </c>
      <c r="E2077" s="8" t="str">
        <f t="shared" si="317"/>
        <v>男</v>
      </c>
    </row>
    <row r="2078" spans="1:5" ht="30" customHeight="1">
      <c r="A2078" s="8">
        <v>2075</v>
      </c>
      <c r="B2078" s="8" t="str">
        <f>"38492022042400393936122"</f>
        <v>38492022042400393936122</v>
      </c>
      <c r="C2078" s="8" t="s">
        <v>21</v>
      </c>
      <c r="D2078" s="8" t="str">
        <f>"符昌武"</f>
        <v>符昌武</v>
      </c>
      <c r="E2078" s="8" t="str">
        <f t="shared" si="317"/>
        <v>男</v>
      </c>
    </row>
    <row r="2079" spans="1:5" ht="30" customHeight="1">
      <c r="A2079" s="8">
        <v>2076</v>
      </c>
      <c r="B2079" s="8" t="str">
        <f>"38492022042400472836124"</f>
        <v>38492022042400472836124</v>
      </c>
      <c r="C2079" s="8" t="s">
        <v>21</v>
      </c>
      <c r="D2079" s="8" t="str">
        <f>"唐丽怡"</f>
        <v>唐丽怡</v>
      </c>
      <c r="E2079" s="8" t="str">
        <f t="shared" si="318"/>
        <v>女</v>
      </c>
    </row>
    <row r="2080" spans="1:5" ht="30" customHeight="1">
      <c r="A2080" s="8">
        <v>2077</v>
      </c>
      <c r="B2080" s="8" t="str">
        <f>"38492022042401031536128"</f>
        <v>38492022042401031536128</v>
      </c>
      <c r="C2080" s="8" t="s">
        <v>21</v>
      </c>
      <c r="D2080" s="8" t="str">
        <f>"全正君"</f>
        <v>全正君</v>
      </c>
      <c r="E2080" s="8" t="str">
        <f>"男"</f>
        <v>男</v>
      </c>
    </row>
    <row r="2081" spans="1:5" ht="30" customHeight="1">
      <c r="A2081" s="8">
        <v>2078</v>
      </c>
      <c r="B2081" s="8" t="str">
        <f>"38492022042401304336131"</f>
        <v>38492022042401304336131</v>
      </c>
      <c r="C2081" s="8" t="s">
        <v>21</v>
      </c>
      <c r="D2081" s="8" t="str">
        <f>"王遥"</f>
        <v>王遥</v>
      </c>
      <c r="E2081" s="8" t="str">
        <f aca="true" t="shared" si="319" ref="E2081:E2086">"女"</f>
        <v>女</v>
      </c>
    </row>
    <row r="2082" spans="1:5" ht="30" customHeight="1">
      <c r="A2082" s="8">
        <v>2079</v>
      </c>
      <c r="B2082" s="8" t="str">
        <f>"38492022042408015236158"</f>
        <v>38492022042408015236158</v>
      </c>
      <c r="C2082" s="8" t="s">
        <v>21</v>
      </c>
      <c r="D2082" s="8" t="str">
        <f>"蔡嘉露"</f>
        <v>蔡嘉露</v>
      </c>
      <c r="E2082" s="8" t="str">
        <f t="shared" si="319"/>
        <v>女</v>
      </c>
    </row>
    <row r="2083" spans="1:5" ht="30" customHeight="1">
      <c r="A2083" s="8">
        <v>2080</v>
      </c>
      <c r="B2083" s="8" t="str">
        <f>"38492022042408182236169"</f>
        <v>38492022042408182236169</v>
      </c>
      <c r="C2083" s="8" t="s">
        <v>21</v>
      </c>
      <c r="D2083" s="8" t="str">
        <f>"周石林"</f>
        <v>周石林</v>
      </c>
      <c r="E2083" s="8" t="str">
        <f>"男"</f>
        <v>男</v>
      </c>
    </row>
    <row r="2084" spans="1:5" ht="30" customHeight="1">
      <c r="A2084" s="8">
        <v>2081</v>
      </c>
      <c r="B2084" s="8" t="str">
        <f>"38492022042408182236170"</f>
        <v>38492022042408182236170</v>
      </c>
      <c r="C2084" s="8" t="s">
        <v>21</v>
      </c>
      <c r="D2084" s="8" t="str">
        <f>"王海云"</f>
        <v>王海云</v>
      </c>
      <c r="E2084" s="8" t="str">
        <f t="shared" si="319"/>
        <v>女</v>
      </c>
    </row>
    <row r="2085" spans="1:5" ht="30" customHeight="1">
      <c r="A2085" s="8">
        <v>2082</v>
      </c>
      <c r="B2085" s="8" t="str">
        <f>"38492022042408203036174"</f>
        <v>38492022042408203036174</v>
      </c>
      <c r="C2085" s="8" t="s">
        <v>21</v>
      </c>
      <c r="D2085" s="8" t="str">
        <f>"王迷霜"</f>
        <v>王迷霜</v>
      </c>
      <c r="E2085" s="8" t="str">
        <f t="shared" si="319"/>
        <v>女</v>
      </c>
    </row>
    <row r="2086" spans="1:5" ht="30" customHeight="1">
      <c r="A2086" s="8">
        <v>2083</v>
      </c>
      <c r="B2086" s="8" t="str">
        <f>"38492022042408233436177"</f>
        <v>38492022042408233436177</v>
      </c>
      <c r="C2086" s="8" t="s">
        <v>21</v>
      </c>
      <c r="D2086" s="8" t="str">
        <f>"陈日花"</f>
        <v>陈日花</v>
      </c>
      <c r="E2086" s="8" t="str">
        <f t="shared" si="319"/>
        <v>女</v>
      </c>
    </row>
    <row r="2087" spans="1:5" ht="30" customHeight="1">
      <c r="A2087" s="8">
        <v>2084</v>
      </c>
      <c r="B2087" s="8" t="str">
        <f>"38492022042408285036179"</f>
        <v>38492022042408285036179</v>
      </c>
      <c r="C2087" s="8" t="s">
        <v>21</v>
      </c>
      <c r="D2087" s="8" t="str">
        <f>"陈鹏"</f>
        <v>陈鹏</v>
      </c>
      <c r="E2087" s="8" t="str">
        <f aca="true" t="shared" si="320" ref="E2087:E2092">"男"</f>
        <v>男</v>
      </c>
    </row>
    <row r="2088" spans="1:5" ht="30" customHeight="1">
      <c r="A2088" s="8">
        <v>2085</v>
      </c>
      <c r="B2088" s="8" t="str">
        <f>"38492022042408350936190"</f>
        <v>38492022042408350936190</v>
      </c>
      <c r="C2088" s="8" t="s">
        <v>21</v>
      </c>
      <c r="D2088" s="8" t="str">
        <f>"陈美林"</f>
        <v>陈美林</v>
      </c>
      <c r="E2088" s="8" t="str">
        <f aca="true" t="shared" si="321" ref="E2088:E2090">"女"</f>
        <v>女</v>
      </c>
    </row>
    <row r="2089" spans="1:5" ht="30" customHeight="1">
      <c r="A2089" s="8">
        <v>2086</v>
      </c>
      <c r="B2089" s="8" t="str">
        <f>"38492022042408374636194"</f>
        <v>38492022042408374636194</v>
      </c>
      <c r="C2089" s="8" t="s">
        <v>21</v>
      </c>
      <c r="D2089" s="8" t="str">
        <f>"黄柳兴"</f>
        <v>黄柳兴</v>
      </c>
      <c r="E2089" s="8" t="str">
        <f t="shared" si="321"/>
        <v>女</v>
      </c>
    </row>
    <row r="2090" spans="1:5" ht="30" customHeight="1">
      <c r="A2090" s="8">
        <v>2087</v>
      </c>
      <c r="B2090" s="8" t="str">
        <f>"38492022042408425236206"</f>
        <v>38492022042408425236206</v>
      </c>
      <c r="C2090" s="8" t="s">
        <v>21</v>
      </c>
      <c r="D2090" s="8" t="str">
        <f>"王琦琦"</f>
        <v>王琦琦</v>
      </c>
      <c r="E2090" s="8" t="str">
        <f t="shared" si="321"/>
        <v>女</v>
      </c>
    </row>
    <row r="2091" spans="1:5" ht="30" customHeight="1">
      <c r="A2091" s="8">
        <v>2088</v>
      </c>
      <c r="B2091" s="8" t="str">
        <f>"38492022042408431636207"</f>
        <v>38492022042408431636207</v>
      </c>
      <c r="C2091" s="8" t="s">
        <v>21</v>
      </c>
      <c r="D2091" s="8" t="str">
        <f>"周永文"</f>
        <v>周永文</v>
      </c>
      <c r="E2091" s="8" t="str">
        <f t="shared" si="320"/>
        <v>男</v>
      </c>
    </row>
    <row r="2092" spans="1:5" ht="30" customHeight="1">
      <c r="A2092" s="8">
        <v>2089</v>
      </c>
      <c r="B2092" s="8" t="str">
        <f>"38492022042408471236213"</f>
        <v>38492022042408471236213</v>
      </c>
      <c r="C2092" s="8" t="s">
        <v>21</v>
      </c>
      <c r="D2092" s="8" t="str">
        <f>"许公柏"</f>
        <v>许公柏</v>
      </c>
      <c r="E2092" s="8" t="str">
        <f t="shared" si="320"/>
        <v>男</v>
      </c>
    </row>
    <row r="2093" spans="1:5" ht="30" customHeight="1">
      <c r="A2093" s="8">
        <v>2090</v>
      </c>
      <c r="B2093" s="8" t="str">
        <f>"38492022042408485736218"</f>
        <v>38492022042408485736218</v>
      </c>
      <c r="C2093" s="8" t="s">
        <v>21</v>
      </c>
      <c r="D2093" s="8" t="str">
        <f>"王海燕"</f>
        <v>王海燕</v>
      </c>
      <c r="E2093" s="8" t="str">
        <f>"女"</f>
        <v>女</v>
      </c>
    </row>
    <row r="2094" spans="1:5" ht="30" customHeight="1">
      <c r="A2094" s="8">
        <v>2091</v>
      </c>
      <c r="B2094" s="8" t="str">
        <f>"38492022042408511036223"</f>
        <v>38492022042408511036223</v>
      </c>
      <c r="C2094" s="8" t="s">
        <v>21</v>
      </c>
      <c r="D2094" s="8" t="str">
        <f>"李铭栋"</f>
        <v>李铭栋</v>
      </c>
      <c r="E2094" s="8" t="str">
        <f aca="true" t="shared" si="322" ref="E2094:E2097">"男"</f>
        <v>男</v>
      </c>
    </row>
    <row r="2095" spans="1:5" ht="30" customHeight="1">
      <c r="A2095" s="8">
        <v>2092</v>
      </c>
      <c r="B2095" s="8" t="str">
        <f>"38492022042408531136225"</f>
        <v>38492022042408531136225</v>
      </c>
      <c r="C2095" s="8" t="s">
        <v>21</v>
      </c>
      <c r="D2095" s="8" t="str">
        <f>"容信力"</f>
        <v>容信力</v>
      </c>
      <c r="E2095" s="8" t="str">
        <f t="shared" si="322"/>
        <v>男</v>
      </c>
    </row>
    <row r="2096" spans="1:5" ht="30" customHeight="1">
      <c r="A2096" s="8">
        <v>2093</v>
      </c>
      <c r="B2096" s="8" t="str">
        <f>"38492022042409034136244"</f>
        <v>38492022042409034136244</v>
      </c>
      <c r="C2096" s="8" t="s">
        <v>21</v>
      </c>
      <c r="D2096" s="8" t="str">
        <f>"杨浩龙"</f>
        <v>杨浩龙</v>
      </c>
      <c r="E2096" s="8" t="str">
        <f t="shared" si="322"/>
        <v>男</v>
      </c>
    </row>
    <row r="2097" spans="1:5" ht="30" customHeight="1">
      <c r="A2097" s="8">
        <v>2094</v>
      </c>
      <c r="B2097" s="8" t="str">
        <f>"38492022042409035936245"</f>
        <v>38492022042409035936245</v>
      </c>
      <c r="C2097" s="8" t="s">
        <v>21</v>
      </c>
      <c r="D2097" s="8" t="str">
        <f>"陈冠成"</f>
        <v>陈冠成</v>
      </c>
      <c r="E2097" s="8" t="str">
        <f t="shared" si="322"/>
        <v>男</v>
      </c>
    </row>
    <row r="2098" spans="1:5" ht="30" customHeight="1">
      <c r="A2098" s="8">
        <v>2095</v>
      </c>
      <c r="B2098" s="8" t="str">
        <f>"38492022042409041636246"</f>
        <v>38492022042409041636246</v>
      </c>
      <c r="C2098" s="8" t="s">
        <v>21</v>
      </c>
      <c r="D2098" s="8" t="str">
        <f>"符逢桃"</f>
        <v>符逢桃</v>
      </c>
      <c r="E2098" s="8" t="str">
        <f aca="true" t="shared" si="323" ref="E2098:E2102">"女"</f>
        <v>女</v>
      </c>
    </row>
    <row r="2099" spans="1:5" ht="30" customHeight="1">
      <c r="A2099" s="8">
        <v>2096</v>
      </c>
      <c r="B2099" s="8" t="str">
        <f>"38492022042409044436247"</f>
        <v>38492022042409044436247</v>
      </c>
      <c r="C2099" s="8" t="s">
        <v>21</v>
      </c>
      <c r="D2099" s="8" t="str">
        <f>"羊淑媛"</f>
        <v>羊淑媛</v>
      </c>
      <c r="E2099" s="8" t="str">
        <f t="shared" si="323"/>
        <v>女</v>
      </c>
    </row>
    <row r="2100" spans="1:5" ht="30" customHeight="1">
      <c r="A2100" s="8">
        <v>2097</v>
      </c>
      <c r="B2100" s="8" t="str">
        <f>"38492022042409080436253"</f>
        <v>38492022042409080436253</v>
      </c>
      <c r="C2100" s="8" t="s">
        <v>21</v>
      </c>
      <c r="D2100" s="8" t="str">
        <f>"张文宇"</f>
        <v>张文宇</v>
      </c>
      <c r="E2100" s="8" t="str">
        <f aca="true" t="shared" si="324" ref="E2100:E2103">"男"</f>
        <v>男</v>
      </c>
    </row>
    <row r="2101" spans="1:5" ht="30" customHeight="1">
      <c r="A2101" s="8">
        <v>2098</v>
      </c>
      <c r="B2101" s="8" t="str">
        <f>"38492022042409082536254"</f>
        <v>38492022042409082536254</v>
      </c>
      <c r="C2101" s="8" t="s">
        <v>21</v>
      </c>
      <c r="D2101" s="8" t="str">
        <f>"苏美文"</f>
        <v>苏美文</v>
      </c>
      <c r="E2101" s="8" t="str">
        <f t="shared" si="324"/>
        <v>男</v>
      </c>
    </row>
    <row r="2102" spans="1:5" ht="30" customHeight="1">
      <c r="A2102" s="8">
        <v>2099</v>
      </c>
      <c r="B2102" s="8" t="str">
        <f>"38492022042409090136257"</f>
        <v>38492022042409090136257</v>
      </c>
      <c r="C2102" s="8" t="s">
        <v>21</v>
      </c>
      <c r="D2102" s="8" t="str">
        <f>"陈南姑"</f>
        <v>陈南姑</v>
      </c>
      <c r="E2102" s="8" t="str">
        <f t="shared" si="323"/>
        <v>女</v>
      </c>
    </row>
    <row r="2103" spans="1:5" ht="30" customHeight="1">
      <c r="A2103" s="8">
        <v>2100</v>
      </c>
      <c r="B2103" s="8" t="str">
        <f>"38492022042409111736261"</f>
        <v>38492022042409111736261</v>
      </c>
      <c r="C2103" s="8" t="s">
        <v>21</v>
      </c>
      <c r="D2103" s="8" t="str">
        <f>"樊涛"</f>
        <v>樊涛</v>
      </c>
      <c r="E2103" s="8" t="str">
        <f t="shared" si="324"/>
        <v>男</v>
      </c>
    </row>
    <row r="2104" spans="1:5" ht="30" customHeight="1">
      <c r="A2104" s="8">
        <v>2101</v>
      </c>
      <c r="B2104" s="8" t="str">
        <f>"38492022042409154636273"</f>
        <v>38492022042409154636273</v>
      </c>
      <c r="C2104" s="8" t="s">
        <v>21</v>
      </c>
      <c r="D2104" s="8" t="str">
        <f>"邱婉"</f>
        <v>邱婉</v>
      </c>
      <c r="E2104" s="8" t="str">
        <f aca="true" t="shared" si="325" ref="E2104:E2107">"女"</f>
        <v>女</v>
      </c>
    </row>
    <row r="2105" spans="1:5" ht="30" customHeight="1">
      <c r="A2105" s="8">
        <v>2102</v>
      </c>
      <c r="B2105" s="8" t="str">
        <f>"38492022042409174636281"</f>
        <v>38492022042409174636281</v>
      </c>
      <c r="C2105" s="8" t="s">
        <v>21</v>
      </c>
      <c r="D2105" s="8" t="str">
        <f>"符彩丽"</f>
        <v>符彩丽</v>
      </c>
      <c r="E2105" s="8" t="str">
        <f t="shared" si="325"/>
        <v>女</v>
      </c>
    </row>
    <row r="2106" spans="1:5" ht="30" customHeight="1">
      <c r="A2106" s="8">
        <v>2103</v>
      </c>
      <c r="B2106" s="8" t="str">
        <f>"38492022042409190236283"</f>
        <v>38492022042409190236283</v>
      </c>
      <c r="C2106" s="8" t="s">
        <v>21</v>
      </c>
      <c r="D2106" s="8" t="str">
        <f>"刘向南"</f>
        <v>刘向南</v>
      </c>
      <c r="E2106" s="8" t="str">
        <f>"男"</f>
        <v>男</v>
      </c>
    </row>
    <row r="2107" spans="1:5" ht="30" customHeight="1">
      <c r="A2107" s="8">
        <v>2104</v>
      </c>
      <c r="B2107" s="8" t="str">
        <f>"38492022042409231136291"</f>
        <v>38492022042409231136291</v>
      </c>
      <c r="C2107" s="8" t="s">
        <v>21</v>
      </c>
      <c r="D2107" s="8" t="str">
        <f>"黄玫"</f>
        <v>黄玫</v>
      </c>
      <c r="E2107" s="8" t="str">
        <f t="shared" si="325"/>
        <v>女</v>
      </c>
    </row>
    <row r="2108" spans="1:5" ht="30" customHeight="1">
      <c r="A2108" s="8">
        <v>2105</v>
      </c>
      <c r="B2108" s="8" t="str">
        <f>"38492022042409251936296"</f>
        <v>38492022042409251936296</v>
      </c>
      <c r="C2108" s="8" t="s">
        <v>21</v>
      </c>
      <c r="D2108" s="8" t="str">
        <f>"许振师"</f>
        <v>许振师</v>
      </c>
      <c r="E2108" s="8" t="str">
        <f>"男"</f>
        <v>男</v>
      </c>
    </row>
    <row r="2109" spans="1:5" ht="30" customHeight="1">
      <c r="A2109" s="8">
        <v>2106</v>
      </c>
      <c r="B2109" s="8" t="str">
        <f>"38492022042409265836299"</f>
        <v>38492022042409265836299</v>
      </c>
      <c r="C2109" s="8" t="s">
        <v>21</v>
      </c>
      <c r="D2109" s="8" t="str">
        <f>"陈莲美"</f>
        <v>陈莲美</v>
      </c>
      <c r="E2109" s="8" t="str">
        <f aca="true" t="shared" si="326" ref="E2109:E2114">"女"</f>
        <v>女</v>
      </c>
    </row>
    <row r="2110" spans="1:5" ht="30" customHeight="1">
      <c r="A2110" s="8">
        <v>2107</v>
      </c>
      <c r="B2110" s="8" t="str">
        <f>"38492022042409310036307"</f>
        <v>38492022042409310036307</v>
      </c>
      <c r="C2110" s="8" t="s">
        <v>21</v>
      </c>
      <c r="D2110" s="8" t="str">
        <f>"许静静"</f>
        <v>许静静</v>
      </c>
      <c r="E2110" s="8" t="str">
        <f t="shared" si="326"/>
        <v>女</v>
      </c>
    </row>
    <row r="2111" spans="1:5" ht="30" customHeight="1">
      <c r="A2111" s="8">
        <v>2108</v>
      </c>
      <c r="B2111" s="8" t="str">
        <f>"38492022042409361936324"</f>
        <v>38492022042409361936324</v>
      </c>
      <c r="C2111" s="8" t="s">
        <v>21</v>
      </c>
      <c r="D2111" s="8" t="str">
        <f>"张霞"</f>
        <v>张霞</v>
      </c>
      <c r="E2111" s="8" t="str">
        <f t="shared" si="326"/>
        <v>女</v>
      </c>
    </row>
    <row r="2112" spans="1:5" ht="30" customHeight="1">
      <c r="A2112" s="8">
        <v>2109</v>
      </c>
      <c r="B2112" s="8" t="str">
        <f>"38492022042409423936333"</f>
        <v>38492022042409423936333</v>
      </c>
      <c r="C2112" s="8" t="s">
        <v>21</v>
      </c>
      <c r="D2112" s="8" t="str">
        <f>"连晓雨"</f>
        <v>连晓雨</v>
      </c>
      <c r="E2112" s="8" t="str">
        <f t="shared" si="326"/>
        <v>女</v>
      </c>
    </row>
    <row r="2113" spans="1:5" ht="30" customHeight="1">
      <c r="A2113" s="8">
        <v>2110</v>
      </c>
      <c r="B2113" s="8" t="str">
        <f>"38492022042409481836342"</f>
        <v>38492022042409481836342</v>
      </c>
      <c r="C2113" s="8" t="s">
        <v>21</v>
      </c>
      <c r="D2113" s="8" t="str">
        <f>"杨晓霞"</f>
        <v>杨晓霞</v>
      </c>
      <c r="E2113" s="8" t="str">
        <f t="shared" si="326"/>
        <v>女</v>
      </c>
    </row>
    <row r="2114" spans="1:5" ht="30" customHeight="1">
      <c r="A2114" s="8">
        <v>2111</v>
      </c>
      <c r="B2114" s="8" t="str">
        <f>"38492022042409483236343"</f>
        <v>38492022042409483236343</v>
      </c>
      <c r="C2114" s="8" t="s">
        <v>21</v>
      </c>
      <c r="D2114" s="8" t="str">
        <f>"林晓妹"</f>
        <v>林晓妹</v>
      </c>
      <c r="E2114" s="8" t="str">
        <f t="shared" si="326"/>
        <v>女</v>
      </c>
    </row>
    <row r="2115" spans="1:5" ht="30" customHeight="1">
      <c r="A2115" s="8">
        <v>2112</v>
      </c>
      <c r="B2115" s="8" t="str">
        <f>"38492022042409533136348"</f>
        <v>38492022042409533136348</v>
      </c>
      <c r="C2115" s="8" t="s">
        <v>21</v>
      </c>
      <c r="D2115" s="8" t="str">
        <f>"符传明"</f>
        <v>符传明</v>
      </c>
      <c r="E2115" s="8" t="str">
        <f>"男"</f>
        <v>男</v>
      </c>
    </row>
    <row r="2116" spans="1:5" ht="30" customHeight="1">
      <c r="A2116" s="8">
        <v>2113</v>
      </c>
      <c r="B2116" s="8" t="str">
        <f>"38492022042409533736349"</f>
        <v>38492022042409533736349</v>
      </c>
      <c r="C2116" s="8" t="s">
        <v>21</v>
      </c>
      <c r="D2116" s="8" t="str">
        <f>"陈秋凤"</f>
        <v>陈秋凤</v>
      </c>
      <c r="E2116" s="8" t="str">
        <f aca="true" t="shared" si="327" ref="E2116:E2120">"女"</f>
        <v>女</v>
      </c>
    </row>
    <row r="2117" spans="1:5" ht="30" customHeight="1">
      <c r="A2117" s="8">
        <v>2114</v>
      </c>
      <c r="B2117" s="8" t="str">
        <f>"38492022042409535236350"</f>
        <v>38492022042409535236350</v>
      </c>
      <c r="C2117" s="8" t="s">
        <v>21</v>
      </c>
      <c r="D2117" s="8" t="str">
        <f>"许梅"</f>
        <v>许梅</v>
      </c>
      <c r="E2117" s="8" t="str">
        <f t="shared" si="327"/>
        <v>女</v>
      </c>
    </row>
    <row r="2118" spans="1:5" ht="30" customHeight="1">
      <c r="A2118" s="8">
        <v>2115</v>
      </c>
      <c r="B2118" s="8" t="str">
        <f>"38492022042409574736363"</f>
        <v>38492022042409574736363</v>
      </c>
      <c r="C2118" s="8" t="s">
        <v>21</v>
      </c>
      <c r="D2118" s="8" t="str">
        <f>"刘磊"</f>
        <v>刘磊</v>
      </c>
      <c r="E2118" s="8" t="str">
        <f aca="true" t="shared" si="328" ref="E2118:E2124">"男"</f>
        <v>男</v>
      </c>
    </row>
    <row r="2119" spans="1:5" ht="30" customHeight="1">
      <c r="A2119" s="8">
        <v>2116</v>
      </c>
      <c r="B2119" s="8" t="str">
        <f>"38492022042409581236364"</f>
        <v>38492022042409581236364</v>
      </c>
      <c r="C2119" s="8" t="s">
        <v>21</v>
      </c>
      <c r="D2119" s="8" t="str">
        <f>"翁小金"</f>
        <v>翁小金</v>
      </c>
      <c r="E2119" s="8" t="str">
        <f t="shared" si="327"/>
        <v>女</v>
      </c>
    </row>
    <row r="2120" spans="1:5" ht="30" customHeight="1">
      <c r="A2120" s="8">
        <v>2117</v>
      </c>
      <c r="B2120" s="8" t="str">
        <f>"38492022042410015836370"</f>
        <v>38492022042410015836370</v>
      </c>
      <c r="C2120" s="8" t="s">
        <v>21</v>
      </c>
      <c r="D2120" s="8" t="str">
        <f>"李秋月"</f>
        <v>李秋月</v>
      </c>
      <c r="E2120" s="8" t="str">
        <f t="shared" si="327"/>
        <v>女</v>
      </c>
    </row>
    <row r="2121" spans="1:5" ht="30" customHeight="1">
      <c r="A2121" s="8">
        <v>2118</v>
      </c>
      <c r="B2121" s="8" t="str">
        <f>"38492022042410034636375"</f>
        <v>38492022042410034636375</v>
      </c>
      <c r="C2121" s="8" t="s">
        <v>21</v>
      </c>
      <c r="D2121" s="8" t="str">
        <f>"梁之琼"</f>
        <v>梁之琼</v>
      </c>
      <c r="E2121" s="8" t="str">
        <f t="shared" si="328"/>
        <v>男</v>
      </c>
    </row>
    <row r="2122" spans="1:5" ht="30" customHeight="1">
      <c r="A2122" s="8">
        <v>2119</v>
      </c>
      <c r="B2122" s="8" t="str">
        <f>"38492022042410065836381"</f>
        <v>38492022042410065836381</v>
      </c>
      <c r="C2122" s="8" t="s">
        <v>21</v>
      </c>
      <c r="D2122" s="8" t="str">
        <f>"罗九皇"</f>
        <v>罗九皇</v>
      </c>
      <c r="E2122" s="8" t="str">
        <f t="shared" si="328"/>
        <v>男</v>
      </c>
    </row>
    <row r="2123" spans="1:5" ht="30" customHeight="1">
      <c r="A2123" s="8">
        <v>2120</v>
      </c>
      <c r="B2123" s="8" t="str">
        <f>"38492022042410070736382"</f>
        <v>38492022042410070736382</v>
      </c>
      <c r="C2123" s="8" t="s">
        <v>21</v>
      </c>
      <c r="D2123" s="8" t="str">
        <f>"王英杆"</f>
        <v>王英杆</v>
      </c>
      <c r="E2123" s="8" t="str">
        <f t="shared" si="328"/>
        <v>男</v>
      </c>
    </row>
    <row r="2124" spans="1:5" ht="30" customHeight="1">
      <c r="A2124" s="8">
        <v>2121</v>
      </c>
      <c r="B2124" s="8" t="str">
        <f>"38492022042410091836386"</f>
        <v>38492022042410091836386</v>
      </c>
      <c r="C2124" s="8" t="s">
        <v>21</v>
      </c>
      <c r="D2124" s="8" t="str">
        <f>"符游杨"</f>
        <v>符游杨</v>
      </c>
      <c r="E2124" s="8" t="str">
        <f t="shared" si="328"/>
        <v>男</v>
      </c>
    </row>
    <row r="2125" spans="1:5" ht="30" customHeight="1">
      <c r="A2125" s="8">
        <v>2122</v>
      </c>
      <c r="B2125" s="8" t="str">
        <f>"38492022042410112736393"</f>
        <v>38492022042410112736393</v>
      </c>
      <c r="C2125" s="8" t="s">
        <v>21</v>
      </c>
      <c r="D2125" s="8" t="str">
        <f>"唐俊苑"</f>
        <v>唐俊苑</v>
      </c>
      <c r="E2125" s="8" t="str">
        <f aca="true" t="shared" si="329" ref="E2125:E2128">"女"</f>
        <v>女</v>
      </c>
    </row>
    <row r="2126" spans="1:5" ht="30" customHeight="1">
      <c r="A2126" s="8">
        <v>2123</v>
      </c>
      <c r="B2126" s="8" t="str">
        <f>"38492022042410125236395"</f>
        <v>38492022042410125236395</v>
      </c>
      <c r="C2126" s="8" t="s">
        <v>21</v>
      </c>
      <c r="D2126" s="8" t="str">
        <f>"黄垂苗"</f>
        <v>黄垂苗</v>
      </c>
      <c r="E2126" s="8" t="str">
        <f t="shared" si="329"/>
        <v>女</v>
      </c>
    </row>
    <row r="2127" spans="1:5" ht="30" customHeight="1">
      <c r="A2127" s="8">
        <v>2124</v>
      </c>
      <c r="B2127" s="8" t="str">
        <f>"38492022042410253236417"</f>
        <v>38492022042410253236417</v>
      </c>
      <c r="C2127" s="8" t="s">
        <v>21</v>
      </c>
      <c r="D2127" s="8" t="str">
        <f>"李霞"</f>
        <v>李霞</v>
      </c>
      <c r="E2127" s="8" t="str">
        <f t="shared" si="329"/>
        <v>女</v>
      </c>
    </row>
    <row r="2128" spans="1:5" ht="30" customHeight="1">
      <c r="A2128" s="8">
        <v>2125</v>
      </c>
      <c r="B2128" s="8" t="str">
        <f>"38492022042410262436419"</f>
        <v>38492022042410262436419</v>
      </c>
      <c r="C2128" s="8" t="s">
        <v>21</v>
      </c>
      <c r="D2128" s="8" t="str">
        <f>"李冬梅"</f>
        <v>李冬梅</v>
      </c>
      <c r="E2128" s="8" t="str">
        <f t="shared" si="329"/>
        <v>女</v>
      </c>
    </row>
    <row r="2129" spans="1:5" ht="30" customHeight="1">
      <c r="A2129" s="8">
        <v>2126</v>
      </c>
      <c r="B2129" s="8" t="str">
        <f>"38492022042410281636421"</f>
        <v>38492022042410281636421</v>
      </c>
      <c r="C2129" s="8" t="s">
        <v>21</v>
      </c>
      <c r="D2129" s="8" t="str">
        <f>"王忠强"</f>
        <v>王忠强</v>
      </c>
      <c r="E2129" s="8" t="str">
        <f>"男"</f>
        <v>男</v>
      </c>
    </row>
    <row r="2130" spans="1:5" ht="30" customHeight="1">
      <c r="A2130" s="8">
        <v>2127</v>
      </c>
      <c r="B2130" s="8" t="str">
        <f>"38492022042410292036425"</f>
        <v>38492022042410292036425</v>
      </c>
      <c r="C2130" s="8" t="s">
        <v>21</v>
      </c>
      <c r="D2130" s="8" t="str">
        <f>"王上建"</f>
        <v>王上建</v>
      </c>
      <c r="E2130" s="8" t="str">
        <f>"男"</f>
        <v>男</v>
      </c>
    </row>
    <row r="2131" spans="1:5" ht="30" customHeight="1">
      <c r="A2131" s="8">
        <v>2128</v>
      </c>
      <c r="B2131" s="8" t="str">
        <f>"38492022042410310436427"</f>
        <v>38492022042410310436427</v>
      </c>
      <c r="C2131" s="8" t="s">
        <v>21</v>
      </c>
      <c r="D2131" s="8" t="str">
        <f>"符文蓉"</f>
        <v>符文蓉</v>
      </c>
      <c r="E2131" s="8" t="str">
        <f aca="true" t="shared" si="330" ref="E2131:E2137">"女"</f>
        <v>女</v>
      </c>
    </row>
    <row r="2132" spans="1:5" ht="30" customHeight="1">
      <c r="A2132" s="8">
        <v>2129</v>
      </c>
      <c r="B2132" s="8" t="str">
        <f>"38492022042410331436431"</f>
        <v>38492022042410331436431</v>
      </c>
      <c r="C2132" s="8" t="s">
        <v>21</v>
      </c>
      <c r="D2132" s="8" t="str">
        <f>"梁昌琴"</f>
        <v>梁昌琴</v>
      </c>
      <c r="E2132" s="8" t="str">
        <f t="shared" si="330"/>
        <v>女</v>
      </c>
    </row>
    <row r="2133" spans="1:5" ht="30" customHeight="1">
      <c r="A2133" s="8">
        <v>2130</v>
      </c>
      <c r="B2133" s="8" t="str">
        <f>"38492022042410360336436"</f>
        <v>38492022042410360336436</v>
      </c>
      <c r="C2133" s="8" t="s">
        <v>21</v>
      </c>
      <c r="D2133" s="8" t="str">
        <f>"潘思颖"</f>
        <v>潘思颖</v>
      </c>
      <c r="E2133" s="8" t="str">
        <f t="shared" si="330"/>
        <v>女</v>
      </c>
    </row>
    <row r="2134" spans="1:5" ht="30" customHeight="1">
      <c r="A2134" s="8">
        <v>2131</v>
      </c>
      <c r="B2134" s="8" t="str">
        <f>"38492022042410434436454"</f>
        <v>38492022042410434436454</v>
      </c>
      <c r="C2134" s="8" t="s">
        <v>21</v>
      </c>
      <c r="D2134" s="8" t="str">
        <f>"王娇"</f>
        <v>王娇</v>
      </c>
      <c r="E2134" s="8" t="str">
        <f t="shared" si="330"/>
        <v>女</v>
      </c>
    </row>
    <row r="2135" spans="1:5" ht="30" customHeight="1">
      <c r="A2135" s="8">
        <v>2132</v>
      </c>
      <c r="B2135" s="8" t="str">
        <f>"38492022042410445336456"</f>
        <v>38492022042410445336456</v>
      </c>
      <c r="C2135" s="8" t="s">
        <v>21</v>
      </c>
      <c r="D2135" s="8" t="str">
        <f>"李莉"</f>
        <v>李莉</v>
      </c>
      <c r="E2135" s="8" t="str">
        <f t="shared" si="330"/>
        <v>女</v>
      </c>
    </row>
    <row r="2136" spans="1:5" ht="30" customHeight="1">
      <c r="A2136" s="8">
        <v>2133</v>
      </c>
      <c r="B2136" s="8" t="str">
        <f>"38492022042410502836467"</f>
        <v>38492022042410502836467</v>
      </c>
      <c r="C2136" s="8" t="s">
        <v>21</v>
      </c>
      <c r="D2136" s="8" t="str">
        <f>"王米雪"</f>
        <v>王米雪</v>
      </c>
      <c r="E2136" s="8" t="str">
        <f t="shared" si="330"/>
        <v>女</v>
      </c>
    </row>
    <row r="2137" spans="1:5" ht="30" customHeight="1">
      <c r="A2137" s="8">
        <v>2134</v>
      </c>
      <c r="B2137" s="8" t="str">
        <f>"38492022042410531336472"</f>
        <v>38492022042410531336472</v>
      </c>
      <c r="C2137" s="8" t="s">
        <v>21</v>
      </c>
      <c r="D2137" s="8" t="str">
        <f>"薛美花"</f>
        <v>薛美花</v>
      </c>
      <c r="E2137" s="8" t="str">
        <f t="shared" si="330"/>
        <v>女</v>
      </c>
    </row>
    <row r="2138" spans="1:5" ht="30" customHeight="1">
      <c r="A2138" s="8">
        <v>2135</v>
      </c>
      <c r="B2138" s="8" t="str">
        <f>"38492022042410570936478"</f>
        <v>38492022042410570936478</v>
      </c>
      <c r="C2138" s="8" t="s">
        <v>21</v>
      </c>
      <c r="D2138" s="8" t="str">
        <f>"李振宇"</f>
        <v>李振宇</v>
      </c>
      <c r="E2138" s="8" t="str">
        <f aca="true" t="shared" si="331" ref="E2138:E2141">"男"</f>
        <v>男</v>
      </c>
    </row>
    <row r="2139" spans="1:5" ht="30" customHeight="1">
      <c r="A2139" s="8">
        <v>2136</v>
      </c>
      <c r="B2139" s="8" t="str">
        <f>"38492022042411044336497"</f>
        <v>38492022042411044336497</v>
      </c>
      <c r="C2139" s="8" t="s">
        <v>21</v>
      </c>
      <c r="D2139" s="8" t="str">
        <f>"王国辽"</f>
        <v>王国辽</v>
      </c>
      <c r="E2139" s="8" t="str">
        <f t="shared" si="331"/>
        <v>男</v>
      </c>
    </row>
    <row r="2140" spans="1:5" ht="30" customHeight="1">
      <c r="A2140" s="8">
        <v>2137</v>
      </c>
      <c r="B2140" s="8" t="str">
        <f>"38492022042411084936503"</f>
        <v>38492022042411084936503</v>
      </c>
      <c r="C2140" s="8" t="s">
        <v>21</v>
      </c>
      <c r="D2140" s="8" t="str">
        <f>"梁彩云"</f>
        <v>梁彩云</v>
      </c>
      <c r="E2140" s="8" t="str">
        <f aca="true" t="shared" si="332" ref="E2140:E2147">"女"</f>
        <v>女</v>
      </c>
    </row>
    <row r="2141" spans="1:5" ht="30" customHeight="1">
      <c r="A2141" s="8">
        <v>2138</v>
      </c>
      <c r="B2141" s="8" t="str">
        <f>"38492022042411102136507"</f>
        <v>38492022042411102136507</v>
      </c>
      <c r="C2141" s="8" t="s">
        <v>21</v>
      </c>
      <c r="D2141" s="8" t="str">
        <f>"王麟光"</f>
        <v>王麟光</v>
      </c>
      <c r="E2141" s="8" t="str">
        <f t="shared" si="331"/>
        <v>男</v>
      </c>
    </row>
    <row r="2142" spans="1:5" ht="30" customHeight="1">
      <c r="A2142" s="8">
        <v>2139</v>
      </c>
      <c r="B2142" s="8" t="str">
        <f>"38492022042411230336525"</f>
        <v>38492022042411230336525</v>
      </c>
      <c r="C2142" s="8" t="s">
        <v>21</v>
      </c>
      <c r="D2142" s="8" t="str">
        <f>"符燕妮"</f>
        <v>符燕妮</v>
      </c>
      <c r="E2142" s="8" t="str">
        <f t="shared" si="332"/>
        <v>女</v>
      </c>
    </row>
    <row r="2143" spans="1:5" ht="30" customHeight="1">
      <c r="A2143" s="8">
        <v>2140</v>
      </c>
      <c r="B2143" s="8" t="str">
        <f>"38492022042411251836530"</f>
        <v>38492022042411251836530</v>
      </c>
      <c r="C2143" s="8" t="s">
        <v>21</v>
      </c>
      <c r="D2143" s="8" t="str">
        <f>"王德钟"</f>
        <v>王德钟</v>
      </c>
      <c r="E2143" s="8" t="str">
        <f aca="true" t="shared" si="333" ref="E2143:E2148">"男"</f>
        <v>男</v>
      </c>
    </row>
    <row r="2144" spans="1:5" ht="30" customHeight="1">
      <c r="A2144" s="8">
        <v>2141</v>
      </c>
      <c r="B2144" s="8" t="str">
        <f>"38492022042411253436531"</f>
        <v>38492022042411253436531</v>
      </c>
      <c r="C2144" s="8" t="s">
        <v>21</v>
      </c>
      <c r="D2144" s="8" t="str">
        <f>"林先达"</f>
        <v>林先达</v>
      </c>
      <c r="E2144" s="8" t="str">
        <f t="shared" si="333"/>
        <v>男</v>
      </c>
    </row>
    <row r="2145" spans="1:5" ht="30" customHeight="1">
      <c r="A2145" s="8">
        <v>2142</v>
      </c>
      <c r="B2145" s="8" t="str">
        <f>"38492022042411262936534"</f>
        <v>38492022042411262936534</v>
      </c>
      <c r="C2145" s="8" t="s">
        <v>21</v>
      </c>
      <c r="D2145" s="8" t="str">
        <f>"刘彤彤"</f>
        <v>刘彤彤</v>
      </c>
      <c r="E2145" s="8" t="str">
        <f t="shared" si="332"/>
        <v>女</v>
      </c>
    </row>
    <row r="2146" spans="1:5" ht="30" customHeight="1">
      <c r="A2146" s="8">
        <v>2143</v>
      </c>
      <c r="B2146" s="8" t="str">
        <f>"38492022042411371836556"</f>
        <v>38492022042411371836556</v>
      </c>
      <c r="C2146" s="8" t="s">
        <v>21</v>
      </c>
      <c r="D2146" s="8" t="str">
        <f>"黄金美"</f>
        <v>黄金美</v>
      </c>
      <c r="E2146" s="8" t="str">
        <f t="shared" si="332"/>
        <v>女</v>
      </c>
    </row>
    <row r="2147" spans="1:5" ht="30" customHeight="1">
      <c r="A2147" s="8">
        <v>2144</v>
      </c>
      <c r="B2147" s="8" t="str">
        <f>"38492022042411380136560"</f>
        <v>38492022042411380136560</v>
      </c>
      <c r="C2147" s="8" t="s">
        <v>21</v>
      </c>
      <c r="D2147" s="8" t="str">
        <f>"潘婉怡"</f>
        <v>潘婉怡</v>
      </c>
      <c r="E2147" s="8" t="str">
        <f t="shared" si="332"/>
        <v>女</v>
      </c>
    </row>
    <row r="2148" spans="1:5" ht="30" customHeight="1">
      <c r="A2148" s="8">
        <v>2145</v>
      </c>
      <c r="B2148" s="8" t="str">
        <f>"38492022042411380836561"</f>
        <v>38492022042411380836561</v>
      </c>
      <c r="C2148" s="8" t="s">
        <v>21</v>
      </c>
      <c r="D2148" s="8" t="str">
        <f>"郭若丰"</f>
        <v>郭若丰</v>
      </c>
      <c r="E2148" s="8" t="str">
        <f t="shared" si="333"/>
        <v>男</v>
      </c>
    </row>
    <row r="2149" spans="1:5" ht="30" customHeight="1">
      <c r="A2149" s="8">
        <v>2146</v>
      </c>
      <c r="B2149" s="8" t="str">
        <f>"38492022042411384136563"</f>
        <v>38492022042411384136563</v>
      </c>
      <c r="C2149" s="8" t="s">
        <v>21</v>
      </c>
      <c r="D2149" s="8" t="str">
        <f>"许春女"</f>
        <v>许春女</v>
      </c>
      <c r="E2149" s="8" t="str">
        <f>"女"</f>
        <v>女</v>
      </c>
    </row>
    <row r="2150" spans="1:5" ht="30" customHeight="1">
      <c r="A2150" s="8">
        <v>2147</v>
      </c>
      <c r="B2150" s="8" t="str">
        <f>"38492022042411422636572"</f>
        <v>38492022042411422636572</v>
      </c>
      <c r="C2150" s="8" t="s">
        <v>21</v>
      </c>
      <c r="D2150" s="8" t="str">
        <f>"唐壮玲"</f>
        <v>唐壮玲</v>
      </c>
      <c r="E2150" s="8" t="str">
        <f>"女"</f>
        <v>女</v>
      </c>
    </row>
    <row r="2151" spans="1:5" ht="30" customHeight="1">
      <c r="A2151" s="8">
        <v>2148</v>
      </c>
      <c r="B2151" s="8" t="str">
        <f>"38492022042411431836576"</f>
        <v>38492022042411431836576</v>
      </c>
      <c r="C2151" s="8" t="s">
        <v>21</v>
      </c>
      <c r="D2151" s="8" t="str">
        <f>"梁生培"</f>
        <v>梁生培</v>
      </c>
      <c r="E2151" s="8" t="str">
        <f aca="true" t="shared" si="334" ref="E2151:E2154">"男"</f>
        <v>男</v>
      </c>
    </row>
    <row r="2152" spans="1:5" ht="30" customHeight="1">
      <c r="A2152" s="8">
        <v>2149</v>
      </c>
      <c r="B2152" s="8" t="str">
        <f>"38492022042411495236581"</f>
        <v>38492022042411495236581</v>
      </c>
      <c r="C2152" s="8" t="s">
        <v>21</v>
      </c>
      <c r="D2152" s="8" t="str">
        <f>"符美健"</f>
        <v>符美健</v>
      </c>
      <c r="E2152" s="8" t="str">
        <f t="shared" si="334"/>
        <v>男</v>
      </c>
    </row>
    <row r="2153" spans="1:5" ht="30" customHeight="1">
      <c r="A2153" s="8">
        <v>2150</v>
      </c>
      <c r="B2153" s="8" t="str">
        <f>"38492022042411505836584"</f>
        <v>38492022042411505836584</v>
      </c>
      <c r="C2153" s="8" t="s">
        <v>21</v>
      </c>
      <c r="D2153" s="8" t="str">
        <f>"羊鸿斌"</f>
        <v>羊鸿斌</v>
      </c>
      <c r="E2153" s="8" t="str">
        <f t="shared" si="334"/>
        <v>男</v>
      </c>
    </row>
    <row r="2154" spans="1:5" ht="30" customHeight="1">
      <c r="A2154" s="8">
        <v>2151</v>
      </c>
      <c r="B2154" s="8" t="str">
        <f>"38492022042411551436592"</f>
        <v>38492022042411551436592</v>
      </c>
      <c r="C2154" s="8" t="s">
        <v>21</v>
      </c>
      <c r="D2154" s="8" t="str">
        <f>"沈浩庭"</f>
        <v>沈浩庭</v>
      </c>
      <c r="E2154" s="8" t="str">
        <f t="shared" si="334"/>
        <v>男</v>
      </c>
    </row>
    <row r="2155" spans="1:5" ht="30" customHeight="1">
      <c r="A2155" s="8">
        <v>2152</v>
      </c>
      <c r="B2155" s="8" t="str">
        <f>"38492022042411584336595"</f>
        <v>38492022042411584336595</v>
      </c>
      <c r="C2155" s="8" t="s">
        <v>21</v>
      </c>
      <c r="D2155" s="8" t="str">
        <f>"阮映梅"</f>
        <v>阮映梅</v>
      </c>
      <c r="E2155" s="8" t="str">
        <f aca="true" t="shared" si="335" ref="E2155:E2157">"女"</f>
        <v>女</v>
      </c>
    </row>
    <row r="2156" spans="1:5" ht="30" customHeight="1">
      <c r="A2156" s="8">
        <v>2153</v>
      </c>
      <c r="B2156" s="8" t="str">
        <f>"38492022042412181136621"</f>
        <v>38492022042412181136621</v>
      </c>
      <c r="C2156" s="8" t="s">
        <v>21</v>
      </c>
      <c r="D2156" s="8" t="str">
        <f>"谢秋良"</f>
        <v>谢秋良</v>
      </c>
      <c r="E2156" s="8" t="str">
        <f t="shared" si="335"/>
        <v>女</v>
      </c>
    </row>
    <row r="2157" spans="1:5" ht="30" customHeight="1">
      <c r="A2157" s="8">
        <v>2154</v>
      </c>
      <c r="B2157" s="8" t="str">
        <f>"38492022042412252336631"</f>
        <v>38492022042412252336631</v>
      </c>
      <c r="C2157" s="8" t="s">
        <v>21</v>
      </c>
      <c r="D2157" s="8" t="str">
        <f>"文秀艳"</f>
        <v>文秀艳</v>
      </c>
      <c r="E2157" s="8" t="str">
        <f t="shared" si="335"/>
        <v>女</v>
      </c>
    </row>
    <row r="2158" spans="1:5" ht="30" customHeight="1">
      <c r="A2158" s="8">
        <v>2155</v>
      </c>
      <c r="B2158" s="8" t="str">
        <f>"38492022042412425836661"</f>
        <v>38492022042412425836661</v>
      </c>
      <c r="C2158" s="8" t="s">
        <v>21</v>
      </c>
      <c r="D2158" s="8" t="str">
        <f>"邢智"</f>
        <v>邢智</v>
      </c>
      <c r="E2158" s="8" t="str">
        <f>"男"</f>
        <v>男</v>
      </c>
    </row>
    <row r="2159" spans="1:5" ht="30" customHeight="1">
      <c r="A2159" s="8">
        <v>2156</v>
      </c>
      <c r="B2159" s="8" t="str">
        <f>"38492022042412430636662"</f>
        <v>38492022042412430636662</v>
      </c>
      <c r="C2159" s="8" t="s">
        <v>21</v>
      </c>
      <c r="D2159" s="8" t="str">
        <f>"郭红湖"</f>
        <v>郭红湖</v>
      </c>
      <c r="E2159" s="8" t="str">
        <f>"男"</f>
        <v>男</v>
      </c>
    </row>
    <row r="2160" spans="1:5" ht="30" customHeight="1">
      <c r="A2160" s="8">
        <v>2157</v>
      </c>
      <c r="B2160" s="8" t="str">
        <f>"38492022042412523336684"</f>
        <v>38492022042412523336684</v>
      </c>
      <c r="C2160" s="8" t="s">
        <v>21</v>
      </c>
      <c r="D2160" s="8" t="str">
        <f>"童柳五"</f>
        <v>童柳五</v>
      </c>
      <c r="E2160" s="8" t="str">
        <f aca="true" t="shared" si="336" ref="E2160:E2167">"女"</f>
        <v>女</v>
      </c>
    </row>
    <row r="2161" spans="1:5" ht="30" customHeight="1">
      <c r="A2161" s="8">
        <v>2158</v>
      </c>
      <c r="B2161" s="8" t="str">
        <f>"38492022042412540636689"</f>
        <v>38492022042412540636689</v>
      </c>
      <c r="C2161" s="8" t="s">
        <v>21</v>
      </c>
      <c r="D2161" s="8" t="str">
        <f>"钟敏秀"</f>
        <v>钟敏秀</v>
      </c>
      <c r="E2161" s="8" t="str">
        <f t="shared" si="336"/>
        <v>女</v>
      </c>
    </row>
    <row r="2162" spans="1:5" ht="30" customHeight="1">
      <c r="A2162" s="8">
        <v>2159</v>
      </c>
      <c r="B2162" s="8" t="str">
        <f>"38492022042413065336714"</f>
        <v>38492022042413065336714</v>
      </c>
      <c r="C2162" s="8" t="s">
        <v>21</v>
      </c>
      <c r="D2162" s="8" t="str">
        <f>"黄莉娜"</f>
        <v>黄莉娜</v>
      </c>
      <c r="E2162" s="8" t="str">
        <f t="shared" si="336"/>
        <v>女</v>
      </c>
    </row>
    <row r="2163" spans="1:5" ht="30" customHeight="1">
      <c r="A2163" s="8">
        <v>2160</v>
      </c>
      <c r="B2163" s="8" t="str">
        <f>"38492022042413084536716"</f>
        <v>38492022042413084536716</v>
      </c>
      <c r="C2163" s="8" t="s">
        <v>21</v>
      </c>
      <c r="D2163" s="8" t="str">
        <f>"符茵茵"</f>
        <v>符茵茵</v>
      </c>
      <c r="E2163" s="8" t="str">
        <f t="shared" si="336"/>
        <v>女</v>
      </c>
    </row>
    <row r="2164" spans="1:5" ht="30" customHeight="1">
      <c r="A2164" s="8">
        <v>2161</v>
      </c>
      <c r="B2164" s="8" t="str">
        <f>"38492022042413101936718"</f>
        <v>38492022042413101936718</v>
      </c>
      <c r="C2164" s="8" t="s">
        <v>21</v>
      </c>
      <c r="D2164" s="8" t="str">
        <f>"陈仿"</f>
        <v>陈仿</v>
      </c>
      <c r="E2164" s="8" t="str">
        <f t="shared" si="336"/>
        <v>女</v>
      </c>
    </row>
    <row r="2165" spans="1:5" ht="30" customHeight="1">
      <c r="A2165" s="8">
        <v>2162</v>
      </c>
      <c r="B2165" s="8" t="str">
        <f>"38492022042413201836731"</f>
        <v>38492022042413201836731</v>
      </c>
      <c r="C2165" s="8" t="s">
        <v>21</v>
      </c>
      <c r="D2165" s="8" t="str">
        <f>"唐小妹"</f>
        <v>唐小妹</v>
      </c>
      <c r="E2165" s="8" t="str">
        <f t="shared" si="336"/>
        <v>女</v>
      </c>
    </row>
    <row r="2166" spans="1:5" ht="30" customHeight="1">
      <c r="A2166" s="8">
        <v>2163</v>
      </c>
      <c r="B2166" s="8" t="str">
        <f>"38492022042413261336741"</f>
        <v>38492022042413261336741</v>
      </c>
      <c r="C2166" s="8" t="s">
        <v>21</v>
      </c>
      <c r="D2166" s="8" t="str">
        <f>"林晏伊"</f>
        <v>林晏伊</v>
      </c>
      <c r="E2166" s="8" t="str">
        <f t="shared" si="336"/>
        <v>女</v>
      </c>
    </row>
    <row r="2167" spans="1:5" ht="30" customHeight="1">
      <c r="A2167" s="8">
        <v>2164</v>
      </c>
      <c r="B2167" s="8" t="str">
        <f>"38492022042413331436750"</f>
        <v>38492022042413331436750</v>
      </c>
      <c r="C2167" s="8" t="s">
        <v>21</v>
      </c>
      <c r="D2167" s="8" t="str">
        <f>"李秀颖"</f>
        <v>李秀颖</v>
      </c>
      <c r="E2167" s="8" t="str">
        <f t="shared" si="336"/>
        <v>女</v>
      </c>
    </row>
    <row r="2168" spans="1:5" ht="30" customHeight="1">
      <c r="A2168" s="8">
        <v>2165</v>
      </c>
      <c r="B2168" s="8" t="str">
        <f>"38492022042413445636760"</f>
        <v>38492022042413445636760</v>
      </c>
      <c r="C2168" s="8" t="s">
        <v>21</v>
      </c>
      <c r="D2168" s="8" t="str">
        <f>"林录奋"</f>
        <v>林录奋</v>
      </c>
      <c r="E2168" s="8" t="str">
        <f aca="true" t="shared" si="337" ref="E2168:E2170">"男"</f>
        <v>男</v>
      </c>
    </row>
    <row r="2169" spans="1:5" ht="30" customHeight="1">
      <c r="A2169" s="8">
        <v>2166</v>
      </c>
      <c r="B2169" s="8" t="str">
        <f>"38492022042413510036768"</f>
        <v>38492022042413510036768</v>
      </c>
      <c r="C2169" s="8" t="s">
        <v>21</v>
      </c>
      <c r="D2169" s="8" t="str">
        <f>"许宇峰"</f>
        <v>许宇峰</v>
      </c>
      <c r="E2169" s="8" t="str">
        <f t="shared" si="337"/>
        <v>男</v>
      </c>
    </row>
    <row r="2170" spans="1:5" ht="30" customHeight="1">
      <c r="A2170" s="8">
        <v>2167</v>
      </c>
      <c r="B2170" s="8" t="str">
        <f>"38492022042414053736777"</f>
        <v>38492022042414053736777</v>
      </c>
      <c r="C2170" s="8" t="s">
        <v>21</v>
      </c>
      <c r="D2170" s="8" t="str">
        <f>"王宏桦"</f>
        <v>王宏桦</v>
      </c>
      <c r="E2170" s="8" t="str">
        <f t="shared" si="337"/>
        <v>男</v>
      </c>
    </row>
    <row r="2171" spans="1:5" ht="30" customHeight="1">
      <c r="A2171" s="8">
        <v>2168</v>
      </c>
      <c r="B2171" s="8" t="str">
        <f>"38492022042414064536780"</f>
        <v>38492022042414064536780</v>
      </c>
      <c r="C2171" s="8" t="s">
        <v>21</v>
      </c>
      <c r="D2171" s="8" t="str">
        <f>"朱巽凤"</f>
        <v>朱巽凤</v>
      </c>
      <c r="E2171" s="8" t="str">
        <f aca="true" t="shared" si="338" ref="E2171:E2177">"女"</f>
        <v>女</v>
      </c>
    </row>
    <row r="2172" spans="1:5" ht="30" customHeight="1">
      <c r="A2172" s="8">
        <v>2169</v>
      </c>
      <c r="B2172" s="8" t="str">
        <f>"38492022042414071536783"</f>
        <v>38492022042414071536783</v>
      </c>
      <c r="C2172" s="8" t="s">
        <v>21</v>
      </c>
      <c r="D2172" s="8" t="str">
        <f>"袁旺雄"</f>
        <v>袁旺雄</v>
      </c>
      <c r="E2172" s="8" t="str">
        <f>"男"</f>
        <v>男</v>
      </c>
    </row>
    <row r="2173" spans="1:5" ht="30" customHeight="1">
      <c r="A2173" s="8">
        <v>2170</v>
      </c>
      <c r="B2173" s="8" t="str">
        <f>"38492022042414124236785"</f>
        <v>38492022042414124236785</v>
      </c>
      <c r="C2173" s="8" t="s">
        <v>21</v>
      </c>
      <c r="D2173" s="8" t="str">
        <f>"蔡云花"</f>
        <v>蔡云花</v>
      </c>
      <c r="E2173" s="8" t="str">
        <f t="shared" si="338"/>
        <v>女</v>
      </c>
    </row>
    <row r="2174" spans="1:5" ht="30" customHeight="1">
      <c r="A2174" s="8">
        <v>2171</v>
      </c>
      <c r="B2174" s="8" t="str">
        <f>"38492022042414173136789"</f>
        <v>38492022042414173136789</v>
      </c>
      <c r="C2174" s="8" t="s">
        <v>21</v>
      </c>
      <c r="D2174" s="8" t="str">
        <f>"吴乾青"</f>
        <v>吴乾青</v>
      </c>
      <c r="E2174" s="8" t="str">
        <f t="shared" si="338"/>
        <v>女</v>
      </c>
    </row>
    <row r="2175" spans="1:5" ht="30" customHeight="1">
      <c r="A2175" s="8">
        <v>2172</v>
      </c>
      <c r="B2175" s="8" t="str">
        <f>"38492022042414192536790"</f>
        <v>38492022042414192536790</v>
      </c>
      <c r="C2175" s="8" t="s">
        <v>21</v>
      </c>
      <c r="D2175" s="8" t="str">
        <f>"陈虹玉"</f>
        <v>陈虹玉</v>
      </c>
      <c r="E2175" s="8" t="str">
        <f t="shared" si="338"/>
        <v>女</v>
      </c>
    </row>
    <row r="2176" spans="1:5" ht="30" customHeight="1">
      <c r="A2176" s="8">
        <v>2173</v>
      </c>
      <c r="B2176" s="8" t="str">
        <f>"38492022042414314636803"</f>
        <v>38492022042414314636803</v>
      </c>
      <c r="C2176" s="8" t="s">
        <v>21</v>
      </c>
      <c r="D2176" s="8" t="str">
        <f>"林雪"</f>
        <v>林雪</v>
      </c>
      <c r="E2176" s="8" t="str">
        <f t="shared" si="338"/>
        <v>女</v>
      </c>
    </row>
    <row r="2177" spans="1:5" ht="30" customHeight="1">
      <c r="A2177" s="8">
        <v>2174</v>
      </c>
      <c r="B2177" s="8" t="str">
        <f>"38492022042414332336805"</f>
        <v>38492022042414332336805</v>
      </c>
      <c r="C2177" s="8" t="s">
        <v>21</v>
      </c>
      <c r="D2177" s="8" t="str">
        <f>"章欣"</f>
        <v>章欣</v>
      </c>
      <c r="E2177" s="8" t="str">
        <f t="shared" si="338"/>
        <v>女</v>
      </c>
    </row>
    <row r="2178" spans="1:5" ht="30" customHeight="1">
      <c r="A2178" s="8">
        <v>2175</v>
      </c>
      <c r="B2178" s="8" t="str">
        <f>"38492022042414410936818"</f>
        <v>38492022042414410936818</v>
      </c>
      <c r="C2178" s="8" t="s">
        <v>21</v>
      </c>
      <c r="D2178" s="8" t="str">
        <f>"吴钟卜"</f>
        <v>吴钟卜</v>
      </c>
      <c r="E2178" s="8" t="str">
        <f aca="true" t="shared" si="339" ref="E2178:E2183">"男"</f>
        <v>男</v>
      </c>
    </row>
    <row r="2179" spans="1:5" ht="30" customHeight="1">
      <c r="A2179" s="8">
        <v>2176</v>
      </c>
      <c r="B2179" s="8" t="str">
        <f>"38492022042414431636824"</f>
        <v>38492022042414431636824</v>
      </c>
      <c r="C2179" s="8" t="s">
        <v>21</v>
      </c>
      <c r="D2179" s="8" t="str">
        <f>"韩燕冰"</f>
        <v>韩燕冰</v>
      </c>
      <c r="E2179" s="8" t="str">
        <f aca="true" t="shared" si="340" ref="E2179:E2181">"女"</f>
        <v>女</v>
      </c>
    </row>
    <row r="2180" spans="1:5" ht="30" customHeight="1">
      <c r="A2180" s="8">
        <v>2177</v>
      </c>
      <c r="B2180" s="8" t="str">
        <f>"38492022042414450736826"</f>
        <v>38492022042414450736826</v>
      </c>
      <c r="C2180" s="8" t="s">
        <v>21</v>
      </c>
      <c r="D2180" s="8" t="str">
        <f>"王金桢"</f>
        <v>王金桢</v>
      </c>
      <c r="E2180" s="8" t="str">
        <f t="shared" si="340"/>
        <v>女</v>
      </c>
    </row>
    <row r="2181" spans="1:5" ht="30" customHeight="1">
      <c r="A2181" s="8">
        <v>2178</v>
      </c>
      <c r="B2181" s="8" t="str">
        <f>"38492022042414455536828"</f>
        <v>38492022042414455536828</v>
      </c>
      <c r="C2181" s="8" t="s">
        <v>21</v>
      </c>
      <c r="D2181" s="8" t="str">
        <f>"于文娟"</f>
        <v>于文娟</v>
      </c>
      <c r="E2181" s="8" t="str">
        <f t="shared" si="340"/>
        <v>女</v>
      </c>
    </row>
    <row r="2182" spans="1:5" ht="30" customHeight="1">
      <c r="A2182" s="8">
        <v>2179</v>
      </c>
      <c r="B2182" s="8" t="str">
        <f>"38492022042414470936831"</f>
        <v>38492022042414470936831</v>
      </c>
      <c r="C2182" s="8" t="s">
        <v>21</v>
      </c>
      <c r="D2182" s="8" t="str">
        <f>"陈大强"</f>
        <v>陈大强</v>
      </c>
      <c r="E2182" s="8" t="str">
        <f t="shared" si="339"/>
        <v>男</v>
      </c>
    </row>
    <row r="2183" spans="1:5" ht="30" customHeight="1">
      <c r="A2183" s="8">
        <v>2180</v>
      </c>
      <c r="B2183" s="8" t="str">
        <f>"38492022042414480136834"</f>
        <v>38492022042414480136834</v>
      </c>
      <c r="C2183" s="8" t="s">
        <v>21</v>
      </c>
      <c r="D2183" s="8" t="str">
        <f>"卓德远"</f>
        <v>卓德远</v>
      </c>
      <c r="E2183" s="8" t="str">
        <f t="shared" si="339"/>
        <v>男</v>
      </c>
    </row>
    <row r="2184" spans="1:5" ht="30" customHeight="1">
      <c r="A2184" s="8">
        <v>2181</v>
      </c>
      <c r="B2184" s="8" t="str">
        <f>"38492022042414553236848"</f>
        <v>38492022042414553236848</v>
      </c>
      <c r="C2184" s="8" t="s">
        <v>21</v>
      </c>
      <c r="D2184" s="8" t="str">
        <f>"吴月琴"</f>
        <v>吴月琴</v>
      </c>
      <c r="E2184" s="8" t="str">
        <f aca="true" t="shared" si="341" ref="E2184:E2187">"女"</f>
        <v>女</v>
      </c>
    </row>
    <row r="2185" spans="1:5" ht="30" customHeight="1">
      <c r="A2185" s="8">
        <v>2182</v>
      </c>
      <c r="B2185" s="8" t="str">
        <f>"38492022042414595736854"</f>
        <v>38492022042414595736854</v>
      </c>
      <c r="C2185" s="8" t="s">
        <v>21</v>
      </c>
      <c r="D2185" s="8" t="str">
        <f>"王喜翔"</f>
        <v>王喜翔</v>
      </c>
      <c r="E2185" s="8" t="str">
        <f t="shared" si="341"/>
        <v>女</v>
      </c>
    </row>
    <row r="2186" spans="1:5" ht="30" customHeight="1">
      <c r="A2186" s="8">
        <v>2183</v>
      </c>
      <c r="B2186" s="8" t="str">
        <f>"38492022042415003936857"</f>
        <v>38492022042415003936857</v>
      </c>
      <c r="C2186" s="8" t="s">
        <v>21</v>
      </c>
      <c r="D2186" s="8" t="str">
        <f>"李儒瑞"</f>
        <v>李儒瑞</v>
      </c>
      <c r="E2186" s="8" t="str">
        <f aca="true" t="shared" si="342" ref="E2186:E2190">"男"</f>
        <v>男</v>
      </c>
    </row>
    <row r="2187" spans="1:5" ht="30" customHeight="1">
      <c r="A2187" s="8">
        <v>2184</v>
      </c>
      <c r="B2187" s="8" t="str">
        <f>"38492022042415004136858"</f>
        <v>38492022042415004136858</v>
      </c>
      <c r="C2187" s="8" t="s">
        <v>21</v>
      </c>
      <c r="D2187" s="8" t="str">
        <f>"张晓颖"</f>
        <v>张晓颖</v>
      </c>
      <c r="E2187" s="8" t="str">
        <f t="shared" si="341"/>
        <v>女</v>
      </c>
    </row>
    <row r="2188" spans="1:5" ht="30" customHeight="1">
      <c r="A2188" s="8">
        <v>2185</v>
      </c>
      <c r="B2188" s="8" t="str">
        <f>"38492022042415082336870"</f>
        <v>38492022042415082336870</v>
      </c>
      <c r="C2188" s="8" t="s">
        <v>21</v>
      </c>
      <c r="D2188" s="8" t="str">
        <f>"唐海强"</f>
        <v>唐海强</v>
      </c>
      <c r="E2188" s="8" t="str">
        <f t="shared" si="342"/>
        <v>男</v>
      </c>
    </row>
    <row r="2189" spans="1:5" ht="30" customHeight="1">
      <c r="A2189" s="8">
        <v>2186</v>
      </c>
      <c r="B2189" s="8" t="str">
        <f>"38492022042415083436871"</f>
        <v>38492022042415083436871</v>
      </c>
      <c r="C2189" s="8" t="s">
        <v>21</v>
      </c>
      <c r="D2189" s="8" t="str">
        <f>"周梅莲"</f>
        <v>周梅莲</v>
      </c>
      <c r="E2189" s="8" t="str">
        <f aca="true" t="shared" si="343" ref="E2189:E2194">"女"</f>
        <v>女</v>
      </c>
    </row>
    <row r="2190" spans="1:5" ht="30" customHeight="1">
      <c r="A2190" s="8">
        <v>2187</v>
      </c>
      <c r="B2190" s="8" t="str">
        <f>"38492022042415110936878"</f>
        <v>38492022042415110936878</v>
      </c>
      <c r="C2190" s="8" t="s">
        <v>21</v>
      </c>
      <c r="D2190" s="8" t="str">
        <f>"李金水"</f>
        <v>李金水</v>
      </c>
      <c r="E2190" s="8" t="str">
        <f t="shared" si="342"/>
        <v>男</v>
      </c>
    </row>
    <row r="2191" spans="1:5" ht="30" customHeight="1">
      <c r="A2191" s="8">
        <v>2188</v>
      </c>
      <c r="B2191" s="8" t="str">
        <f>"38492022042415112636879"</f>
        <v>38492022042415112636879</v>
      </c>
      <c r="C2191" s="8" t="s">
        <v>21</v>
      </c>
      <c r="D2191" s="8" t="str">
        <f>"赖佳禾"</f>
        <v>赖佳禾</v>
      </c>
      <c r="E2191" s="8" t="str">
        <f t="shared" si="343"/>
        <v>女</v>
      </c>
    </row>
    <row r="2192" spans="1:5" ht="30" customHeight="1">
      <c r="A2192" s="8">
        <v>2189</v>
      </c>
      <c r="B2192" s="8" t="str">
        <f>"38492022042415121736882"</f>
        <v>38492022042415121736882</v>
      </c>
      <c r="C2192" s="8" t="s">
        <v>21</v>
      </c>
      <c r="D2192" s="8" t="str">
        <f>"朱树华"</f>
        <v>朱树华</v>
      </c>
      <c r="E2192" s="8" t="str">
        <f aca="true" t="shared" si="344" ref="E2192:E2195">"男"</f>
        <v>男</v>
      </c>
    </row>
    <row r="2193" spans="1:5" ht="30" customHeight="1">
      <c r="A2193" s="8">
        <v>2190</v>
      </c>
      <c r="B2193" s="8" t="str">
        <f>"38492022042415122936883"</f>
        <v>38492022042415122936883</v>
      </c>
      <c r="C2193" s="8" t="s">
        <v>21</v>
      </c>
      <c r="D2193" s="8" t="str">
        <f>"黎永树"</f>
        <v>黎永树</v>
      </c>
      <c r="E2193" s="8" t="str">
        <f t="shared" si="344"/>
        <v>男</v>
      </c>
    </row>
    <row r="2194" spans="1:5" ht="30" customHeight="1">
      <c r="A2194" s="8">
        <v>2191</v>
      </c>
      <c r="B2194" s="8" t="str">
        <f>"38492022042415183936894"</f>
        <v>38492022042415183936894</v>
      </c>
      <c r="C2194" s="8" t="s">
        <v>21</v>
      </c>
      <c r="D2194" s="8" t="str">
        <f>"黄习"</f>
        <v>黄习</v>
      </c>
      <c r="E2194" s="8" t="str">
        <f t="shared" si="343"/>
        <v>女</v>
      </c>
    </row>
    <row r="2195" spans="1:5" ht="30" customHeight="1">
      <c r="A2195" s="8">
        <v>2192</v>
      </c>
      <c r="B2195" s="8" t="str">
        <f>"38492022042415194736896"</f>
        <v>38492022042415194736896</v>
      </c>
      <c r="C2195" s="8" t="s">
        <v>21</v>
      </c>
      <c r="D2195" s="8" t="str">
        <f>"符成峰"</f>
        <v>符成峰</v>
      </c>
      <c r="E2195" s="8" t="str">
        <f t="shared" si="344"/>
        <v>男</v>
      </c>
    </row>
    <row r="2196" spans="1:5" ht="30" customHeight="1">
      <c r="A2196" s="8">
        <v>2193</v>
      </c>
      <c r="B2196" s="8" t="str">
        <f>"38492022042415230636900"</f>
        <v>38492022042415230636900</v>
      </c>
      <c r="C2196" s="8" t="s">
        <v>21</v>
      </c>
      <c r="D2196" s="8" t="str">
        <f>"卢邓烹"</f>
        <v>卢邓烹</v>
      </c>
      <c r="E2196" s="8" t="str">
        <f aca="true" t="shared" si="345" ref="E2196:E2198">"女"</f>
        <v>女</v>
      </c>
    </row>
    <row r="2197" spans="1:5" ht="30" customHeight="1">
      <c r="A2197" s="8">
        <v>2194</v>
      </c>
      <c r="B2197" s="8" t="str">
        <f>"38492022042415245136906"</f>
        <v>38492022042415245136906</v>
      </c>
      <c r="C2197" s="8" t="s">
        <v>21</v>
      </c>
      <c r="D2197" s="8" t="str">
        <f>"黎逢彩"</f>
        <v>黎逢彩</v>
      </c>
      <c r="E2197" s="8" t="str">
        <f t="shared" si="345"/>
        <v>女</v>
      </c>
    </row>
    <row r="2198" spans="1:5" ht="30" customHeight="1">
      <c r="A2198" s="8">
        <v>2195</v>
      </c>
      <c r="B2198" s="8" t="str">
        <f>"38492022042415254436908"</f>
        <v>38492022042415254436908</v>
      </c>
      <c r="C2198" s="8" t="s">
        <v>21</v>
      </c>
      <c r="D2198" s="8" t="str">
        <f>"符志萱"</f>
        <v>符志萱</v>
      </c>
      <c r="E2198" s="8" t="str">
        <f t="shared" si="345"/>
        <v>女</v>
      </c>
    </row>
    <row r="2199" spans="1:5" ht="30" customHeight="1">
      <c r="A2199" s="8">
        <v>2196</v>
      </c>
      <c r="B2199" s="8" t="str">
        <f>"38492022042415272536910"</f>
        <v>38492022042415272536910</v>
      </c>
      <c r="C2199" s="8" t="s">
        <v>21</v>
      </c>
      <c r="D2199" s="8" t="str">
        <f>"杨树羽"</f>
        <v>杨树羽</v>
      </c>
      <c r="E2199" s="8" t="str">
        <f>"男"</f>
        <v>男</v>
      </c>
    </row>
    <row r="2200" spans="1:5" ht="30" customHeight="1">
      <c r="A2200" s="8">
        <v>2197</v>
      </c>
      <c r="B2200" s="8" t="str">
        <f>"38492022042415284536911"</f>
        <v>38492022042415284536911</v>
      </c>
      <c r="C2200" s="8" t="s">
        <v>21</v>
      </c>
      <c r="D2200" s="8" t="str">
        <f>"符会文"</f>
        <v>符会文</v>
      </c>
      <c r="E2200" s="8" t="str">
        <f>"男"</f>
        <v>男</v>
      </c>
    </row>
    <row r="2201" spans="1:5" ht="30" customHeight="1">
      <c r="A2201" s="8">
        <v>2198</v>
      </c>
      <c r="B2201" s="8" t="str">
        <f>"38492022042415310336916"</f>
        <v>38492022042415310336916</v>
      </c>
      <c r="C2201" s="8" t="s">
        <v>21</v>
      </c>
      <c r="D2201" s="8" t="str">
        <f>"郑建妮"</f>
        <v>郑建妮</v>
      </c>
      <c r="E2201" s="8" t="str">
        <f aca="true" t="shared" si="346" ref="E2201:E2204">"女"</f>
        <v>女</v>
      </c>
    </row>
    <row r="2202" spans="1:5" ht="30" customHeight="1">
      <c r="A2202" s="8">
        <v>2199</v>
      </c>
      <c r="B2202" s="8" t="str">
        <f>"38492022042415321036920"</f>
        <v>38492022042415321036920</v>
      </c>
      <c r="C2202" s="8" t="s">
        <v>21</v>
      </c>
      <c r="D2202" s="8" t="str">
        <f>"邝钰蓉"</f>
        <v>邝钰蓉</v>
      </c>
      <c r="E2202" s="8" t="str">
        <f t="shared" si="346"/>
        <v>女</v>
      </c>
    </row>
    <row r="2203" spans="1:5" ht="30" customHeight="1">
      <c r="A2203" s="8">
        <v>2200</v>
      </c>
      <c r="B2203" s="8" t="str">
        <f>"38492022042415360236927"</f>
        <v>38492022042415360236927</v>
      </c>
      <c r="C2203" s="8" t="s">
        <v>21</v>
      </c>
      <c r="D2203" s="8" t="str">
        <f>"尹江笑"</f>
        <v>尹江笑</v>
      </c>
      <c r="E2203" s="8" t="str">
        <f t="shared" si="346"/>
        <v>女</v>
      </c>
    </row>
    <row r="2204" spans="1:5" ht="30" customHeight="1">
      <c r="A2204" s="8">
        <v>2201</v>
      </c>
      <c r="B2204" s="8" t="str">
        <f>"38492022042415383836938"</f>
        <v>38492022042415383836938</v>
      </c>
      <c r="C2204" s="8" t="s">
        <v>21</v>
      </c>
      <c r="D2204" s="8" t="str">
        <f>"周春美"</f>
        <v>周春美</v>
      </c>
      <c r="E2204" s="8" t="str">
        <f t="shared" si="346"/>
        <v>女</v>
      </c>
    </row>
    <row r="2205" spans="1:5" ht="30" customHeight="1">
      <c r="A2205" s="8">
        <v>2202</v>
      </c>
      <c r="B2205" s="8" t="str">
        <f>"38492022042415392436941"</f>
        <v>38492022042415392436941</v>
      </c>
      <c r="C2205" s="8" t="s">
        <v>21</v>
      </c>
      <c r="D2205" s="8" t="str">
        <f>"周冠良"</f>
        <v>周冠良</v>
      </c>
      <c r="E2205" s="8" t="str">
        <f>"男"</f>
        <v>男</v>
      </c>
    </row>
    <row r="2206" spans="1:5" ht="30" customHeight="1">
      <c r="A2206" s="8">
        <v>2203</v>
      </c>
      <c r="B2206" s="8" t="str">
        <f>"38492022042415392536942"</f>
        <v>38492022042415392536942</v>
      </c>
      <c r="C2206" s="8" t="s">
        <v>21</v>
      </c>
      <c r="D2206" s="8" t="str">
        <f>"卓芳花"</f>
        <v>卓芳花</v>
      </c>
      <c r="E2206" s="8" t="str">
        <f aca="true" t="shared" si="347" ref="E2206:E2210">"女"</f>
        <v>女</v>
      </c>
    </row>
    <row r="2207" spans="1:5" ht="30" customHeight="1">
      <c r="A2207" s="8">
        <v>2204</v>
      </c>
      <c r="B2207" s="8" t="str">
        <f>"38492022042415405536946"</f>
        <v>38492022042415405536946</v>
      </c>
      <c r="C2207" s="8" t="s">
        <v>21</v>
      </c>
      <c r="D2207" s="8" t="str">
        <f>"王彩银"</f>
        <v>王彩银</v>
      </c>
      <c r="E2207" s="8" t="str">
        <f t="shared" si="347"/>
        <v>女</v>
      </c>
    </row>
    <row r="2208" spans="1:5" ht="30" customHeight="1">
      <c r="A2208" s="8">
        <v>2205</v>
      </c>
      <c r="B2208" s="8" t="str">
        <f>"38492022042415460236961"</f>
        <v>38492022042415460236961</v>
      </c>
      <c r="C2208" s="8" t="s">
        <v>21</v>
      </c>
      <c r="D2208" s="8" t="str">
        <f>"吴钟睿"</f>
        <v>吴钟睿</v>
      </c>
      <c r="E2208" s="8" t="str">
        <f aca="true" t="shared" si="348" ref="E2208:E2213">"男"</f>
        <v>男</v>
      </c>
    </row>
    <row r="2209" spans="1:5" ht="30" customHeight="1">
      <c r="A2209" s="8">
        <v>2206</v>
      </c>
      <c r="B2209" s="8" t="str">
        <f>"38492022042415505236975"</f>
        <v>38492022042415505236975</v>
      </c>
      <c r="C2209" s="8" t="s">
        <v>21</v>
      </c>
      <c r="D2209" s="8" t="str">
        <f>"张文慧"</f>
        <v>张文慧</v>
      </c>
      <c r="E2209" s="8" t="str">
        <f t="shared" si="347"/>
        <v>女</v>
      </c>
    </row>
    <row r="2210" spans="1:5" ht="30" customHeight="1">
      <c r="A2210" s="8">
        <v>2207</v>
      </c>
      <c r="B2210" s="8" t="str">
        <f>"38492022042415522736979"</f>
        <v>38492022042415522736979</v>
      </c>
      <c r="C2210" s="8" t="s">
        <v>21</v>
      </c>
      <c r="D2210" s="8" t="str">
        <f>"赵苏芳"</f>
        <v>赵苏芳</v>
      </c>
      <c r="E2210" s="8" t="str">
        <f t="shared" si="347"/>
        <v>女</v>
      </c>
    </row>
    <row r="2211" spans="1:5" ht="30" customHeight="1">
      <c r="A2211" s="8">
        <v>2208</v>
      </c>
      <c r="B2211" s="8" t="str">
        <f>"38492022042415535036983"</f>
        <v>38492022042415535036983</v>
      </c>
      <c r="C2211" s="8" t="s">
        <v>21</v>
      </c>
      <c r="D2211" s="8" t="str">
        <f>"李庆优"</f>
        <v>李庆优</v>
      </c>
      <c r="E2211" s="8" t="str">
        <f t="shared" si="348"/>
        <v>男</v>
      </c>
    </row>
    <row r="2212" spans="1:5" ht="30" customHeight="1">
      <c r="A2212" s="8">
        <v>2209</v>
      </c>
      <c r="B2212" s="8" t="str">
        <f>"38492022042415542736987"</f>
        <v>38492022042415542736987</v>
      </c>
      <c r="C2212" s="8" t="s">
        <v>21</v>
      </c>
      <c r="D2212" s="8" t="str">
        <f>"曾理娟"</f>
        <v>曾理娟</v>
      </c>
      <c r="E2212" s="8" t="str">
        <f aca="true" t="shared" si="349" ref="E2212:E2216">"女"</f>
        <v>女</v>
      </c>
    </row>
    <row r="2213" spans="1:5" ht="30" customHeight="1">
      <c r="A2213" s="8">
        <v>2210</v>
      </c>
      <c r="B2213" s="8" t="str">
        <f>"38492022042415565036991"</f>
        <v>38492022042415565036991</v>
      </c>
      <c r="C2213" s="8" t="s">
        <v>21</v>
      </c>
      <c r="D2213" s="8" t="str">
        <f>"郭景光"</f>
        <v>郭景光</v>
      </c>
      <c r="E2213" s="8" t="str">
        <f t="shared" si="348"/>
        <v>男</v>
      </c>
    </row>
    <row r="2214" spans="1:5" ht="30" customHeight="1">
      <c r="A2214" s="8">
        <v>2211</v>
      </c>
      <c r="B2214" s="8" t="str">
        <f>"38492022042415574636994"</f>
        <v>38492022042415574636994</v>
      </c>
      <c r="C2214" s="8" t="s">
        <v>21</v>
      </c>
      <c r="D2214" s="8" t="str">
        <f>"陈佳俏"</f>
        <v>陈佳俏</v>
      </c>
      <c r="E2214" s="8" t="str">
        <f t="shared" si="349"/>
        <v>女</v>
      </c>
    </row>
    <row r="2215" spans="1:5" ht="30" customHeight="1">
      <c r="A2215" s="8">
        <v>2212</v>
      </c>
      <c r="B2215" s="8" t="str">
        <f>"38492022042415580436995"</f>
        <v>38492022042415580436995</v>
      </c>
      <c r="C2215" s="8" t="s">
        <v>21</v>
      </c>
      <c r="D2215" s="8" t="str">
        <f>"吴莉莎"</f>
        <v>吴莉莎</v>
      </c>
      <c r="E2215" s="8" t="str">
        <f t="shared" si="349"/>
        <v>女</v>
      </c>
    </row>
    <row r="2216" spans="1:5" ht="30" customHeight="1">
      <c r="A2216" s="8">
        <v>2213</v>
      </c>
      <c r="B2216" s="8" t="str">
        <f>"38492022042416004937001"</f>
        <v>38492022042416004937001</v>
      </c>
      <c r="C2216" s="8" t="s">
        <v>21</v>
      </c>
      <c r="D2216" s="8" t="str">
        <f>"王敏"</f>
        <v>王敏</v>
      </c>
      <c r="E2216" s="8" t="str">
        <f t="shared" si="349"/>
        <v>女</v>
      </c>
    </row>
    <row r="2217" spans="1:5" ht="30" customHeight="1">
      <c r="A2217" s="8">
        <v>2214</v>
      </c>
      <c r="B2217" s="8" t="str">
        <f>"38492022042416074137009"</f>
        <v>38492022042416074137009</v>
      </c>
      <c r="C2217" s="8" t="s">
        <v>21</v>
      </c>
      <c r="D2217" s="8" t="str">
        <f>"王家仿"</f>
        <v>王家仿</v>
      </c>
      <c r="E2217" s="8" t="str">
        <f>"男"</f>
        <v>男</v>
      </c>
    </row>
    <row r="2218" spans="1:5" ht="30" customHeight="1">
      <c r="A2218" s="8">
        <v>2215</v>
      </c>
      <c r="B2218" s="8" t="str">
        <f>"38492022042416214437040"</f>
        <v>38492022042416214437040</v>
      </c>
      <c r="C2218" s="8" t="s">
        <v>21</v>
      </c>
      <c r="D2218" s="8" t="str">
        <f>"吴造喜"</f>
        <v>吴造喜</v>
      </c>
      <c r="E2218" s="8" t="str">
        <f>"男"</f>
        <v>男</v>
      </c>
    </row>
    <row r="2219" spans="1:5" ht="30" customHeight="1">
      <c r="A2219" s="8">
        <v>2216</v>
      </c>
      <c r="B2219" s="8" t="str">
        <f>"38492022042416270937050"</f>
        <v>38492022042416270937050</v>
      </c>
      <c r="C2219" s="8" t="s">
        <v>21</v>
      </c>
      <c r="D2219" s="8" t="str">
        <f>"林文霞"</f>
        <v>林文霞</v>
      </c>
      <c r="E2219" s="8" t="str">
        <f aca="true" t="shared" si="350" ref="E2219:E2222">"女"</f>
        <v>女</v>
      </c>
    </row>
    <row r="2220" spans="1:5" ht="30" customHeight="1">
      <c r="A2220" s="8">
        <v>2217</v>
      </c>
      <c r="B2220" s="8" t="str">
        <f>"38492022042416311237064"</f>
        <v>38492022042416311237064</v>
      </c>
      <c r="C2220" s="8" t="s">
        <v>21</v>
      </c>
      <c r="D2220" s="8" t="str">
        <f>"黎宏翠"</f>
        <v>黎宏翠</v>
      </c>
      <c r="E2220" s="8" t="str">
        <f t="shared" si="350"/>
        <v>女</v>
      </c>
    </row>
    <row r="2221" spans="1:5" ht="30" customHeight="1">
      <c r="A2221" s="8">
        <v>2218</v>
      </c>
      <c r="B2221" s="8" t="str">
        <f>"38492022042416312737065"</f>
        <v>38492022042416312737065</v>
      </c>
      <c r="C2221" s="8" t="s">
        <v>21</v>
      </c>
      <c r="D2221" s="8" t="str">
        <f>"张昌琼"</f>
        <v>张昌琼</v>
      </c>
      <c r="E2221" s="8" t="str">
        <f t="shared" si="350"/>
        <v>女</v>
      </c>
    </row>
    <row r="2222" spans="1:5" ht="30" customHeight="1">
      <c r="A2222" s="8">
        <v>2219</v>
      </c>
      <c r="B2222" s="8" t="str">
        <f>"38492022042416315337068"</f>
        <v>38492022042416315337068</v>
      </c>
      <c r="C2222" s="8" t="s">
        <v>21</v>
      </c>
      <c r="D2222" s="8" t="str">
        <f>"吴月成"</f>
        <v>吴月成</v>
      </c>
      <c r="E2222" s="8" t="str">
        <f t="shared" si="350"/>
        <v>女</v>
      </c>
    </row>
    <row r="2223" spans="1:5" ht="30" customHeight="1">
      <c r="A2223" s="8">
        <v>2220</v>
      </c>
      <c r="B2223" s="8" t="str">
        <f>"38492022042416320937069"</f>
        <v>38492022042416320937069</v>
      </c>
      <c r="C2223" s="8" t="s">
        <v>21</v>
      </c>
      <c r="D2223" s="8" t="str">
        <f>"温超"</f>
        <v>温超</v>
      </c>
      <c r="E2223" s="8" t="str">
        <f aca="true" t="shared" si="351" ref="E2223:E2227">"男"</f>
        <v>男</v>
      </c>
    </row>
    <row r="2224" spans="1:5" ht="30" customHeight="1">
      <c r="A2224" s="8">
        <v>2221</v>
      </c>
      <c r="B2224" s="8" t="str">
        <f>"38492022042416330537071"</f>
        <v>38492022042416330537071</v>
      </c>
      <c r="C2224" s="8" t="s">
        <v>21</v>
      </c>
      <c r="D2224" s="8" t="str">
        <f>"林慧婷"</f>
        <v>林慧婷</v>
      </c>
      <c r="E2224" s="8" t="str">
        <f aca="true" t="shared" si="352" ref="E2224:E2228">"女"</f>
        <v>女</v>
      </c>
    </row>
    <row r="2225" spans="1:5" ht="30" customHeight="1">
      <c r="A2225" s="8">
        <v>2222</v>
      </c>
      <c r="B2225" s="8" t="str">
        <f>"38492022042416335537072"</f>
        <v>38492022042416335537072</v>
      </c>
      <c r="C2225" s="8" t="s">
        <v>21</v>
      </c>
      <c r="D2225" s="8" t="str">
        <f>"黄竺桥"</f>
        <v>黄竺桥</v>
      </c>
      <c r="E2225" s="8" t="str">
        <f t="shared" si="352"/>
        <v>女</v>
      </c>
    </row>
    <row r="2226" spans="1:5" ht="30" customHeight="1">
      <c r="A2226" s="8">
        <v>2223</v>
      </c>
      <c r="B2226" s="8" t="str">
        <f>"38492022042416355437078"</f>
        <v>38492022042416355437078</v>
      </c>
      <c r="C2226" s="8" t="s">
        <v>21</v>
      </c>
      <c r="D2226" s="8" t="str">
        <f>"邱鼎朝"</f>
        <v>邱鼎朝</v>
      </c>
      <c r="E2226" s="8" t="str">
        <f t="shared" si="351"/>
        <v>男</v>
      </c>
    </row>
    <row r="2227" spans="1:5" ht="30" customHeight="1">
      <c r="A2227" s="8">
        <v>2224</v>
      </c>
      <c r="B2227" s="8" t="str">
        <f>"38492022042416392737083"</f>
        <v>38492022042416392737083</v>
      </c>
      <c r="C2227" s="8" t="s">
        <v>21</v>
      </c>
      <c r="D2227" s="8" t="str">
        <f>"阮鑫"</f>
        <v>阮鑫</v>
      </c>
      <c r="E2227" s="8" t="str">
        <f t="shared" si="351"/>
        <v>男</v>
      </c>
    </row>
    <row r="2228" spans="1:5" ht="30" customHeight="1">
      <c r="A2228" s="8">
        <v>2225</v>
      </c>
      <c r="B2228" s="8" t="str">
        <f>"38492022042416392837084"</f>
        <v>38492022042416392837084</v>
      </c>
      <c r="C2228" s="8" t="s">
        <v>21</v>
      </c>
      <c r="D2228" s="8" t="str">
        <f>"黄彩凤"</f>
        <v>黄彩凤</v>
      </c>
      <c r="E2228" s="8" t="str">
        <f t="shared" si="352"/>
        <v>女</v>
      </c>
    </row>
    <row r="2229" spans="1:5" ht="30" customHeight="1">
      <c r="A2229" s="8">
        <v>2226</v>
      </c>
      <c r="B2229" s="8" t="str">
        <f>"38492022042416394137087"</f>
        <v>38492022042416394137087</v>
      </c>
      <c r="C2229" s="8" t="s">
        <v>21</v>
      </c>
      <c r="D2229" s="8" t="str">
        <f>"黄蓝"</f>
        <v>黄蓝</v>
      </c>
      <c r="E2229" s="8" t="str">
        <f aca="true" t="shared" si="353" ref="E2229:E2235">"男"</f>
        <v>男</v>
      </c>
    </row>
    <row r="2230" spans="1:5" ht="30" customHeight="1">
      <c r="A2230" s="8">
        <v>2227</v>
      </c>
      <c r="B2230" s="8" t="str">
        <f>"38492022042416441337099"</f>
        <v>38492022042416441337099</v>
      </c>
      <c r="C2230" s="8" t="s">
        <v>21</v>
      </c>
      <c r="D2230" s="8" t="str">
        <f>"陈有德"</f>
        <v>陈有德</v>
      </c>
      <c r="E2230" s="8" t="str">
        <f t="shared" si="353"/>
        <v>男</v>
      </c>
    </row>
    <row r="2231" spans="1:5" ht="30" customHeight="1">
      <c r="A2231" s="8">
        <v>2228</v>
      </c>
      <c r="B2231" s="8" t="str">
        <f>"38492022042416470637106"</f>
        <v>38492022042416470637106</v>
      </c>
      <c r="C2231" s="8" t="s">
        <v>21</v>
      </c>
      <c r="D2231" s="8" t="str">
        <f>"韩六妹"</f>
        <v>韩六妹</v>
      </c>
      <c r="E2231" s="8" t="str">
        <f aca="true" t="shared" si="354" ref="E2231:E2233">"女"</f>
        <v>女</v>
      </c>
    </row>
    <row r="2232" spans="1:5" ht="30" customHeight="1">
      <c r="A2232" s="8">
        <v>2229</v>
      </c>
      <c r="B2232" s="8" t="str">
        <f>"38492022042416490137110"</f>
        <v>38492022042416490137110</v>
      </c>
      <c r="C2232" s="8" t="s">
        <v>21</v>
      </c>
      <c r="D2232" s="8" t="str">
        <f>"莫兰英"</f>
        <v>莫兰英</v>
      </c>
      <c r="E2232" s="8" t="str">
        <f t="shared" si="354"/>
        <v>女</v>
      </c>
    </row>
    <row r="2233" spans="1:5" ht="30" customHeight="1">
      <c r="A2233" s="8">
        <v>2230</v>
      </c>
      <c r="B2233" s="8" t="str">
        <f>"38492022042416494837111"</f>
        <v>38492022042416494837111</v>
      </c>
      <c r="C2233" s="8" t="s">
        <v>21</v>
      </c>
      <c r="D2233" s="8" t="str">
        <f>"何许虹"</f>
        <v>何许虹</v>
      </c>
      <c r="E2233" s="8" t="str">
        <f t="shared" si="354"/>
        <v>女</v>
      </c>
    </row>
    <row r="2234" spans="1:5" ht="30" customHeight="1">
      <c r="A2234" s="8">
        <v>2231</v>
      </c>
      <c r="B2234" s="8" t="str">
        <f>"38492022042416525137119"</f>
        <v>38492022042416525137119</v>
      </c>
      <c r="C2234" s="8" t="s">
        <v>21</v>
      </c>
      <c r="D2234" s="8" t="str">
        <f>"李翰宇"</f>
        <v>李翰宇</v>
      </c>
      <c r="E2234" s="8" t="str">
        <f t="shared" si="353"/>
        <v>男</v>
      </c>
    </row>
    <row r="2235" spans="1:5" ht="30" customHeight="1">
      <c r="A2235" s="8">
        <v>2232</v>
      </c>
      <c r="B2235" s="8" t="str">
        <f>"38492022042417001437132"</f>
        <v>38492022042417001437132</v>
      </c>
      <c r="C2235" s="8" t="s">
        <v>21</v>
      </c>
      <c r="D2235" s="8" t="str">
        <f>"卓多豹"</f>
        <v>卓多豹</v>
      </c>
      <c r="E2235" s="8" t="str">
        <f t="shared" si="353"/>
        <v>男</v>
      </c>
    </row>
    <row r="2236" spans="1:5" ht="30" customHeight="1">
      <c r="A2236" s="8">
        <v>2233</v>
      </c>
      <c r="B2236" s="8" t="str">
        <f>"38492022042417010337133"</f>
        <v>38492022042417010337133</v>
      </c>
      <c r="C2236" s="8" t="s">
        <v>21</v>
      </c>
      <c r="D2236" s="8" t="str">
        <f>"梁文丹"</f>
        <v>梁文丹</v>
      </c>
      <c r="E2236" s="8" t="str">
        <f aca="true" t="shared" si="355" ref="E2236:E2243">"女"</f>
        <v>女</v>
      </c>
    </row>
    <row r="2237" spans="1:5" ht="30" customHeight="1">
      <c r="A2237" s="8">
        <v>2234</v>
      </c>
      <c r="B2237" s="8" t="str">
        <f>"38492022042417035337139"</f>
        <v>38492022042417035337139</v>
      </c>
      <c r="C2237" s="8" t="s">
        <v>21</v>
      </c>
      <c r="D2237" s="8" t="str">
        <f>"袁祖凡"</f>
        <v>袁祖凡</v>
      </c>
      <c r="E2237" s="8" t="str">
        <f aca="true" t="shared" si="356" ref="E2237:E2239">"男"</f>
        <v>男</v>
      </c>
    </row>
    <row r="2238" spans="1:5" ht="30" customHeight="1">
      <c r="A2238" s="8">
        <v>2235</v>
      </c>
      <c r="B2238" s="8" t="str">
        <f>"38492022042417054437143"</f>
        <v>38492022042417054437143</v>
      </c>
      <c r="C2238" s="8" t="s">
        <v>21</v>
      </c>
      <c r="D2238" s="8" t="str">
        <f>"陈精敏"</f>
        <v>陈精敏</v>
      </c>
      <c r="E2238" s="8" t="str">
        <f t="shared" si="356"/>
        <v>男</v>
      </c>
    </row>
    <row r="2239" spans="1:5" ht="30" customHeight="1">
      <c r="A2239" s="8">
        <v>2236</v>
      </c>
      <c r="B2239" s="8" t="str">
        <f>"38492022042417084937149"</f>
        <v>38492022042417084937149</v>
      </c>
      <c r="C2239" s="8" t="s">
        <v>21</v>
      </c>
      <c r="D2239" s="8" t="str">
        <f>"王天鉴"</f>
        <v>王天鉴</v>
      </c>
      <c r="E2239" s="8" t="str">
        <f t="shared" si="356"/>
        <v>男</v>
      </c>
    </row>
    <row r="2240" spans="1:5" ht="30" customHeight="1">
      <c r="A2240" s="8">
        <v>2237</v>
      </c>
      <c r="B2240" s="8" t="str">
        <f>"38492022042417130637156"</f>
        <v>38492022042417130637156</v>
      </c>
      <c r="C2240" s="8" t="s">
        <v>21</v>
      </c>
      <c r="D2240" s="8" t="str">
        <f>"何玉花"</f>
        <v>何玉花</v>
      </c>
      <c r="E2240" s="8" t="str">
        <f t="shared" si="355"/>
        <v>女</v>
      </c>
    </row>
    <row r="2241" spans="1:5" ht="30" customHeight="1">
      <c r="A2241" s="8">
        <v>2238</v>
      </c>
      <c r="B2241" s="8" t="str">
        <f>"38492022042417172637165"</f>
        <v>38492022042417172637165</v>
      </c>
      <c r="C2241" s="8" t="s">
        <v>21</v>
      </c>
      <c r="D2241" s="8" t="str">
        <f>"郭琴"</f>
        <v>郭琴</v>
      </c>
      <c r="E2241" s="8" t="str">
        <f t="shared" si="355"/>
        <v>女</v>
      </c>
    </row>
    <row r="2242" spans="1:5" ht="30" customHeight="1">
      <c r="A2242" s="8">
        <v>2239</v>
      </c>
      <c r="B2242" s="8" t="str">
        <f>"38492022042417221737172"</f>
        <v>38492022042417221737172</v>
      </c>
      <c r="C2242" s="8" t="s">
        <v>21</v>
      </c>
      <c r="D2242" s="8" t="str">
        <f>"蔡小莉"</f>
        <v>蔡小莉</v>
      </c>
      <c r="E2242" s="8" t="str">
        <f t="shared" si="355"/>
        <v>女</v>
      </c>
    </row>
    <row r="2243" spans="1:5" ht="30" customHeight="1">
      <c r="A2243" s="8">
        <v>2240</v>
      </c>
      <c r="B2243" s="8" t="str">
        <f>"38492022042417381537189"</f>
        <v>38492022042417381537189</v>
      </c>
      <c r="C2243" s="8" t="s">
        <v>21</v>
      </c>
      <c r="D2243" s="8" t="str">
        <f>"王文娜"</f>
        <v>王文娜</v>
      </c>
      <c r="E2243" s="8" t="str">
        <f t="shared" si="355"/>
        <v>女</v>
      </c>
    </row>
    <row r="2244" spans="1:5" ht="30" customHeight="1">
      <c r="A2244" s="8">
        <v>2241</v>
      </c>
      <c r="B2244" s="8" t="str">
        <f>"38492022042417432237196"</f>
        <v>38492022042417432237196</v>
      </c>
      <c r="C2244" s="8" t="s">
        <v>21</v>
      </c>
      <c r="D2244" s="8" t="str">
        <f>"曾文波"</f>
        <v>曾文波</v>
      </c>
      <c r="E2244" s="8" t="str">
        <f aca="true" t="shared" si="357" ref="E2244:E2249">"男"</f>
        <v>男</v>
      </c>
    </row>
    <row r="2245" spans="1:5" ht="30" customHeight="1">
      <c r="A2245" s="8">
        <v>2242</v>
      </c>
      <c r="B2245" s="8" t="str">
        <f>"38492022042417460737203"</f>
        <v>38492022042417460737203</v>
      </c>
      <c r="C2245" s="8" t="s">
        <v>21</v>
      </c>
      <c r="D2245" s="8" t="str">
        <f>"符永丹"</f>
        <v>符永丹</v>
      </c>
      <c r="E2245" s="8" t="str">
        <f aca="true" t="shared" si="358" ref="E2245:E2248">"女"</f>
        <v>女</v>
      </c>
    </row>
    <row r="2246" spans="1:5" ht="30" customHeight="1">
      <c r="A2246" s="8">
        <v>2243</v>
      </c>
      <c r="B2246" s="8" t="str">
        <f>"38492022042417485937207"</f>
        <v>38492022042417485937207</v>
      </c>
      <c r="C2246" s="8" t="s">
        <v>21</v>
      </c>
      <c r="D2246" s="8" t="str">
        <f>"吴帆"</f>
        <v>吴帆</v>
      </c>
      <c r="E2246" s="8" t="str">
        <f t="shared" si="358"/>
        <v>女</v>
      </c>
    </row>
    <row r="2247" spans="1:5" ht="30" customHeight="1">
      <c r="A2247" s="8">
        <v>2244</v>
      </c>
      <c r="B2247" s="8" t="str">
        <f>"38492022042417582137230"</f>
        <v>38492022042417582137230</v>
      </c>
      <c r="C2247" s="8" t="s">
        <v>21</v>
      </c>
      <c r="D2247" s="8" t="str">
        <f>"蔡沾华"</f>
        <v>蔡沾华</v>
      </c>
      <c r="E2247" s="8" t="str">
        <f t="shared" si="357"/>
        <v>男</v>
      </c>
    </row>
    <row r="2248" spans="1:5" ht="30" customHeight="1">
      <c r="A2248" s="8">
        <v>2245</v>
      </c>
      <c r="B2248" s="8" t="str">
        <f>"38492022042418041837237"</f>
        <v>38492022042418041837237</v>
      </c>
      <c r="C2248" s="8" t="s">
        <v>21</v>
      </c>
      <c r="D2248" s="8" t="str">
        <f>"苏琴"</f>
        <v>苏琴</v>
      </c>
      <c r="E2248" s="8" t="str">
        <f t="shared" si="358"/>
        <v>女</v>
      </c>
    </row>
    <row r="2249" spans="1:5" ht="30" customHeight="1">
      <c r="A2249" s="8">
        <v>2246</v>
      </c>
      <c r="B2249" s="8" t="str">
        <f>"38492022042418092137247"</f>
        <v>38492022042418092137247</v>
      </c>
      <c r="C2249" s="8" t="s">
        <v>21</v>
      </c>
      <c r="D2249" s="8" t="str">
        <f>"符再道"</f>
        <v>符再道</v>
      </c>
      <c r="E2249" s="8" t="str">
        <f t="shared" si="357"/>
        <v>男</v>
      </c>
    </row>
    <row r="2250" spans="1:5" ht="30" customHeight="1">
      <c r="A2250" s="8">
        <v>2247</v>
      </c>
      <c r="B2250" s="8" t="str">
        <f>"38492022042418122037253"</f>
        <v>38492022042418122037253</v>
      </c>
      <c r="C2250" s="8" t="s">
        <v>21</v>
      </c>
      <c r="D2250" s="8" t="str">
        <f>"冯春爱"</f>
        <v>冯春爱</v>
      </c>
      <c r="E2250" s="8" t="str">
        <f>"女"</f>
        <v>女</v>
      </c>
    </row>
    <row r="2251" spans="1:5" ht="30" customHeight="1">
      <c r="A2251" s="8">
        <v>2248</v>
      </c>
      <c r="B2251" s="8" t="str">
        <f>"38492022042418122537254"</f>
        <v>38492022042418122537254</v>
      </c>
      <c r="C2251" s="8" t="s">
        <v>21</v>
      </c>
      <c r="D2251" s="8" t="str">
        <f>"陈文河"</f>
        <v>陈文河</v>
      </c>
      <c r="E2251" s="8" t="str">
        <f aca="true" t="shared" si="359" ref="E2251:E2258">"男"</f>
        <v>男</v>
      </c>
    </row>
    <row r="2252" spans="1:5" ht="30" customHeight="1">
      <c r="A2252" s="8">
        <v>2249</v>
      </c>
      <c r="B2252" s="8" t="str">
        <f>"38492022042418180937261"</f>
        <v>38492022042418180937261</v>
      </c>
      <c r="C2252" s="8" t="s">
        <v>21</v>
      </c>
      <c r="D2252" s="8" t="str">
        <f>"黄昌华"</f>
        <v>黄昌华</v>
      </c>
      <c r="E2252" s="8" t="str">
        <f t="shared" si="359"/>
        <v>男</v>
      </c>
    </row>
    <row r="2253" spans="1:5" ht="30" customHeight="1">
      <c r="A2253" s="8">
        <v>2250</v>
      </c>
      <c r="B2253" s="8" t="str">
        <f>"38492022042418241437268"</f>
        <v>38492022042418241437268</v>
      </c>
      <c r="C2253" s="8" t="s">
        <v>21</v>
      </c>
      <c r="D2253" s="8" t="str">
        <f>"汤立信"</f>
        <v>汤立信</v>
      </c>
      <c r="E2253" s="8" t="str">
        <f t="shared" si="359"/>
        <v>男</v>
      </c>
    </row>
    <row r="2254" spans="1:5" ht="30" customHeight="1">
      <c r="A2254" s="8">
        <v>2251</v>
      </c>
      <c r="B2254" s="8" t="str">
        <f>"38492022042418345937282"</f>
        <v>38492022042418345937282</v>
      </c>
      <c r="C2254" s="8" t="s">
        <v>21</v>
      </c>
      <c r="D2254" s="8" t="str">
        <f>"黄昌海"</f>
        <v>黄昌海</v>
      </c>
      <c r="E2254" s="8" t="str">
        <f t="shared" si="359"/>
        <v>男</v>
      </c>
    </row>
    <row r="2255" spans="1:5" ht="30" customHeight="1">
      <c r="A2255" s="8">
        <v>2252</v>
      </c>
      <c r="B2255" s="8" t="str">
        <f>"38492022042418385737290"</f>
        <v>38492022042418385737290</v>
      </c>
      <c r="C2255" s="8" t="s">
        <v>21</v>
      </c>
      <c r="D2255" s="8" t="str">
        <f>"纪金润"</f>
        <v>纪金润</v>
      </c>
      <c r="E2255" s="8" t="str">
        <f t="shared" si="359"/>
        <v>男</v>
      </c>
    </row>
    <row r="2256" spans="1:5" ht="30" customHeight="1">
      <c r="A2256" s="8">
        <v>2253</v>
      </c>
      <c r="B2256" s="8" t="str">
        <f>"38492022042418392637292"</f>
        <v>38492022042418392637292</v>
      </c>
      <c r="C2256" s="8" t="s">
        <v>21</v>
      </c>
      <c r="D2256" s="8" t="str">
        <f>"刘明生"</f>
        <v>刘明生</v>
      </c>
      <c r="E2256" s="8" t="str">
        <f t="shared" si="359"/>
        <v>男</v>
      </c>
    </row>
    <row r="2257" spans="1:5" ht="30" customHeight="1">
      <c r="A2257" s="8">
        <v>2254</v>
      </c>
      <c r="B2257" s="8" t="str">
        <f>"38492022042418445037299"</f>
        <v>38492022042418445037299</v>
      </c>
      <c r="C2257" s="8" t="s">
        <v>21</v>
      </c>
      <c r="D2257" s="8" t="str">
        <f>"吴拓"</f>
        <v>吴拓</v>
      </c>
      <c r="E2257" s="8" t="str">
        <f t="shared" si="359"/>
        <v>男</v>
      </c>
    </row>
    <row r="2258" spans="1:5" ht="30" customHeight="1">
      <c r="A2258" s="8">
        <v>2255</v>
      </c>
      <c r="B2258" s="8" t="str">
        <f>"38492022042418464837303"</f>
        <v>38492022042418464837303</v>
      </c>
      <c r="C2258" s="8" t="s">
        <v>21</v>
      </c>
      <c r="D2258" s="8" t="str">
        <f>"曾有政"</f>
        <v>曾有政</v>
      </c>
      <c r="E2258" s="8" t="str">
        <f t="shared" si="359"/>
        <v>男</v>
      </c>
    </row>
    <row r="2259" spans="1:5" ht="30" customHeight="1">
      <c r="A2259" s="8">
        <v>2256</v>
      </c>
      <c r="B2259" s="8" t="str">
        <f>"38492022042418515037310"</f>
        <v>38492022042418515037310</v>
      </c>
      <c r="C2259" s="8" t="s">
        <v>21</v>
      </c>
      <c r="D2259" s="8" t="str">
        <f>"陈红帆"</f>
        <v>陈红帆</v>
      </c>
      <c r="E2259" s="8" t="str">
        <f aca="true" t="shared" si="360" ref="E2259:E2263">"女"</f>
        <v>女</v>
      </c>
    </row>
    <row r="2260" spans="1:5" ht="30" customHeight="1">
      <c r="A2260" s="8">
        <v>2257</v>
      </c>
      <c r="B2260" s="8" t="str">
        <f>"38492022042418544537313"</f>
        <v>38492022042418544537313</v>
      </c>
      <c r="C2260" s="8" t="s">
        <v>21</v>
      </c>
      <c r="D2260" s="8" t="str">
        <f>"刘发和"</f>
        <v>刘发和</v>
      </c>
      <c r="E2260" s="8" t="str">
        <f aca="true" t="shared" si="361" ref="E2260:E2264">"男"</f>
        <v>男</v>
      </c>
    </row>
    <row r="2261" spans="1:5" ht="30" customHeight="1">
      <c r="A2261" s="8">
        <v>2258</v>
      </c>
      <c r="B2261" s="8" t="str">
        <f>"38492022042418562837316"</f>
        <v>38492022042418562837316</v>
      </c>
      <c r="C2261" s="8" t="s">
        <v>21</v>
      </c>
      <c r="D2261" s="8" t="str">
        <f>"陈志璇"</f>
        <v>陈志璇</v>
      </c>
      <c r="E2261" s="8" t="str">
        <f t="shared" si="361"/>
        <v>男</v>
      </c>
    </row>
    <row r="2262" spans="1:5" ht="30" customHeight="1">
      <c r="A2262" s="8">
        <v>2259</v>
      </c>
      <c r="B2262" s="8" t="str">
        <f>"38492022042418570837318"</f>
        <v>38492022042418570837318</v>
      </c>
      <c r="C2262" s="8" t="s">
        <v>21</v>
      </c>
      <c r="D2262" s="8" t="str">
        <f>"符国晶"</f>
        <v>符国晶</v>
      </c>
      <c r="E2262" s="8" t="str">
        <f t="shared" si="360"/>
        <v>女</v>
      </c>
    </row>
    <row r="2263" spans="1:5" ht="30" customHeight="1">
      <c r="A2263" s="8">
        <v>2260</v>
      </c>
      <c r="B2263" s="8" t="str">
        <f>"38492022042418583337319"</f>
        <v>38492022042418583337319</v>
      </c>
      <c r="C2263" s="8" t="s">
        <v>21</v>
      </c>
      <c r="D2263" s="8" t="str">
        <f>"卿福星"</f>
        <v>卿福星</v>
      </c>
      <c r="E2263" s="8" t="str">
        <f t="shared" si="360"/>
        <v>女</v>
      </c>
    </row>
    <row r="2264" spans="1:5" ht="30" customHeight="1">
      <c r="A2264" s="8">
        <v>2261</v>
      </c>
      <c r="B2264" s="8" t="str">
        <f>"38492022042419042337325"</f>
        <v>38492022042419042337325</v>
      </c>
      <c r="C2264" s="8" t="s">
        <v>21</v>
      </c>
      <c r="D2264" s="8" t="str">
        <f>"周广诞"</f>
        <v>周广诞</v>
      </c>
      <c r="E2264" s="8" t="str">
        <f t="shared" si="361"/>
        <v>男</v>
      </c>
    </row>
    <row r="2265" spans="1:5" ht="30" customHeight="1">
      <c r="A2265" s="8">
        <v>2262</v>
      </c>
      <c r="B2265" s="8" t="str">
        <f>"38492022042419234337346"</f>
        <v>38492022042419234337346</v>
      </c>
      <c r="C2265" s="8" t="s">
        <v>21</v>
      </c>
      <c r="D2265" s="8" t="str">
        <f>"蔡小妹"</f>
        <v>蔡小妹</v>
      </c>
      <c r="E2265" s="8" t="str">
        <f aca="true" t="shared" si="362" ref="E2265:E2271">"女"</f>
        <v>女</v>
      </c>
    </row>
    <row r="2266" spans="1:5" ht="30" customHeight="1">
      <c r="A2266" s="8">
        <v>2263</v>
      </c>
      <c r="B2266" s="8" t="str">
        <f>"38492022042419264337351"</f>
        <v>38492022042419264337351</v>
      </c>
      <c r="C2266" s="8" t="s">
        <v>21</v>
      </c>
      <c r="D2266" s="8" t="str">
        <f>"高亚志"</f>
        <v>高亚志</v>
      </c>
      <c r="E2266" s="8" t="str">
        <f>"男"</f>
        <v>男</v>
      </c>
    </row>
    <row r="2267" spans="1:5" ht="30" customHeight="1">
      <c r="A2267" s="8">
        <v>2264</v>
      </c>
      <c r="B2267" s="8" t="str">
        <f>"38492022042419293337356"</f>
        <v>38492022042419293337356</v>
      </c>
      <c r="C2267" s="8" t="s">
        <v>21</v>
      </c>
      <c r="D2267" s="8" t="str">
        <f>"邓海洁"</f>
        <v>邓海洁</v>
      </c>
      <c r="E2267" s="8" t="str">
        <f t="shared" si="362"/>
        <v>女</v>
      </c>
    </row>
    <row r="2268" spans="1:5" ht="30" customHeight="1">
      <c r="A2268" s="8">
        <v>2265</v>
      </c>
      <c r="B2268" s="8" t="str">
        <f>"38492022042419404637370"</f>
        <v>38492022042419404637370</v>
      </c>
      <c r="C2268" s="8" t="s">
        <v>21</v>
      </c>
      <c r="D2268" s="8" t="str">
        <f>"陈运智"</f>
        <v>陈运智</v>
      </c>
      <c r="E2268" s="8" t="str">
        <f aca="true" t="shared" si="363" ref="E2268:E2274">"男"</f>
        <v>男</v>
      </c>
    </row>
    <row r="2269" spans="1:5" ht="30" customHeight="1">
      <c r="A2269" s="8">
        <v>2266</v>
      </c>
      <c r="B2269" s="8" t="str">
        <f>"38492022042419534837385"</f>
        <v>38492022042419534837385</v>
      </c>
      <c r="C2269" s="8" t="s">
        <v>21</v>
      </c>
      <c r="D2269" s="8" t="str">
        <f>"陈妍婷"</f>
        <v>陈妍婷</v>
      </c>
      <c r="E2269" s="8" t="str">
        <f t="shared" si="362"/>
        <v>女</v>
      </c>
    </row>
    <row r="2270" spans="1:5" ht="30" customHeight="1">
      <c r="A2270" s="8">
        <v>2267</v>
      </c>
      <c r="B2270" s="8" t="str">
        <f>"38492022042419565937392"</f>
        <v>38492022042419565937392</v>
      </c>
      <c r="C2270" s="8" t="s">
        <v>21</v>
      </c>
      <c r="D2270" s="8" t="str">
        <f>"郑鼎花"</f>
        <v>郑鼎花</v>
      </c>
      <c r="E2270" s="8" t="str">
        <f t="shared" si="362"/>
        <v>女</v>
      </c>
    </row>
    <row r="2271" spans="1:5" ht="30" customHeight="1">
      <c r="A2271" s="8">
        <v>2268</v>
      </c>
      <c r="B2271" s="8" t="str">
        <f>"38492022042420052737402"</f>
        <v>38492022042420052737402</v>
      </c>
      <c r="C2271" s="8" t="s">
        <v>21</v>
      </c>
      <c r="D2271" s="8" t="str">
        <f>"林华影"</f>
        <v>林华影</v>
      </c>
      <c r="E2271" s="8" t="str">
        <f t="shared" si="362"/>
        <v>女</v>
      </c>
    </row>
    <row r="2272" spans="1:5" ht="30" customHeight="1">
      <c r="A2272" s="8">
        <v>2269</v>
      </c>
      <c r="B2272" s="8" t="str">
        <f>"38492022042420235637438"</f>
        <v>38492022042420235637438</v>
      </c>
      <c r="C2272" s="8" t="s">
        <v>21</v>
      </c>
      <c r="D2272" s="8" t="str">
        <f>"黎庆义"</f>
        <v>黎庆义</v>
      </c>
      <c r="E2272" s="8" t="str">
        <f t="shared" si="363"/>
        <v>男</v>
      </c>
    </row>
    <row r="2273" spans="1:5" ht="30" customHeight="1">
      <c r="A2273" s="8">
        <v>2270</v>
      </c>
      <c r="B2273" s="8" t="str">
        <f>"38492022042420280637443"</f>
        <v>38492022042420280637443</v>
      </c>
      <c r="C2273" s="8" t="s">
        <v>21</v>
      </c>
      <c r="D2273" s="8" t="str">
        <f>"王基先"</f>
        <v>王基先</v>
      </c>
      <c r="E2273" s="8" t="str">
        <f t="shared" si="363"/>
        <v>男</v>
      </c>
    </row>
    <row r="2274" spans="1:5" ht="30" customHeight="1">
      <c r="A2274" s="8">
        <v>2271</v>
      </c>
      <c r="B2274" s="8" t="str">
        <f>"38492022042420353137455"</f>
        <v>38492022042420353137455</v>
      </c>
      <c r="C2274" s="8" t="s">
        <v>21</v>
      </c>
      <c r="D2274" s="8" t="str">
        <f>"张书皓"</f>
        <v>张书皓</v>
      </c>
      <c r="E2274" s="8" t="str">
        <f t="shared" si="363"/>
        <v>男</v>
      </c>
    </row>
    <row r="2275" spans="1:5" ht="30" customHeight="1">
      <c r="A2275" s="8">
        <v>2272</v>
      </c>
      <c r="B2275" s="8" t="str">
        <f>"38492022042420442737471"</f>
        <v>38492022042420442737471</v>
      </c>
      <c r="C2275" s="8" t="s">
        <v>21</v>
      </c>
      <c r="D2275" s="8" t="str">
        <f>"张俐莉"</f>
        <v>张俐莉</v>
      </c>
      <c r="E2275" s="8" t="str">
        <f aca="true" t="shared" si="364" ref="E2275:E2279">"女"</f>
        <v>女</v>
      </c>
    </row>
    <row r="2276" spans="1:5" ht="30" customHeight="1">
      <c r="A2276" s="8">
        <v>2273</v>
      </c>
      <c r="B2276" s="8" t="str">
        <f>"38492022042420472937480"</f>
        <v>38492022042420472937480</v>
      </c>
      <c r="C2276" s="8" t="s">
        <v>21</v>
      </c>
      <c r="D2276" s="8" t="str">
        <f>"文金迎"</f>
        <v>文金迎</v>
      </c>
      <c r="E2276" s="8" t="str">
        <f t="shared" si="364"/>
        <v>女</v>
      </c>
    </row>
    <row r="2277" spans="1:5" ht="30" customHeight="1">
      <c r="A2277" s="8">
        <v>2274</v>
      </c>
      <c r="B2277" s="8" t="str">
        <f>"38492022042420540937489"</f>
        <v>38492022042420540937489</v>
      </c>
      <c r="C2277" s="8" t="s">
        <v>21</v>
      </c>
      <c r="D2277" s="8" t="str">
        <f>"张书文"</f>
        <v>张书文</v>
      </c>
      <c r="E2277" s="8" t="str">
        <f t="shared" si="364"/>
        <v>女</v>
      </c>
    </row>
    <row r="2278" spans="1:5" ht="30" customHeight="1">
      <c r="A2278" s="8">
        <v>2275</v>
      </c>
      <c r="B2278" s="8" t="str">
        <f>"38492022042420561737494"</f>
        <v>38492022042420561737494</v>
      </c>
      <c r="C2278" s="8" t="s">
        <v>21</v>
      </c>
      <c r="D2278" s="8" t="str">
        <f>"黄小阳"</f>
        <v>黄小阳</v>
      </c>
      <c r="E2278" s="8" t="str">
        <f t="shared" si="364"/>
        <v>女</v>
      </c>
    </row>
    <row r="2279" spans="1:5" ht="30" customHeight="1">
      <c r="A2279" s="8">
        <v>2276</v>
      </c>
      <c r="B2279" s="8" t="str">
        <f>"38492022042421030837505"</f>
        <v>38492022042421030837505</v>
      </c>
      <c r="C2279" s="8" t="s">
        <v>21</v>
      </c>
      <c r="D2279" s="8" t="str">
        <f>"吴海秀"</f>
        <v>吴海秀</v>
      </c>
      <c r="E2279" s="8" t="str">
        <f t="shared" si="364"/>
        <v>女</v>
      </c>
    </row>
    <row r="2280" spans="1:5" ht="30" customHeight="1">
      <c r="A2280" s="8">
        <v>2277</v>
      </c>
      <c r="B2280" s="8" t="str">
        <f>"38492022042421080837514"</f>
        <v>38492022042421080837514</v>
      </c>
      <c r="C2280" s="8" t="s">
        <v>21</v>
      </c>
      <c r="D2280" s="8" t="str">
        <f>"郭廉升"</f>
        <v>郭廉升</v>
      </c>
      <c r="E2280" s="8" t="str">
        <f aca="true" t="shared" si="365" ref="E2280:E2284">"男"</f>
        <v>男</v>
      </c>
    </row>
    <row r="2281" spans="1:5" ht="30" customHeight="1">
      <c r="A2281" s="8">
        <v>2278</v>
      </c>
      <c r="B2281" s="8" t="str">
        <f>"38492022042421090937518"</f>
        <v>38492022042421090937518</v>
      </c>
      <c r="C2281" s="8" t="s">
        <v>21</v>
      </c>
      <c r="D2281" s="8" t="str">
        <f>"许梅林"</f>
        <v>许梅林</v>
      </c>
      <c r="E2281" s="8" t="str">
        <f t="shared" si="365"/>
        <v>男</v>
      </c>
    </row>
    <row r="2282" spans="1:5" ht="30" customHeight="1">
      <c r="A2282" s="8">
        <v>2279</v>
      </c>
      <c r="B2282" s="8" t="str">
        <f>"38492022042421113737524"</f>
        <v>38492022042421113737524</v>
      </c>
      <c r="C2282" s="8" t="s">
        <v>21</v>
      </c>
      <c r="D2282" s="8" t="str">
        <f>"苏霞"</f>
        <v>苏霞</v>
      </c>
      <c r="E2282" s="8" t="str">
        <f aca="true" t="shared" si="366" ref="E2282:E2286">"女"</f>
        <v>女</v>
      </c>
    </row>
    <row r="2283" spans="1:5" ht="30" customHeight="1">
      <c r="A2283" s="8">
        <v>2280</v>
      </c>
      <c r="B2283" s="8" t="str">
        <f>"38492022042421155437534"</f>
        <v>38492022042421155437534</v>
      </c>
      <c r="C2283" s="8" t="s">
        <v>21</v>
      </c>
      <c r="D2283" s="8" t="str">
        <f>"詹弋"</f>
        <v>詹弋</v>
      </c>
      <c r="E2283" s="8" t="str">
        <f t="shared" si="365"/>
        <v>男</v>
      </c>
    </row>
    <row r="2284" spans="1:5" ht="30" customHeight="1">
      <c r="A2284" s="8">
        <v>2281</v>
      </c>
      <c r="B2284" s="8" t="str">
        <f>"38492022042421174637538"</f>
        <v>38492022042421174637538</v>
      </c>
      <c r="C2284" s="8" t="s">
        <v>21</v>
      </c>
      <c r="D2284" s="8" t="str">
        <f>"吉翔"</f>
        <v>吉翔</v>
      </c>
      <c r="E2284" s="8" t="str">
        <f t="shared" si="365"/>
        <v>男</v>
      </c>
    </row>
    <row r="2285" spans="1:5" ht="30" customHeight="1">
      <c r="A2285" s="8">
        <v>2282</v>
      </c>
      <c r="B2285" s="8" t="str">
        <f>"38492022042421240237547"</f>
        <v>38492022042421240237547</v>
      </c>
      <c r="C2285" s="8" t="s">
        <v>21</v>
      </c>
      <c r="D2285" s="8" t="str">
        <f>"陈重元"</f>
        <v>陈重元</v>
      </c>
      <c r="E2285" s="8" t="str">
        <f t="shared" si="366"/>
        <v>女</v>
      </c>
    </row>
    <row r="2286" spans="1:5" ht="30" customHeight="1">
      <c r="A2286" s="8">
        <v>2283</v>
      </c>
      <c r="B2286" s="8" t="str">
        <f>"38492022042421274137552"</f>
        <v>38492022042421274137552</v>
      </c>
      <c r="C2286" s="8" t="s">
        <v>21</v>
      </c>
      <c r="D2286" s="8" t="str">
        <f>"王盈"</f>
        <v>王盈</v>
      </c>
      <c r="E2286" s="8" t="str">
        <f t="shared" si="366"/>
        <v>女</v>
      </c>
    </row>
    <row r="2287" spans="1:5" ht="30" customHeight="1">
      <c r="A2287" s="8">
        <v>2284</v>
      </c>
      <c r="B2287" s="8" t="str">
        <f>"38492022042421291237556"</f>
        <v>38492022042421291237556</v>
      </c>
      <c r="C2287" s="8" t="s">
        <v>21</v>
      </c>
      <c r="D2287" s="8" t="str">
        <f>"孙基弟"</f>
        <v>孙基弟</v>
      </c>
      <c r="E2287" s="8" t="str">
        <f>"男"</f>
        <v>男</v>
      </c>
    </row>
    <row r="2288" spans="1:5" ht="30" customHeight="1">
      <c r="A2288" s="8">
        <v>2285</v>
      </c>
      <c r="B2288" s="8" t="str">
        <f>"38492022042421403237566"</f>
        <v>38492022042421403237566</v>
      </c>
      <c r="C2288" s="8" t="s">
        <v>21</v>
      </c>
      <c r="D2288" s="8" t="str">
        <f>"朱文帅"</f>
        <v>朱文帅</v>
      </c>
      <c r="E2288" s="8" t="str">
        <f>"男"</f>
        <v>男</v>
      </c>
    </row>
    <row r="2289" spans="1:5" ht="30" customHeight="1">
      <c r="A2289" s="8">
        <v>2286</v>
      </c>
      <c r="B2289" s="8" t="str">
        <f>"38492022042421491437576"</f>
        <v>38492022042421491437576</v>
      </c>
      <c r="C2289" s="8" t="s">
        <v>21</v>
      </c>
      <c r="D2289" s="8" t="str">
        <f>"汤运霜"</f>
        <v>汤运霜</v>
      </c>
      <c r="E2289" s="8" t="str">
        <f aca="true" t="shared" si="367" ref="E2289:E2294">"女"</f>
        <v>女</v>
      </c>
    </row>
    <row r="2290" spans="1:5" ht="30" customHeight="1">
      <c r="A2290" s="8">
        <v>2287</v>
      </c>
      <c r="B2290" s="8" t="str">
        <f>"38492022042421585437594"</f>
        <v>38492022042421585437594</v>
      </c>
      <c r="C2290" s="8" t="s">
        <v>21</v>
      </c>
      <c r="D2290" s="8" t="str">
        <f>"毛雨薇"</f>
        <v>毛雨薇</v>
      </c>
      <c r="E2290" s="8" t="str">
        <f t="shared" si="367"/>
        <v>女</v>
      </c>
    </row>
    <row r="2291" spans="1:5" ht="30" customHeight="1">
      <c r="A2291" s="8">
        <v>2288</v>
      </c>
      <c r="B2291" s="8" t="str">
        <f>"38492022042422104837611"</f>
        <v>38492022042422104837611</v>
      </c>
      <c r="C2291" s="8" t="s">
        <v>21</v>
      </c>
      <c r="D2291" s="8" t="str">
        <f>"陈泽凤"</f>
        <v>陈泽凤</v>
      </c>
      <c r="E2291" s="8" t="str">
        <f t="shared" si="367"/>
        <v>女</v>
      </c>
    </row>
    <row r="2292" spans="1:5" ht="30" customHeight="1">
      <c r="A2292" s="8">
        <v>2289</v>
      </c>
      <c r="B2292" s="8" t="str">
        <f>"38492022042422121237614"</f>
        <v>38492022042422121237614</v>
      </c>
      <c r="C2292" s="8" t="s">
        <v>21</v>
      </c>
      <c r="D2292" s="8" t="str">
        <f>"吴小庆"</f>
        <v>吴小庆</v>
      </c>
      <c r="E2292" s="8" t="str">
        <f t="shared" si="367"/>
        <v>女</v>
      </c>
    </row>
    <row r="2293" spans="1:5" ht="30" customHeight="1">
      <c r="A2293" s="8">
        <v>2290</v>
      </c>
      <c r="B2293" s="8" t="str">
        <f>"38492022042422171237622"</f>
        <v>38492022042422171237622</v>
      </c>
      <c r="C2293" s="8" t="s">
        <v>21</v>
      </c>
      <c r="D2293" s="8" t="str">
        <f>"王秀珠"</f>
        <v>王秀珠</v>
      </c>
      <c r="E2293" s="8" t="str">
        <f t="shared" si="367"/>
        <v>女</v>
      </c>
    </row>
    <row r="2294" spans="1:5" ht="30" customHeight="1">
      <c r="A2294" s="8">
        <v>2291</v>
      </c>
      <c r="B2294" s="8" t="str">
        <f>"38492022042422275437636"</f>
        <v>38492022042422275437636</v>
      </c>
      <c r="C2294" s="8" t="s">
        <v>21</v>
      </c>
      <c r="D2294" s="8" t="str">
        <f>"周芯如"</f>
        <v>周芯如</v>
      </c>
      <c r="E2294" s="8" t="str">
        <f t="shared" si="367"/>
        <v>女</v>
      </c>
    </row>
    <row r="2295" spans="1:5" ht="30" customHeight="1">
      <c r="A2295" s="8">
        <v>2292</v>
      </c>
      <c r="B2295" s="8" t="str">
        <f>"38492022042422315037641"</f>
        <v>38492022042422315037641</v>
      </c>
      <c r="C2295" s="8" t="s">
        <v>21</v>
      </c>
      <c r="D2295" s="8" t="str">
        <f>"何开雄"</f>
        <v>何开雄</v>
      </c>
      <c r="E2295" s="8" t="str">
        <f>"男"</f>
        <v>男</v>
      </c>
    </row>
    <row r="2296" spans="1:5" ht="30" customHeight="1">
      <c r="A2296" s="8">
        <v>2293</v>
      </c>
      <c r="B2296" s="8" t="str">
        <f>"38492022042422315637643"</f>
        <v>38492022042422315637643</v>
      </c>
      <c r="C2296" s="8" t="s">
        <v>21</v>
      </c>
      <c r="D2296" s="8" t="str">
        <f>"吴冠英"</f>
        <v>吴冠英</v>
      </c>
      <c r="E2296" s="8" t="str">
        <f aca="true" t="shared" si="368" ref="E2296:E2301">"女"</f>
        <v>女</v>
      </c>
    </row>
    <row r="2297" spans="1:5" ht="30" customHeight="1">
      <c r="A2297" s="8">
        <v>2294</v>
      </c>
      <c r="B2297" s="8" t="str">
        <f>"38492022042422322837644"</f>
        <v>38492022042422322837644</v>
      </c>
      <c r="C2297" s="8" t="s">
        <v>21</v>
      </c>
      <c r="D2297" s="8" t="str">
        <f>"吕世珠"</f>
        <v>吕世珠</v>
      </c>
      <c r="E2297" s="8" t="str">
        <f t="shared" si="368"/>
        <v>女</v>
      </c>
    </row>
    <row r="2298" spans="1:5" ht="30" customHeight="1">
      <c r="A2298" s="8">
        <v>2295</v>
      </c>
      <c r="B2298" s="8" t="str">
        <f>"38492022042422413137660"</f>
        <v>38492022042422413137660</v>
      </c>
      <c r="C2298" s="8" t="s">
        <v>21</v>
      </c>
      <c r="D2298" s="8" t="str">
        <f>"黎焕丽"</f>
        <v>黎焕丽</v>
      </c>
      <c r="E2298" s="8" t="str">
        <f t="shared" si="368"/>
        <v>女</v>
      </c>
    </row>
    <row r="2299" spans="1:5" ht="30" customHeight="1">
      <c r="A2299" s="8">
        <v>2296</v>
      </c>
      <c r="B2299" s="8" t="str">
        <f>"38492022042422413237661"</f>
        <v>38492022042422413237661</v>
      </c>
      <c r="C2299" s="8" t="s">
        <v>21</v>
      </c>
      <c r="D2299" s="8" t="str">
        <f>"陈会清"</f>
        <v>陈会清</v>
      </c>
      <c r="E2299" s="8" t="str">
        <f t="shared" si="368"/>
        <v>女</v>
      </c>
    </row>
    <row r="2300" spans="1:5" ht="30" customHeight="1">
      <c r="A2300" s="8">
        <v>2297</v>
      </c>
      <c r="B2300" s="8" t="str">
        <f>"38492022042422505037674"</f>
        <v>38492022042422505037674</v>
      </c>
      <c r="C2300" s="8" t="s">
        <v>21</v>
      </c>
      <c r="D2300" s="8" t="str">
        <f>"田雨家"</f>
        <v>田雨家</v>
      </c>
      <c r="E2300" s="8" t="str">
        <f t="shared" si="368"/>
        <v>女</v>
      </c>
    </row>
    <row r="2301" spans="1:5" ht="30" customHeight="1">
      <c r="A2301" s="8">
        <v>2298</v>
      </c>
      <c r="B2301" s="8" t="str">
        <f>"38492022042422515437680"</f>
        <v>38492022042422515437680</v>
      </c>
      <c r="C2301" s="8" t="s">
        <v>21</v>
      </c>
      <c r="D2301" s="8" t="str">
        <f>"符子娟"</f>
        <v>符子娟</v>
      </c>
      <c r="E2301" s="8" t="str">
        <f t="shared" si="368"/>
        <v>女</v>
      </c>
    </row>
    <row r="2302" spans="1:5" ht="30" customHeight="1">
      <c r="A2302" s="8">
        <v>2299</v>
      </c>
      <c r="B2302" s="8" t="str">
        <f>"38492022042422560637684"</f>
        <v>38492022042422560637684</v>
      </c>
      <c r="C2302" s="8" t="s">
        <v>21</v>
      </c>
      <c r="D2302" s="8" t="str">
        <f>"王忠"</f>
        <v>王忠</v>
      </c>
      <c r="E2302" s="8" t="str">
        <f aca="true" t="shared" si="369" ref="E2302:E2305">"男"</f>
        <v>男</v>
      </c>
    </row>
    <row r="2303" spans="1:5" ht="30" customHeight="1">
      <c r="A2303" s="8">
        <v>2300</v>
      </c>
      <c r="B2303" s="8" t="str">
        <f>"38492022042422564437686"</f>
        <v>38492022042422564437686</v>
      </c>
      <c r="C2303" s="8" t="s">
        <v>21</v>
      </c>
      <c r="D2303" s="8" t="str">
        <f>"廖殿超"</f>
        <v>廖殿超</v>
      </c>
      <c r="E2303" s="8" t="str">
        <f t="shared" si="369"/>
        <v>男</v>
      </c>
    </row>
    <row r="2304" spans="1:5" ht="30" customHeight="1">
      <c r="A2304" s="8">
        <v>2301</v>
      </c>
      <c r="B2304" s="8" t="str">
        <f>"38492022042422593237694"</f>
        <v>38492022042422593237694</v>
      </c>
      <c r="C2304" s="8" t="s">
        <v>21</v>
      </c>
      <c r="D2304" s="8" t="str">
        <f>"赵侣娜"</f>
        <v>赵侣娜</v>
      </c>
      <c r="E2304" s="8" t="str">
        <f>"女"</f>
        <v>女</v>
      </c>
    </row>
    <row r="2305" spans="1:5" ht="30" customHeight="1">
      <c r="A2305" s="8">
        <v>2302</v>
      </c>
      <c r="B2305" s="8" t="str">
        <f>"38492022042423191237718"</f>
        <v>38492022042423191237718</v>
      </c>
      <c r="C2305" s="8" t="s">
        <v>21</v>
      </c>
      <c r="D2305" s="8" t="str">
        <f>"陈振豪"</f>
        <v>陈振豪</v>
      </c>
      <c r="E2305" s="8" t="str">
        <f t="shared" si="369"/>
        <v>男</v>
      </c>
    </row>
    <row r="2306" spans="1:5" ht="30" customHeight="1">
      <c r="A2306" s="8">
        <v>2303</v>
      </c>
      <c r="B2306" s="8" t="str">
        <f>"38492022042423271137731"</f>
        <v>38492022042423271137731</v>
      </c>
      <c r="C2306" s="8" t="s">
        <v>21</v>
      </c>
      <c r="D2306" s="8" t="str">
        <f>"谢丽岑"</f>
        <v>谢丽岑</v>
      </c>
      <c r="E2306" s="8" t="str">
        <f>"女"</f>
        <v>女</v>
      </c>
    </row>
    <row r="2307" spans="1:5" ht="30" customHeight="1">
      <c r="A2307" s="8">
        <v>2304</v>
      </c>
      <c r="B2307" s="8" t="str">
        <f>"38492022042423345037736"</f>
        <v>38492022042423345037736</v>
      </c>
      <c r="C2307" s="8" t="s">
        <v>21</v>
      </c>
      <c r="D2307" s="8" t="str">
        <f>"吴文统"</f>
        <v>吴文统</v>
      </c>
      <c r="E2307" s="8" t="str">
        <f aca="true" t="shared" si="370" ref="E2307:E2312">"男"</f>
        <v>男</v>
      </c>
    </row>
    <row r="2308" spans="1:5" ht="30" customHeight="1">
      <c r="A2308" s="8">
        <v>2305</v>
      </c>
      <c r="B2308" s="8" t="str">
        <f>"38492022042423393837740"</f>
        <v>38492022042423393837740</v>
      </c>
      <c r="C2308" s="8" t="s">
        <v>21</v>
      </c>
      <c r="D2308" s="8" t="str">
        <f>"欧阳云帆"</f>
        <v>欧阳云帆</v>
      </c>
      <c r="E2308" s="8" t="str">
        <f t="shared" si="370"/>
        <v>男</v>
      </c>
    </row>
    <row r="2309" spans="1:5" ht="30" customHeight="1">
      <c r="A2309" s="8">
        <v>2306</v>
      </c>
      <c r="B2309" s="8" t="str">
        <f>"38492022042423461137743"</f>
        <v>38492022042423461137743</v>
      </c>
      <c r="C2309" s="8" t="s">
        <v>21</v>
      </c>
      <c r="D2309" s="8" t="str">
        <f>"胡昌麒"</f>
        <v>胡昌麒</v>
      </c>
      <c r="E2309" s="8" t="str">
        <f t="shared" si="370"/>
        <v>男</v>
      </c>
    </row>
    <row r="2310" spans="1:5" ht="30" customHeight="1">
      <c r="A2310" s="8">
        <v>2307</v>
      </c>
      <c r="B2310" s="8" t="str">
        <f>"38492022042423514437745"</f>
        <v>38492022042423514437745</v>
      </c>
      <c r="C2310" s="8" t="s">
        <v>21</v>
      </c>
      <c r="D2310" s="8" t="str">
        <f>"翁连敏"</f>
        <v>翁连敏</v>
      </c>
      <c r="E2310" s="8" t="str">
        <f t="shared" si="370"/>
        <v>男</v>
      </c>
    </row>
    <row r="2311" spans="1:5" ht="30" customHeight="1">
      <c r="A2311" s="8">
        <v>2308</v>
      </c>
      <c r="B2311" s="8" t="str">
        <f>"38492022042423564437749"</f>
        <v>38492022042423564437749</v>
      </c>
      <c r="C2311" s="8" t="s">
        <v>21</v>
      </c>
      <c r="D2311" s="8" t="str">
        <f>"郑通"</f>
        <v>郑通</v>
      </c>
      <c r="E2311" s="8" t="str">
        <f t="shared" si="370"/>
        <v>男</v>
      </c>
    </row>
    <row r="2312" spans="1:5" ht="30" customHeight="1">
      <c r="A2312" s="8">
        <v>2309</v>
      </c>
      <c r="B2312" s="8" t="str">
        <f>"38492022042423571237750"</f>
        <v>38492022042423571237750</v>
      </c>
      <c r="C2312" s="8" t="s">
        <v>21</v>
      </c>
      <c r="D2312" s="8" t="str">
        <f>"叶宏侨"</f>
        <v>叶宏侨</v>
      </c>
      <c r="E2312" s="8" t="str">
        <f t="shared" si="370"/>
        <v>男</v>
      </c>
    </row>
    <row r="2313" spans="1:5" ht="30" customHeight="1">
      <c r="A2313" s="8">
        <v>2310</v>
      </c>
      <c r="B2313" s="8" t="str">
        <f>"38492022042500043237757"</f>
        <v>38492022042500043237757</v>
      </c>
      <c r="C2313" s="8" t="s">
        <v>21</v>
      </c>
      <c r="D2313" s="8" t="str">
        <f>"马晓筠"</f>
        <v>马晓筠</v>
      </c>
      <c r="E2313" s="8" t="str">
        <f aca="true" t="shared" si="371" ref="E2313:E2319">"女"</f>
        <v>女</v>
      </c>
    </row>
    <row r="2314" spans="1:5" ht="30" customHeight="1">
      <c r="A2314" s="8">
        <v>2311</v>
      </c>
      <c r="B2314" s="8" t="str">
        <f>"38492022042500123137762"</f>
        <v>38492022042500123137762</v>
      </c>
      <c r="C2314" s="8" t="s">
        <v>21</v>
      </c>
      <c r="D2314" s="8" t="str">
        <f>"林梦珍"</f>
        <v>林梦珍</v>
      </c>
      <c r="E2314" s="8" t="str">
        <f t="shared" si="371"/>
        <v>女</v>
      </c>
    </row>
    <row r="2315" spans="1:5" ht="30" customHeight="1">
      <c r="A2315" s="8">
        <v>2312</v>
      </c>
      <c r="B2315" s="8" t="str">
        <f>"38492022042500181637765"</f>
        <v>38492022042500181637765</v>
      </c>
      <c r="C2315" s="8" t="s">
        <v>21</v>
      </c>
      <c r="D2315" s="8" t="str">
        <f>"李芸茗"</f>
        <v>李芸茗</v>
      </c>
      <c r="E2315" s="8" t="str">
        <f aca="true" t="shared" si="372" ref="E2315:E2320">"男"</f>
        <v>男</v>
      </c>
    </row>
    <row r="2316" spans="1:5" ht="30" customHeight="1">
      <c r="A2316" s="8">
        <v>2313</v>
      </c>
      <c r="B2316" s="8" t="str">
        <f>"38492022042500572237774"</f>
        <v>38492022042500572237774</v>
      </c>
      <c r="C2316" s="8" t="s">
        <v>21</v>
      </c>
      <c r="D2316" s="8" t="str">
        <f>"陈泽青"</f>
        <v>陈泽青</v>
      </c>
      <c r="E2316" s="8" t="str">
        <f t="shared" si="372"/>
        <v>男</v>
      </c>
    </row>
    <row r="2317" spans="1:5" ht="30" customHeight="1">
      <c r="A2317" s="8">
        <v>2314</v>
      </c>
      <c r="B2317" s="8" t="str">
        <f>"38492022042501511537780"</f>
        <v>38492022042501511537780</v>
      </c>
      <c r="C2317" s="8" t="s">
        <v>21</v>
      </c>
      <c r="D2317" s="8" t="str">
        <f>"李筱爱"</f>
        <v>李筱爱</v>
      </c>
      <c r="E2317" s="8" t="str">
        <f t="shared" si="371"/>
        <v>女</v>
      </c>
    </row>
    <row r="2318" spans="1:5" ht="30" customHeight="1">
      <c r="A2318" s="8">
        <v>2315</v>
      </c>
      <c r="B2318" s="8" t="str">
        <f>"38492022042505240737789"</f>
        <v>38492022042505240737789</v>
      </c>
      <c r="C2318" s="8" t="s">
        <v>21</v>
      </c>
      <c r="D2318" s="8" t="str">
        <f>"陈珏"</f>
        <v>陈珏</v>
      </c>
      <c r="E2318" s="8" t="str">
        <f t="shared" si="371"/>
        <v>女</v>
      </c>
    </row>
    <row r="2319" spans="1:5" ht="30" customHeight="1">
      <c r="A2319" s="8">
        <v>2316</v>
      </c>
      <c r="B2319" s="8" t="str">
        <f>"38492022042508064337804"</f>
        <v>38492022042508064337804</v>
      </c>
      <c r="C2319" s="8" t="s">
        <v>21</v>
      </c>
      <c r="D2319" s="8" t="str">
        <f>"李桂萍"</f>
        <v>李桂萍</v>
      </c>
      <c r="E2319" s="8" t="str">
        <f t="shared" si="371"/>
        <v>女</v>
      </c>
    </row>
    <row r="2320" spans="1:5" ht="30" customHeight="1">
      <c r="A2320" s="8">
        <v>2317</v>
      </c>
      <c r="B2320" s="8" t="str">
        <f>"38492022042508073237806"</f>
        <v>38492022042508073237806</v>
      </c>
      <c r="C2320" s="8" t="s">
        <v>21</v>
      </c>
      <c r="D2320" s="8" t="str">
        <f>"唐锦林"</f>
        <v>唐锦林</v>
      </c>
      <c r="E2320" s="8" t="str">
        <f t="shared" si="372"/>
        <v>男</v>
      </c>
    </row>
    <row r="2321" spans="1:5" ht="30" customHeight="1">
      <c r="A2321" s="8">
        <v>2318</v>
      </c>
      <c r="B2321" s="8" t="str">
        <f>"38492022042508302337823"</f>
        <v>38492022042508302337823</v>
      </c>
      <c r="C2321" s="8" t="s">
        <v>21</v>
      </c>
      <c r="D2321" s="8" t="str">
        <f>"张文青"</f>
        <v>张文青</v>
      </c>
      <c r="E2321" s="8" t="str">
        <f aca="true" t="shared" si="373" ref="E2321:E2329">"女"</f>
        <v>女</v>
      </c>
    </row>
    <row r="2322" spans="1:5" ht="30" customHeight="1">
      <c r="A2322" s="8">
        <v>2319</v>
      </c>
      <c r="B2322" s="8" t="str">
        <f>"38492022042508313737825"</f>
        <v>38492022042508313737825</v>
      </c>
      <c r="C2322" s="8" t="s">
        <v>21</v>
      </c>
      <c r="D2322" s="8" t="str">
        <f>"吴育俊"</f>
        <v>吴育俊</v>
      </c>
      <c r="E2322" s="8" t="str">
        <f>"男"</f>
        <v>男</v>
      </c>
    </row>
    <row r="2323" spans="1:5" ht="30" customHeight="1">
      <c r="A2323" s="8">
        <v>2320</v>
      </c>
      <c r="B2323" s="8" t="str">
        <f>"38492022042508362237830"</f>
        <v>38492022042508362237830</v>
      </c>
      <c r="C2323" s="8" t="s">
        <v>21</v>
      </c>
      <c r="D2323" s="8" t="str">
        <f>"李莉"</f>
        <v>李莉</v>
      </c>
      <c r="E2323" s="8" t="str">
        <f t="shared" si="373"/>
        <v>女</v>
      </c>
    </row>
    <row r="2324" spans="1:5" ht="30" customHeight="1">
      <c r="A2324" s="8">
        <v>2321</v>
      </c>
      <c r="B2324" s="8" t="str">
        <f>"38492022042508514037836"</f>
        <v>38492022042508514037836</v>
      </c>
      <c r="C2324" s="8" t="s">
        <v>21</v>
      </c>
      <c r="D2324" s="8" t="str">
        <f>"吴淑源"</f>
        <v>吴淑源</v>
      </c>
      <c r="E2324" s="8" t="str">
        <f>"男"</f>
        <v>男</v>
      </c>
    </row>
    <row r="2325" spans="1:5" ht="30" customHeight="1">
      <c r="A2325" s="8">
        <v>2322</v>
      </c>
      <c r="B2325" s="8" t="str">
        <f>"38492022042508534537837"</f>
        <v>38492022042508534537837</v>
      </c>
      <c r="C2325" s="8" t="s">
        <v>21</v>
      </c>
      <c r="D2325" s="8" t="str">
        <f>"王慧"</f>
        <v>王慧</v>
      </c>
      <c r="E2325" s="8" t="str">
        <f t="shared" si="373"/>
        <v>女</v>
      </c>
    </row>
    <row r="2326" spans="1:5" ht="30" customHeight="1">
      <c r="A2326" s="8">
        <v>2323</v>
      </c>
      <c r="B2326" s="8" t="str">
        <f>"38492022042509022137846"</f>
        <v>38492022042509022137846</v>
      </c>
      <c r="C2326" s="8" t="s">
        <v>21</v>
      </c>
      <c r="D2326" s="8" t="str">
        <f>"谢润菁"</f>
        <v>谢润菁</v>
      </c>
      <c r="E2326" s="8" t="str">
        <f t="shared" si="373"/>
        <v>女</v>
      </c>
    </row>
    <row r="2327" spans="1:5" ht="30" customHeight="1">
      <c r="A2327" s="8">
        <v>2324</v>
      </c>
      <c r="B2327" s="8" t="str">
        <f>"38492022042509132237858"</f>
        <v>38492022042509132237858</v>
      </c>
      <c r="C2327" s="8" t="s">
        <v>21</v>
      </c>
      <c r="D2327" s="8" t="str">
        <f>"符成丹"</f>
        <v>符成丹</v>
      </c>
      <c r="E2327" s="8" t="str">
        <f t="shared" si="373"/>
        <v>女</v>
      </c>
    </row>
    <row r="2328" spans="1:5" ht="30" customHeight="1">
      <c r="A2328" s="8">
        <v>2325</v>
      </c>
      <c r="B2328" s="8" t="str">
        <f>"38492022042509154237864"</f>
        <v>38492022042509154237864</v>
      </c>
      <c r="C2328" s="8" t="s">
        <v>21</v>
      </c>
      <c r="D2328" s="8" t="str">
        <f>"林琪"</f>
        <v>林琪</v>
      </c>
      <c r="E2328" s="8" t="str">
        <f t="shared" si="373"/>
        <v>女</v>
      </c>
    </row>
    <row r="2329" spans="1:5" ht="30" customHeight="1">
      <c r="A2329" s="8">
        <v>2326</v>
      </c>
      <c r="B2329" s="8" t="str">
        <f>"38492022042509182237871"</f>
        <v>38492022042509182237871</v>
      </c>
      <c r="C2329" s="8" t="s">
        <v>21</v>
      </c>
      <c r="D2329" s="8" t="str">
        <f>"吴兴妹"</f>
        <v>吴兴妹</v>
      </c>
      <c r="E2329" s="8" t="str">
        <f t="shared" si="373"/>
        <v>女</v>
      </c>
    </row>
    <row r="2330" spans="1:5" ht="30" customHeight="1">
      <c r="A2330" s="8">
        <v>2327</v>
      </c>
      <c r="B2330" s="8" t="str">
        <f>"38492022042509213237874"</f>
        <v>38492022042509213237874</v>
      </c>
      <c r="C2330" s="8" t="s">
        <v>21</v>
      </c>
      <c r="D2330" s="8" t="str">
        <f>"陈彰俊"</f>
        <v>陈彰俊</v>
      </c>
      <c r="E2330" s="8" t="str">
        <f aca="true" t="shared" si="374" ref="E2330:E2334">"男"</f>
        <v>男</v>
      </c>
    </row>
    <row r="2331" spans="1:5" ht="30" customHeight="1">
      <c r="A2331" s="8">
        <v>2328</v>
      </c>
      <c r="B2331" s="8" t="str">
        <f>"38492022042509221237875"</f>
        <v>38492022042509221237875</v>
      </c>
      <c r="C2331" s="8" t="s">
        <v>21</v>
      </c>
      <c r="D2331" s="8" t="str">
        <f>"李宝"</f>
        <v>李宝</v>
      </c>
      <c r="E2331" s="8" t="str">
        <f t="shared" si="374"/>
        <v>男</v>
      </c>
    </row>
    <row r="2332" spans="1:5" ht="30" customHeight="1">
      <c r="A2332" s="8">
        <v>2329</v>
      </c>
      <c r="B2332" s="8" t="str">
        <f>"38492022042509233537880"</f>
        <v>38492022042509233537880</v>
      </c>
      <c r="C2332" s="8" t="s">
        <v>21</v>
      </c>
      <c r="D2332" s="8" t="str">
        <f>"吴翩翩"</f>
        <v>吴翩翩</v>
      </c>
      <c r="E2332" s="8" t="str">
        <f>"女"</f>
        <v>女</v>
      </c>
    </row>
    <row r="2333" spans="1:5" ht="30" customHeight="1">
      <c r="A2333" s="8">
        <v>2330</v>
      </c>
      <c r="B2333" s="8" t="str">
        <f>"38492022042509245337885"</f>
        <v>38492022042509245337885</v>
      </c>
      <c r="C2333" s="8" t="s">
        <v>21</v>
      </c>
      <c r="D2333" s="8" t="str">
        <f>"文臻"</f>
        <v>文臻</v>
      </c>
      <c r="E2333" s="8" t="str">
        <f t="shared" si="374"/>
        <v>男</v>
      </c>
    </row>
    <row r="2334" spans="1:5" ht="30" customHeight="1">
      <c r="A2334" s="8">
        <v>2331</v>
      </c>
      <c r="B2334" s="8" t="str">
        <f>"38492022042509310937891"</f>
        <v>38492022042509310937891</v>
      </c>
      <c r="C2334" s="8" t="s">
        <v>21</v>
      </c>
      <c r="D2334" s="8" t="str">
        <f>"邹孟君"</f>
        <v>邹孟君</v>
      </c>
      <c r="E2334" s="8" t="str">
        <f t="shared" si="374"/>
        <v>男</v>
      </c>
    </row>
    <row r="2335" spans="1:5" ht="30" customHeight="1">
      <c r="A2335" s="8">
        <v>2332</v>
      </c>
      <c r="B2335" s="8" t="str">
        <f>"38492022042509341137894"</f>
        <v>38492022042509341137894</v>
      </c>
      <c r="C2335" s="8" t="s">
        <v>21</v>
      </c>
      <c r="D2335" s="8" t="str">
        <f>"梅春丽"</f>
        <v>梅春丽</v>
      </c>
      <c r="E2335" s="8" t="str">
        <f aca="true" t="shared" si="375" ref="E2335:E2340">"女"</f>
        <v>女</v>
      </c>
    </row>
    <row r="2336" spans="1:5" ht="30" customHeight="1">
      <c r="A2336" s="8">
        <v>2333</v>
      </c>
      <c r="B2336" s="8" t="str">
        <f>"38492022042509350837897"</f>
        <v>38492022042509350837897</v>
      </c>
      <c r="C2336" s="8" t="s">
        <v>21</v>
      </c>
      <c r="D2336" s="8" t="str">
        <f>"郭卫兵"</f>
        <v>郭卫兵</v>
      </c>
      <c r="E2336" s="8" t="str">
        <f aca="true" t="shared" si="376" ref="E2336:E2339">"男"</f>
        <v>男</v>
      </c>
    </row>
    <row r="2337" spans="1:5" ht="30" customHeight="1">
      <c r="A2337" s="8">
        <v>2334</v>
      </c>
      <c r="B2337" s="8" t="str">
        <f>"38492022042509372837901"</f>
        <v>38492022042509372837901</v>
      </c>
      <c r="C2337" s="8" t="s">
        <v>21</v>
      </c>
      <c r="D2337" s="8" t="str">
        <f>"黎秀兵"</f>
        <v>黎秀兵</v>
      </c>
      <c r="E2337" s="8" t="str">
        <f t="shared" si="376"/>
        <v>男</v>
      </c>
    </row>
    <row r="2338" spans="1:5" ht="30" customHeight="1">
      <c r="A2338" s="8">
        <v>2335</v>
      </c>
      <c r="B2338" s="8" t="str">
        <f>"38492022042509403537908"</f>
        <v>38492022042509403537908</v>
      </c>
      <c r="C2338" s="8" t="s">
        <v>21</v>
      </c>
      <c r="D2338" s="8" t="str">
        <f>"王圣果"</f>
        <v>王圣果</v>
      </c>
      <c r="E2338" s="8" t="str">
        <f t="shared" si="375"/>
        <v>女</v>
      </c>
    </row>
    <row r="2339" spans="1:5" ht="30" customHeight="1">
      <c r="A2339" s="8">
        <v>2336</v>
      </c>
      <c r="B2339" s="8" t="str">
        <f>"38492022042509420037911"</f>
        <v>38492022042509420037911</v>
      </c>
      <c r="C2339" s="8" t="s">
        <v>21</v>
      </c>
      <c r="D2339" s="8" t="str">
        <f>"麦著龙"</f>
        <v>麦著龙</v>
      </c>
      <c r="E2339" s="8" t="str">
        <f t="shared" si="376"/>
        <v>男</v>
      </c>
    </row>
    <row r="2340" spans="1:5" ht="30" customHeight="1">
      <c r="A2340" s="8">
        <v>2337</v>
      </c>
      <c r="B2340" s="8" t="str">
        <f>"38492022042509502237924"</f>
        <v>38492022042509502237924</v>
      </c>
      <c r="C2340" s="8" t="s">
        <v>21</v>
      </c>
      <c r="D2340" s="8" t="str">
        <f>"李颖"</f>
        <v>李颖</v>
      </c>
      <c r="E2340" s="8" t="str">
        <f t="shared" si="375"/>
        <v>女</v>
      </c>
    </row>
    <row r="2341" spans="1:5" ht="30" customHeight="1">
      <c r="A2341" s="8">
        <v>2338</v>
      </c>
      <c r="B2341" s="8" t="str">
        <f>"38492022042509575937938"</f>
        <v>38492022042509575937938</v>
      </c>
      <c r="C2341" s="8" t="s">
        <v>21</v>
      </c>
      <c r="D2341" s="8" t="str">
        <f>"符式学"</f>
        <v>符式学</v>
      </c>
      <c r="E2341" s="8" t="str">
        <f aca="true" t="shared" si="377" ref="E2341:E2345">"男"</f>
        <v>男</v>
      </c>
    </row>
    <row r="2342" spans="1:5" ht="30" customHeight="1">
      <c r="A2342" s="8">
        <v>2339</v>
      </c>
      <c r="B2342" s="8" t="str">
        <f>"38492022042509580137940"</f>
        <v>38492022042509580137940</v>
      </c>
      <c r="C2342" s="8" t="s">
        <v>21</v>
      </c>
      <c r="D2342" s="8" t="str">
        <f>"黎时宝"</f>
        <v>黎时宝</v>
      </c>
      <c r="E2342" s="8" t="str">
        <f t="shared" si="377"/>
        <v>男</v>
      </c>
    </row>
    <row r="2343" spans="1:5" ht="30" customHeight="1">
      <c r="A2343" s="8">
        <v>2340</v>
      </c>
      <c r="B2343" s="8" t="str">
        <f>"38492022042509594437945"</f>
        <v>38492022042509594437945</v>
      </c>
      <c r="C2343" s="8" t="s">
        <v>21</v>
      </c>
      <c r="D2343" s="8" t="str">
        <f>"盘宝盛"</f>
        <v>盘宝盛</v>
      </c>
      <c r="E2343" s="8" t="str">
        <f t="shared" si="377"/>
        <v>男</v>
      </c>
    </row>
    <row r="2344" spans="1:5" ht="30" customHeight="1">
      <c r="A2344" s="8">
        <v>2341</v>
      </c>
      <c r="B2344" s="8" t="str">
        <f>"38492022042510222637981"</f>
        <v>38492022042510222637981</v>
      </c>
      <c r="C2344" s="8" t="s">
        <v>21</v>
      </c>
      <c r="D2344" s="8" t="str">
        <f>"黄佳伟"</f>
        <v>黄佳伟</v>
      </c>
      <c r="E2344" s="8" t="str">
        <f t="shared" si="377"/>
        <v>男</v>
      </c>
    </row>
    <row r="2345" spans="1:5" ht="30" customHeight="1">
      <c r="A2345" s="8">
        <v>2342</v>
      </c>
      <c r="B2345" s="8" t="str">
        <f>"38492022042510242837985"</f>
        <v>38492022042510242837985</v>
      </c>
      <c r="C2345" s="8" t="s">
        <v>21</v>
      </c>
      <c r="D2345" s="8" t="str">
        <f>"高智慧"</f>
        <v>高智慧</v>
      </c>
      <c r="E2345" s="8" t="str">
        <f t="shared" si="377"/>
        <v>男</v>
      </c>
    </row>
    <row r="2346" spans="1:5" ht="30" customHeight="1">
      <c r="A2346" s="8">
        <v>2343</v>
      </c>
      <c r="B2346" s="8" t="str">
        <f>"38492022042510272837992"</f>
        <v>38492022042510272837992</v>
      </c>
      <c r="C2346" s="8" t="s">
        <v>21</v>
      </c>
      <c r="D2346" s="8" t="str">
        <f>"文小柳"</f>
        <v>文小柳</v>
      </c>
      <c r="E2346" s="8" t="str">
        <f aca="true" t="shared" si="378" ref="E2346:E2351">"女"</f>
        <v>女</v>
      </c>
    </row>
    <row r="2347" spans="1:5" ht="30" customHeight="1">
      <c r="A2347" s="8">
        <v>2344</v>
      </c>
      <c r="B2347" s="8" t="str">
        <f>"38492022042510275437994"</f>
        <v>38492022042510275437994</v>
      </c>
      <c r="C2347" s="8" t="s">
        <v>21</v>
      </c>
      <c r="D2347" s="8" t="str">
        <f>"毛丹妮"</f>
        <v>毛丹妮</v>
      </c>
      <c r="E2347" s="8" t="str">
        <f t="shared" si="378"/>
        <v>女</v>
      </c>
    </row>
    <row r="2348" spans="1:5" ht="30" customHeight="1">
      <c r="A2348" s="8">
        <v>2345</v>
      </c>
      <c r="B2348" s="8" t="str">
        <f>"38492022042510295937997"</f>
        <v>38492022042510295937997</v>
      </c>
      <c r="C2348" s="8" t="s">
        <v>21</v>
      </c>
      <c r="D2348" s="8" t="str">
        <f>"林天正"</f>
        <v>林天正</v>
      </c>
      <c r="E2348" s="8" t="str">
        <f aca="true" t="shared" si="379" ref="E2348:E2353">"男"</f>
        <v>男</v>
      </c>
    </row>
    <row r="2349" spans="1:5" ht="30" customHeight="1">
      <c r="A2349" s="8">
        <v>2346</v>
      </c>
      <c r="B2349" s="8" t="str">
        <f>"38492022042510300937998"</f>
        <v>38492022042510300937998</v>
      </c>
      <c r="C2349" s="8" t="s">
        <v>21</v>
      </c>
      <c r="D2349" s="8" t="str">
        <f>"陈冠娥"</f>
        <v>陈冠娥</v>
      </c>
      <c r="E2349" s="8" t="str">
        <f t="shared" si="378"/>
        <v>女</v>
      </c>
    </row>
    <row r="2350" spans="1:5" ht="30" customHeight="1">
      <c r="A2350" s="8">
        <v>2347</v>
      </c>
      <c r="B2350" s="8" t="str">
        <f>"38492022042510313038001"</f>
        <v>38492022042510313038001</v>
      </c>
      <c r="C2350" s="8" t="s">
        <v>21</v>
      </c>
      <c r="D2350" s="8" t="str">
        <f>"何小妹"</f>
        <v>何小妹</v>
      </c>
      <c r="E2350" s="8" t="str">
        <f t="shared" si="378"/>
        <v>女</v>
      </c>
    </row>
    <row r="2351" spans="1:5" ht="30" customHeight="1">
      <c r="A2351" s="8">
        <v>2348</v>
      </c>
      <c r="B2351" s="8" t="str">
        <f>"38492022042510353138007"</f>
        <v>38492022042510353138007</v>
      </c>
      <c r="C2351" s="8" t="s">
        <v>21</v>
      </c>
      <c r="D2351" s="8" t="str">
        <f>"谢永川"</f>
        <v>谢永川</v>
      </c>
      <c r="E2351" s="8" t="str">
        <f t="shared" si="378"/>
        <v>女</v>
      </c>
    </row>
    <row r="2352" spans="1:5" ht="30" customHeight="1">
      <c r="A2352" s="8">
        <v>2349</v>
      </c>
      <c r="B2352" s="8" t="str">
        <f>"38492022042510372338016"</f>
        <v>38492022042510372338016</v>
      </c>
      <c r="C2352" s="8" t="s">
        <v>21</v>
      </c>
      <c r="D2352" s="8" t="str">
        <f>"羊必官"</f>
        <v>羊必官</v>
      </c>
      <c r="E2352" s="8" t="str">
        <f t="shared" si="379"/>
        <v>男</v>
      </c>
    </row>
    <row r="2353" spans="1:5" ht="30" customHeight="1">
      <c r="A2353" s="8">
        <v>2350</v>
      </c>
      <c r="B2353" s="8" t="str">
        <f>"38492022042510423738028"</f>
        <v>38492022042510423738028</v>
      </c>
      <c r="C2353" s="8" t="s">
        <v>21</v>
      </c>
      <c r="D2353" s="8" t="str">
        <f>"王琦栋"</f>
        <v>王琦栋</v>
      </c>
      <c r="E2353" s="8" t="str">
        <f t="shared" si="379"/>
        <v>男</v>
      </c>
    </row>
    <row r="2354" spans="1:5" ht="30" customHeight="1">
      <c r="A2354" s="8">
        <v>2351</v>
      </c>
      <c r="B2354" s="8" t="str">
        <f>"38492022042510444338034"</f>
        <v>38492022042510444338034</v>
      </c>
      <c r="C2354" s="8" t="s">
        <v>21</v>
      </c>
      <c r="D2354" s="8" t="str">
        <f>"张依"</f>
        <v>张依</v>
      </c>
      <c r="E2354" s="8" t="str">
        <f aca="true" t="shared" si="380" ref="E2354:E2357">"女"</f>
        <v>女</v>
      </c>
    </row>
    <row r="2355" spans="1:5" ht="30" customHeight="1">
      <c r="A2355" s="8">
        <v>2352</v>
      </c>
      <c r="B2355" s="8" t="str">
        <f>"38492022042510452738036"</f>
        <v>38492022042510452738036</v>
      </c>
      <c r="C2355" s="8" t="s">
        <v>21</v>
      </c>
      <c r="D2355" s="8" t="str">
        <f>"周海凤"</f>
        <v>周海凤</v>
      </c>
      <c r="E2355" s="8" t="str">
        <f t="shared" si="380"/>
        <v>女</v>
      </c>
    </row>
    <row r="2356" spans="1:5" ht="30" customHeight="1">
      <c r="A2356" s="8">
        <v>2353</v>
      </c>
      <c r="B2356" s="8" t="str">
        <f>"38492022042510460438038"</f>
        <v>38492022042510460438038</v>
      </c>
      <c r="C2356" s="8" t="s">
        <v>21</v>
      </c>
      <c r="D2356" s="8" t="str">
        <f>"符福星"</f>
        <v>符福星</v>
      </c>
      <c r="E2356" s="8" t="str">
        <f>"男"</f>
        <v>男</v>
      </c>
    </row>
    <row r="2357" spans="1:5" ht="30" customHeight="1">
      <c r="A2357" s="8">
        <v>2354</v>
      </c>
      <c r="B2357" s="8" t="str">
        <f>"38492022042510485438043"</f>
        <v>38492022042510485438043</v>
      </c>
      <c r="C2357" s="8" t="s">
        <v>21</v>
      </c>
      <c r="D2357" s="8" t="str">
        <f>"陈智慧"</f>
        <v>陈智慧</v>
      </c>
      <c r="E2357" s="8" t="str">
        <f t="shared" si="380"/>
        <v>女</v>
      </c>
    </row>
    <row r="2358" spans="1:5" ht="30" customHeight="1">
      <c r="A2358" s="8">
        <v>2355</v>
      </c>
      <c r="B2358" s="8" t="str">
        <f>"38492022042510491038045"</f>
        <v>38492022042510491038045</v>
      </c>
      <c r="C2358" s="8" t="s">
        <v>21</v>
      </c>
      <c r="D2358" s="8" t="str">
        <f>"郭泽乐"</f>
        <v>郭泽乐</v>
      </c>
      <c r="E2358" s="8" t="str">
        <f>"男"</f>
        <v>男</v>
      </c>
    </row>
    <row r="2359" spans="1:5" ht="30" customHeight="1">
      <c r="A2359" s="8">
        <v>2356</v>
      </c>
      <c r="B2359" s="8" t="str">
        <f>"38492022042510590838061"</f>
        <v>38492022042510590838061</v>
      </c>
      <c r="C2359" s="8" t="s">
        <v>21</v>
      </c>
      <c r="D2359" s="8" t="str">
        <f>"蔡丽菁"</f>
        <v>蔡丽菁</v>
      </c>
      <c r="E2359" s="8" t="str">
        <f aca="true" t="shared" si="381" ref="E2359:E2361">"女"</f>
        <v>女</v>
      </c>
    </row>
    <row r="2360" spans="1:5" ht="30" customHeight="1">
      <c r="A2360" s="8">
        <v>2357</v>
      </c>
      <c r="B2360" s="8" t="str">
        <f>"38492022042510591138062"</f>
        <v>38492022042510591138062</v>
      </c>
      <c r="C2360" s="8" t="s">
        <v>21</v>
      </c>
      <c r="D2360" s="8" t="str">
        <f>"符坤足"</f>
        <v>符坤足</v>
      </c>
      <c r="E2360" s="8" t="str">
        <f t="shared" si="381"/>
        <v>女</v>
      </c>
    </row>
    <row r="2361" spans="1:5" ht="30" customHeight="1">
      <c r="A2361" s="8">
        <v>2358</v>
      </c>
      <c r="B2361" s="8" t="str">
        <f>"38492022042511061338080"</f>
        <v>38492022042511061338080</v>
      </c>
      <c r="C2361" s="8" t="s">
        <v>21</v>
      </c>
      <c r="D2361" s="8" t="str">
        <f>"刘亚"</f>
        <v>刘亚</v>
      </c>
      <c r="E2361" s="8" t="str">
        <f t="shared" si="381"/>
        <v>女</v>
      </c>
    </row>
    <row r="2362" spans="1:5" ht="30" customHeight="1">
      <c r="A2362" s="8">
        <v>2359</v>
      </c>
      <c r="B2362" s="8" t="str">
        <f>"38492022042511070438082"</f>
        <v>38492022042511070438082</v>
      </c>
      <c r="C2362" s="8" t="s">
        <v>21</v>
      </c>
      <c r="D2362" s="8" t="str">
        <f>"王冬"</f>
        <v>王冬</v>
      </c>
      <c r="E2362" s="8" t="str">
        <f aca="true" t="shared" si="382" ref="E2362:E2365">"男"</f>
        <v>男</v>
      </c>
    </row>
    <row r="2363" spans="1:5" ht="30" customHeight="1">
      <c r="A2363" s="8">
        <v>2360</v>
      </c>
      <c r="B2363" s="8" t="str">
        <f>"38492022042511102538086"</f>
        <v>38492022042511102538086</v>
      </c>
      <c r="C2363" s="8" t="s">
        <v>21</v>
      </c>
      <c r="D2363" s="8" t="str">
        <f>"符正楼"</f>
        <v>符正楼</v>
      </c>
      <c r="E2363" s="8" t="str">
        <f>"女"</f>
        <v>女</v>
      </c>
    </row>
    <row r="2364" spans="1:5" ht="30" customHeight="1">
      <c r="A2364" s="8">
        <v>2361</v>
      </c>
      <c r="B2364" s="8" t="str">
        <f>"38492022042511165438100"</f>
        <v>38492022042511165438100</v>
      </c>
      <c r="C2364" s="8" t="s">
        <v>21</v>
      </c>
      <c r="D2364" s="8" t="str">
        <f>"符天"</f>
        <v>符天</v>
      </c>
      <c r="E2364" s="8" t="str">
        <f t="shared" si="382"/>
        <v>男</v>
      </c>
    </row>
    <row r="2365" spans="1:5" ht="30" customHeight="1">
      <c r="A2365" s="8">
        <v>2362</v>
      </c>
      <c r="B2365" s="8" t="str">
        <f>"38492022042511195338104"</f>
        <v>38492022042511195338104</v>
      </c>
      <c r="C2365" s="8" t="s">
        <v>21</v>
      </c>
      <c r="D2365" s="8" t="str">
        <f>"陈星再"</f>
        <v>陈星再</v>
      </c>
      <c r="E2365" s="8" t="str">
        <f t="shared" si="382"/>
        <v>男</v>
      </c>
    </row>
    <row r="2366" spans="1:5" ht="30" customHeight="1">
      <c r="A2366" s="8">
        <v>2363</v>
      </c>
      <c r="B2366" s="8" t="str">
        <f>"38492022042511262238115"</f>
        <v>38492022042511262238115</v>
      </c>
      <c r="C2366" s="8" t="s">
        <v>21</v>
      </c>
      <c r="D2366" s="8" t="str">
        <f>"叶帆"</f>
        <v>叶帆</v>
      </c>
      <c r="E2366" s="8" t="str">
        <f>"女"</f>
        <v>女</v>
      </c>
    </row>
    <row r="2367" spans="1:5" ht="30" customHeight="1">
      <c r="A2367" s="8">
        <v>2364</v>
      </c>
      <c r="B2367" s="8" t="str">
        <f>"38492022042511580638143"</f>
        <v>38492022042511580638143</v>
      </c>
      <c r="C2367" s="8" t="s">
        <v>21</v>
      </c>
      <c r="D2367" s="8" t="str">
        <f>"吴杰"</f>
        <v>吴杰</v>
      </c>
      <c r="E2367" s="8" t="str">
        <f aca="true" t="shared" si="383" ref="E2367:E2370">"男"</f>
        <v>男</v>
      </c>
    </row>
    <row r="2368" spans="1:5" ht="30" customHeight="1">
      <c r="A2368" s="8">
        <v>2365</v>
      </c>
      <c r="B2368" s="8" t="str">
        <f>"38492022042512035238150"</f>
        <v>38492022042512035238150</v>
      </c>
      <c r="C2368" s="8" t="s">
        <v>21</v>
      </c>
      <c r="D2368" s="8" t="str">
        <f>"黎明为"</f>
        <v>黎明为</v>
      </c>
      <c r="E2368" s="8" t="str">
        <f t="shared" si="383"/>
        <v>男</v>
      </c>
    </row>
    <row r="2369" spans="1:5" ht="30" customHeight="1">
      <c r="A2369" s="8">
        <v>2366</v>
      </c>
      <c r="B2369" s="8" t="str">
        <f>"38492022042512154938159"</f>
        <v>38492022042512154938159</v>
      </c>
      <c r="C2369" s="8" t="s">
        <v>21</v>
      </c>
      <c r="D2369" s="8" t="str">
        <f>"冯剑雄"</f>
        <v>冯剑雄</v>
      </c>
      <c r="E2369" s="8" t="str">
        <f t="shared" si="383"/>
        <v>男</v>
      </c>
    </row>
    <row r="2370" spans="1:5" ht="30" customHeight="1">
      <c r="A2370" s="8">
        <v>2367</v>
      </c>
      <c r="B2370" s="8" t="str">
        <f>"38492022042512354138184"</f>
        <v>38492022042512354138184</v>
      </c>
      <c r="C2370" s="8" t="s">
        <v>21</v>
      </c>
      <c r="D2370" s="8" t="str">
        <f>"杨有贤"</f>
        <v>杨有贤</v>
      </c>
      <c r="E2370" s="8" t="str">
        <f t="shared" si="383"/>
        <v>男</v>
      </c>
    </row>
    <row r="2371" spans="1:5" ht="30" customHeight="1">
      <c r="A2371" s="8">
        <v>2368</v>
      </c>
      <c r="B2371" s="8" t="str">
        <f>"38492022042512403238187"</f>
        <v>38492022042512403238187</v>
      </c>
      <c r="C2371" s="8" t="s">
        <v>21</v>
      </c>
      <c r="D2371" s="8" t="str">
        <f>"王晓晶"</f>
        <v>王晓晶</v>
      </c>
      <c r="E2371" s="8" t="str">
        <f aca="true" t="shared" si="384" ref="E2371:E2373">"女"</f>
        <v>女</v>
      </c>
    </row>
    <row r="2372" spans="1:5" ht="30" customHeight="1">
      <c r="A2372" s="8">
        <v>2369</v>
      </c>
      <c r="B2372" s="8" t="str">
        <f>"38492022042512414138190"</f>
        <v>38492022042512414138190</v>
      </c>
      <c r="C2372" s="8" t="s">
        <v>21</v>
      </c>
      <c r="D2372" s="8" t="str">
        <f>"蒙亚妹"</f>
        <v>蒙亚妹</v>
      </c>
      <c r="E2372" s="8" t="str">
        <f t="shared" si="384"/>
        <v>女</v>
      </c>
    </row>
    <row r="2373" spans="1:5" ht="30" customHeight="1">
      <c r="A2373" s="8">
        <v>2370</v>
      </c>
      <c r="B2373" s="8" t="str">
        <f>"38492022042512504038199"</f>
        <v>38492022042512504038199</v>
      </c>
      <c r="C2373" s="8" t="s">
        <v>21</v>
      </c>
      <c r="D2373" s="8" t="str">
        <f>"邱慧妙"</f>
        <v>邱慧妙</v>
      </c>
      <c r="E2373" s="8" t="str">
        <f t="shared" si="384"/>
        <v>女</v>
      </c>
    </row>
    <row r="2374" spans="1:5" ht="30" customHeight="1">
      <c r="A2374" s="8">
        <v>2371</v>
      </c>
      <c r="B2374" s="8" t="str">
        <f>"38492022042513063538211"</f>
        <v>38492022042513063538211</v>
      </c>
      <c r="C2374" s="8" t="s">
        <v>21</v>
      </c>
      <c r="D2374" s="8" t="str">
        <f>" 蔡楠书"</f>
        <v> 蔡楠书</v>
      </c>
      <c r="E2374" s="8" t="str">
        <f aca="true" t="shared" si="385" ref="E2374:E2377">"男"</f>
        <v>男</v>
      </c>
    </row>
    <row r="2375" spans="1:5" ht="30" customHeight="1">
      <c r="A2375" s="8">
        <v>2372</v>
      </c>
      <c r="B2375" s="8" t="str">
        <f>"38492022042513372638238"</f>
        <v>38492022042513372638238</v>
      </c>
      <c r="C2375" s="8" t="s">
        <v>21</v>
      </c>
      <c r="D2375" s="8" t="str">
        <f>"羊学贤"</f>
        <v>羊学贤</v>
      </c>
      <c r="E2375" s="8" t="str">
        <f t="shared" si="385"/>
        <v>男</v>
      </c>
    </row>
    <row r="2376" spans="1:5" ht="30" customHeight="1">
      <c r="A2376" s="8">
        <v>2373</v>
      </c>
      <c r="B2376" s="8" t="str">
        <f>"38492022042513475138247"</f>
        <v>38492022042513475138247</v>
      </c>
      <c r="C2376" s="8" t="s">
        <v>21</v>
      </c>
      <c r="D2376" s="8" t="str">
        <f>"王金彩"</f>
        <v>王金彩</v>
      </c>
      <c r="E2376" s="8" t="str">
        <f aca="true" t="shared" si="386" ref="E2376:E2379">"女"</f>
        <v>女</v>
      </c>
    </row>
    <row r="2377" spans="1:5" ht="30" customHeight="1">
      <c r="A2377" s="8">
        <v>2374</v>
      </c>
      <c r="B2377" s="8" t="str">
        <f>"38492022042513554738252"</f>
        <v>38492022042513554738252</v>
      </c>
      <c r="C2377" s="8" t="s">
        <v>21</v>
      </c>
      <c r="D2377" s="8" t="str">
        <f>"何奕东"</f>
        <v>何奕东</v>
      </c>
      <c r="E2377" s="8" t="str">
        <f t="shared" si="385"/>
        <v>男</v>
      </c>
    </row>
    <row r="2378" spans="1:5" ht="30" customHeight="1">
      <c r="A2378" s="8">
        <v>2375</v>
      </c>
      <c r="B2378" s="8" t="str">
        <f>"38492022042513584838254"</f>
        <v>38492022042513584838254</v>
      </c>
      <c r="C2378" s="8" t="s">
        <v>21</v>
      </c>
      <c r="D2378" s="8" t="str">
        <f>"王梨"</f>
        <v>王梨</v>
      </c>
      <c r="E2378" s="8" t="str">
        <f t="shared" si="386"/>
        <v>女</v>
      </c>
    </row>
    <row r="2379" spans="1:5" ht="30" customHeight="1">
      <c r="A2379" s="8">
        <v>2376</v>
      </c>
      <c r="B2379" s="8" t="str">
        <f>"38492022042514264238279"</f>
        <v>38492022042514264238279</v>
      </c>
      <c r="C2379" s="8" t="s">
        <v>21</v>
      </c>
      <c r="D2379" s="8" t="str">
        <f>"符万菊"</f>
        <v>符万菊</v>
      </c>
      <c r="E2379" s="8" t="str">
        <f t="shared" si="386"/>
        <v>女</v>
      </c>
    </row>
    <row r="2380" spans="1:5" ht="30" customHeight="1">
      <c r="A2380" s="8">
        <v>2377</v>
      </c>
      <c r="B2380" s="8" t="str">
        <f>"38492022042514275638281"</f>
        <v>38492022042514275638281</v>
      </c>
      <c r="C2380" s="8" t="s">
        <v>21</v>
      </c>
      <c r="D2380" s="8" t="str">
        <f>"林丽山"</f>
        <v>林丽山</v>
      </c>
      <c r="E2380" s="8" t="str">
        <f aca="true" t="shared" si="387" ref="E2380:E2383">"男"</f>
        <v>男</v>
      </c>
    </row>
    <row r="2381" spans="1:5" ht="30" customHeight="1">
      <c r="A2381" s="8">
        <v>2378</v>
      </c>
      <c r="B2381" s="8" t="str">
        <f>"38492022042514404838296"</f>
        <v>38492022042514404838296</v>
      </c>
      <c r="C2381" s="8" t="s">
        <v>21</v>
      </c>
      <c r="D2381" s="8" t="str">
        <f>"符阳春"</f>
        <v>符阳春</v>
      </c>
      <c r="E2381" s="8" t="str">
        <f aca="true" t="shared" si="388" ref="E2381:E2387">"女"</f>
        <v>女</v>
      </c>
    </row>
    <row r="2382" spans="1:5" ht="30" customHeight="1">
      <c r="A2382" s="8">
        <v>2379</v>
      </c>
      <c r="B2382" s="8" t="str">
        <f>"38492022042514411438297"</f>
        <v>38492022042514411438297</v>
      </c>
      <c r="C2382" s="8" t="s">
        <v>21</v>
      </c>
      <c r="D2382" s="8" t="str">
        <f>"谢隆腾"</f>
        <v>谢隆腾</v>
      </c>
      <c r="E2382" s="8" t="str">
        <f t="shared" si="387"/>
        <v>男</v>
      </c>
    </row>
    <row r="2383" spans="1:5" ht="30" customHeight="1">
      <c r="A2383" s="8">
        <v>2380</v>
      </c>
      <c r="B2383" s="8" t="str">
        <f>"38492022042514431638301"</f>
        <v>38492022042514431638301</v>
      </c>
      <c r="C2383" s="8" t="s">
        <v>21</v>
      </c>
      <c r="D2383" s="8" t="str">
        <f>"曾维龙"</f>
        <v>曾维龙</v>
      </c>
      <c r="E2383" s="8" t="str">
        <f t="shared" si="387"/>
        <v>男</v>
      </c>
    </row>
    <row r="2384" spans="1:5" ht="30" customHeight="1">
      <c r="A2384" s="8">
        <v>2381</v>
      </c>
      <c r="B2384" s="8" t="str">
        <f>"38492022042514563038314"</f>
        <v>38492022042514563038314</v>
      </c>
      <c r="C2384" s="8" t="s">
        <v>21</v>
      </c>
      <c r="D2384" s="8" t="str">
        <f>"吴捷"</f>
        <v>吴捷</v>
      </c>
      <c r="E2384" s="8" t="str">
        <f t="shared" si="388"/>
        <v>女</v>
      </c>
    </row>
    <row r="2385" spans="1:5" ht="30" customHeight="1">
      <c r="A2385" s="8">
        <v>2382</v>
      </c>
      <c r="B2385" s="8" t="str">
        <f>"38492022042514571438316"</f>
        <v>38492022042514571438316</v>
      </c>
      <c r="C2385" s="8" t="s">
        <v>21</v>
      </c>
      <c r="D2385" s="8" t="str">
        <f>"陈梦思"</f>
        <v>陈梦思</v>
      </c>
      <c r="E2385" s="8" t="str">
        <f t="shared" si="388"/>
        <v>女</v>
      </c>
    </row>
    <row r="2386" spans="1:5" ht="30" customHeight="1">
      <c r="A2386" s="8">
        <v>2383</v>
      </c>
      <c r="B2386" s="8" t="str">
        <f>"38492022042514593538320"</f>
        <v>38492022042514593538320</v>
      </c>
      <c r="C2386" s="8" t="s">
        <v>21</v>
      </c>
      <c r="D2386" s="8" t="str">
        <f>"赵洋洋"</f>
        <v>赵洋洋</v>
      </c>
      <c r="E2386" s="8" t="str">
        <f t="shared" si="388"/>
        <v>女</v>
      </c>
    </row>
    <row r="2387" spans="1:5" ht="30" customHeight="1">
      <c r="A2387" s="8">
        <v>2384</v>
      </c>
      <c r="B2387" s="8" t="str">
        <f>"38492022042515052638332"</f>
        <v>38492022042515052638332</v>
      </c>
      <c r="C2387" s="8" t="s">
        <v>21</v>
      </c>
      <c r="D2387" s="8" t="str">
        <f>"王美娇"</f>
        <v>王美娇</v>
      </c>
      <c r="E2387" s="8" t="str">
        <f t="shared" si="388"/>
        <v>女</v>
      </c>
    </row>
    <row r="2388" spans="1:5" ht="30" customHeight="1">
      <c r="A2388" s="8">
        <v>2385</v>
      </c>
      <c r="B2388" s="8" t="str">
        <f>"38492022042515172938355"</f>
        <v>38492022042515172938355</v>
      </c>
      <c r="C2388" s="8" t="s">
        <v>21</v>
      </c>
      <c r="D2388" s="8" t="str">
        <f>"陈理弛"</f>
        <v>陈理弛</v>
      </c>
      <c r="E2388" s="8" t="str">
        <f aca="true" t="shared" si="389" ref="E2388:E2393">"男"</f>
        <v>男</v>
      </c>
    </row>
    <row r="2389" spans="1:5" ht="30" customHeight="1">
      <c r="A2389" s="8">
        <v>2386</v>
      </c>
      <c r="B2389" s="8" t="str">
        <f>"38492022042515202838365"</f>
        <v>38492022042515202838365</v>
      </c>
      <c r="C2389" s="8" t="s">
        <v>21</v>
      </c>
      <c r="D2389" s="8" t="str">
        <f>"李景雨"</f>
        <v>李景雨</v>
      </c>
      <c r="E2389" s="8" t="str">
        <f>"女"</f>
        <v>女</v>
      </c>
    </row>
    <row r="2390" spans="1:5" ht="30" customHeight="1">
      <c r="A2390" s="8">
        <v>2387</v>
      </c>
      <c r="B2390" s="8" t="str">
        <f>"38492022042515205238368"</f>
        <v>38492022042515205238368</v>
      </c>
      <c r="C2390" s="8" t="s">
        <v>21</v>
      </c>
      <c r="D2390" s="8" t="str">
        <f>"陈泽伟"</f>
        <v>陈泽伟</v>
      </c>
      <c r="E2390" s="8" t="str">
        <f t="shared" si="389"/>
        <v>男</v>
      </c>
    </row>
    <row r="2391" spans="1:5" ht="30" customHeight="1">
      <c r="A2391" s="8">
        <v>2388</v>
      </c>
      <c r="B2391" s="8" t="str">
        <f>"38492022042515240638373"</f>
        <v>38492022042515240638373</v>
      </c>
      <c r="C2391" s="8" t="s">
        <v>21</v>
      </c>
      <c r="D2391" s="8" t="str">
        <f>"许信正"</f>
        <v>许信正</v>
      </c>
      <c r="E2391" s="8" t="str">
        <f t="shared" si="389"/>
        <v>男</v>
      </c>
    </row>
    <row r="2392" spans="1:5" ht="30" customHeight="1">
      <c r="A2392" s="8">
        <v>2389</v>
      </c>
      <c r="B2392" s="8" t="str">
        <f>"38492022042515241638374"</f>
        <v>38492022042515241638374</v>
      </c>
      <c r="C2392" s="8" t="s">
        <v>21</v>
      </c>
      <c r="D2392" s="8" t="str">
        <f>"刘宝立"</f>
        <v>刘宝立</v>
      </c>
      <c r="E2392" s="8" t="str">
        <f t="shared" si="389"/>
        <v>男</v>
      </c>
    </row>
    <row r="2393" spans="1:5" ht="30" customHeight="1">
      <c r="A2393" s="8">
        <v>2390</v>
      </c>
      <c r="B2393" s="8" t="str">
        <f>"38492022042515290438378"</f>
        <v>38492022042515290438378</v>
      </c>
      <c r="C2393" s="8" t="s">
        <v>21</v>
      </c>
      <c r="D2393" s="8" t="str">
        <f>"吴可任"</f>
        <v>吴可任</v>
      </c>
      <c r="E2393" s="8" t="str">
        <f t="shared" si="389"/>
        <v>男</v>
      </c>
    </row>
    <row r="2394" spans="1:5" ht="30" customHeight="1">
      <c r="A2394" s="8">
        <v>2391</v>
      </c>
      <c r="B2394" s="8" t="str">
        <f>"38492022042515345838396"</f>
        <v>38492022042515345838396</v>
      </c>
      <c r="C2394" s="8" t="s">
        <v>21</v>
      </c>
      <c r="D2394" s="8" t="str">
        <f>"黎思华"</f>
        <v>黎思华</v>
      </c>
      <c r="E2394" s="8" t="str">
        <f aca="true" t="shared" si="390" ref="E2394:E2398">"女"</f>
        <v>女</v>
      </c>
    </row>
    <row r="2395" spans="1:5" ht="30" customHeight="1">
      <c r="A2395" s="8">
        <v>2392</v>
      </c>
      <c r="B2395" s="8" t="str">
        <f>"38492022042515351338397"</f>
        <v>38492022042515351338397</v>
      </c>
      <c r="C2395" s="8" t="s">
        <v>21</v>
      </c>
      <c r="D2395" s="8" t="str">
        <f>"刘依敏"</f>
        <v>刘依敏</v>
      </c>
      <c r="E2395" s="8" t="str">
        <f t="shared" si="390"/>
        <v>女</v>
      </c>
    </row>
    <row r="2396" spans="1:5" ht="30" customHeight="1">
      <c r="A2396" s="8">
        <v>2393</v>
      </c>
      <c r="B2396" s="8" t="str">
        <f>"38492022042515370638400"</f>
        <v>38492022042515370638400</v>
      </c>
      <c r="C2396" s="8" t="s">
        <v>21</v>
      </c>
      <c r="D2396" s="8" t="str">
        <f>"陈小丽"</f>
        <v>陈小丽</v>
      </c>
      <c r="E2396" s="8" t="str">
        <f t="shared" si="390"/>
        <v>女</v>
      </c>
    </row>
    <row r="2397" spans="1:5" ht="30" customHeight="1">
      <c r="A2397" s="8">
        <v>2394</v>
      </c>
      <c r="B2397" s="8" t="str">
        <f>"38492022042515395038407"</f>
        <v>38492022042515395038407</v>
      </c>
      <c r="C2397" s="8" t="s">
        <v>21</v>
      </c>
      <c r="D2397" s="8" t="str">
        <f>"何杏"</f>
        <v>何杏</v>
      </c>
      <c r="E2397" s="8" t="str">
        <f t="shared" si="390"/>
        <v>女</v>
      </c>
    </row>
    <row r="2398" spans="1:5" ht="30" customHeight="1">
      <c r="A2398" s="8">
        <v>2395</v>
      </c>
      <c r="B2398" s="8" t="str">
        <f>"38492022042515565938444"</f>
        <v>38492022042515565938444</v>
      </c>
      <c r="C2398" s="8" t="s">
        <v>21</v>
      </c>
      <c r="D2398" s="8" t="str">
        <f>"胡春梦"</f>
        <v>胡春梦</v>
      </c>
      <c r="E2398" s="8" t="str">
        <f t="shared" si="390"/>
        <v>女</v>
      </c>
    </row>
    <row r="2399" spans="1:5" ht="30" customHeight="1">
      <c r="A2399" s="8">
        <v>2396</v>
      </c>
      <c r="B2399" s="8" t="str">
        <f>"38492022042516050038455"</f>
        <v>38492022042516050038455</v>
      </c>
      <c r="C2399" s="8" t="s">
        <v>21</v>
      </c>
      <c r="D2399" s="8" t="str">
        <f>"郑进琼"</f>
        <v>郑进琼</v>
      </c>
      <c r="E2399" s="8" t="str">
        <f aca="true" t="shared" si="391" ref="E2399:E2402">"男"</f>
        <v>男</v>
      </c>
    </row>
    <row r="2400" spans="1:5" ht="30" customHeight="1">
      <c r="A2400" s="8">
        <v>2397</v>
      </c>
      <c r="B2400" s="8" t="str">
        <f>"38492022042516063638457"</f>
        <v>38492022042516063638457</v>
      </c>
      <c r="C2400" s="8" t="s">
        <v>21</v>
      </c>
      <c r="D2400" s="8" t="str">
        <f>"张菲菲"</f>
        <v>张菲菲</v>
      </c>
      <c r="E2400" s="8" t="str">
        <f aca="true" t="shared" si="392" ref="E2400:E2406">"女"</f>
        <v>女</v>
      </c>
    </row>
    <row r="2401" spans="1:5" ht="30" customHeight="1">
      <c r="A2401" s="8">
        <v>2398</v>
      </c>
      <c r="B2401" s="8" t="str">
        <f>"38492022042516063938458"</f>
        <v>38492022042516063938458</v>
      </c>
      <c r="C2401" s="8" t="s">
        <v>21</v>
      </c>
      <c r="D2401" s="8" t="str">
        <f>"杜齐重"</f>
        <v>杜齐重</v>
      </c>
      <c r="E2401" s="8" t="str">
        <f t="shared" si="391"/>
        <v>男</v>
      </c>
    </row>
    <row r="2402" spans="1:5" ht="30" customHeight="1">
      <c r="A2402" s="8">
        <v>2399</v>
      </c>
      <c r="B2402" s="8" t="str">
        <f>"38492022042516180438474"</f>
        <v>38492022042516180438474</v>
      </c>
      <c r="C2402" s="8" t="s">
        <v>21</v>
      </c>
      <c r="D2402" s="8" t="str">
        <f>"吴有亮"</f>
        <v>吴有亮</v>
      </c>
      <c r="E2402" s="8" t="str">
        <f t="shared" si="391"/>
        <v>男</v>
      </c>
    </row>
    <row r="2403" spans="1:5" ht="30" customHeight="1">
      <c r="A2403" s="8">
        <v>2400</v>
      </c>
      <c r="B2403" s="8" t="str">
        <f>"38492022042516231838479"</f>
        <v>38492022042516231838479</v>
      </c>
      <c r="C2403" s="8" t="s">
        <v>21</v>
      </c>
      <c r="D2403" s="8" t="str">
        <f>"王可茜"</f>
        <v>王可茜</v>
      </c>
      <c r="E2403" s="8" t="str">
        <f t="shared" si="392"/>
        <v>女</v>
      </c>
    </row>
    <row r="2404" spans="1:5" ht="30" customHeight="1">
      <c r="A2404" s="8">
        <v>2401</v>
      </c>
      <c r="B2404" s="8" t="str">
        <f>"38492022042516242538480"</f>
        <v>38492022042516242538480</v>
      </c>
      <c r="C2404" s="8" t="s">
        <v>21</v>
      </c>
      <c r="D2404" s="8" t="str">
        <f>"文俊瑛"</f>
        <v>文俊瑛</v>
      </c>
      <c r="E2404" s="8" t="str">
        <f t="shared" si="392"/>
        <v>女</v>
      </c>
    </row>
    <row r="2405" spans="1:5" ht="30" customHeight="1">
      <c r="A2405" s="8">
        <v>2402</v>
      </c>
      <c r="B2405" s="8" t="str">
        <f>"38492022042516312638485"</f>
        <v>38492022042516312638485</v>
      </c>
      <c r="C2405" s="8" t="s">
        <v>21</v>
      </c>
      <c r="D2405" s="8" t="str">
        <f>"符方媚"</f>
        <v>符方媚</v>
      </c>
      <c r="E2405" s="8" t="str">
        <f t="shared" si="392"/>
        <v>女</v>
      </c>
    </row>
    <row r="2406" spans="1:5" ht="30" customHeight="1">
      <c r="A2406" s="8">
        <v>2403</v>
      </c>
      <c r="B2406" s="8" t="str">
        <f>"38492022042516320638486"</f>
        <v>38492022042516320638486</v>
      </c>
      <c r="C2406" s="8" t="s">
        <v>21</v>
      </c>
      <c r="D2406" s="8" t="str">
        <f>"马亚妹"</f>
        <v>马亚妹</v>
      </c>
      <c r="E2406" s="8" t="str">
        <f t="shared" si="392"/>
        <v>女</v>
      </c>
    </row>
    <row r="2407" spans="1:5" ht="30" customHeight="1">
      <c r="A2407" s="8">
        <v>2404</v>
      </c>
      <c r="B2407" s="8" t="str">
        <f>"38492022042516400938496"</f>
        <v>38492022042516400938496</v>
      </c>
      <c r="C2407" s="8" t="s">
        <v>21</v>
      </c>
      <c r="D2407" s="8" t="str">
        <f>"温文龙"</f>
        <v>温文龙</v>
      </c>
      <c r="E2407" s="8" t="str">
        <f aca="true" t="shared" si="393" ref="E2407:E2410">"男"</f>
        <v>男</v>
      </c>
    </row>
    <row r="2408" spans="1:5" ht="30" customHeight="1">
      <c r="A2408" s="8">
        <v>2405</v>
      </c>
      <c r="B2408" s="8" t="str">
        <f>"38492022042516473238508"</f>
        <v>38492022042516473238508</v>
      </c>
      <c r="C2408" s="8" t="s">
        <v>21</v>
      </c>
      <c r="D2408" s="8" t="str">
        <f>"吉才伦"</f>
        <v>吉才伦</v>
      </c>
      <c r="E2408" s="8" t="str">
        <f aca="true" t="shared" si="394" ref="E2408:E2412">"女"</f>
        <v>女</v>
      </c>
    </row>
    <row r="2409" spans="1:5" ht="30" customHeight="1">
      <c r="A2409" s="8">
        <v>2406</v>
      </c>
      <c r="B2409" s="8" t="str">
        <f>"38492022042516474638509"</f>
        <v>38492022042516474638509</v>
      </c>
      <c r="C2409" s="8" t="s">
        <v>21</v>
      </c>
      <c r="D2409" s="8" t="str">
        <f>"羊强进"</f>
        <v>羊强进</v>
      </c>
      <c r="E2409" s="8" t="str">
        <f t="shared" si="393"/>
        <v>男</v>
      </c>
    </row>
    <row r="2410" spans="1:5" ht="30" customHeight="1">
      <c r="A2410" s="8">
        <v>2407</v>
      </c>
      <c r="B2410" s="8" t="str">
        <f>"38492022042516483538511"</f>
        <v>38492022042516483538511</v>
      </c>
      <c r="C2410" s="8" t="s">
        <v>21</v>
      </c>
      <c r="D2410" s="8" t="str">
        <f>"王咸程"</f>
        <v>王咸程</v>
      </c>
      <c r="E2410" s="8" t="str">
        <f t="shared" si="393"/>
        <v>男</v>
      </c>
    </row>
    <row r="2411" spans="1:5" ht="30" customHeight="1">
      <c r="A2411" s="8">
        <v>2408</v>
      </c>
      <c r="B2411" s="8" t="str">
        <f>"38492022042516512838519"</f>
        <v>38492022042516512838519</v>
      </c>
      <c r="C2411" s="8" t="s">
        <v>21</v>
      </c>
      <c r="D2411" s="8" t="str">
        <f>"王珊"</f>
        <v>王珊</v>
      </c>
      <c r="E2411" s="8" t="str">
        <f t="shared" si="394"/>
        <v>女</v>
      </c>
    </row>
    <row r="2412" spans="1:5" ht="30" customHeight="1">
      <c r="A2412" s="8">
        <v>2409</v>
      </c>
      <c r="B2412" s="8" t="str">
        <f>"38492022042516573138532"</f>
        <v>38492022042516573138532</v>
      </c>
      <c r="C2412" s="8" t="s">
        <v>21</v>
      </c>
      <c r="D2412" s="8" t="str">
        <f>"韩怡丹"</f>
        <v>韩怡丹</v>
      </c>
      <c r="E2412" s="8" t="str">
        <f t="shared" si="394"/>
        <v>女</v>
      </c>
    </row>
    <row r="2413" spans="1:5" ht="30" customHeight="1">
      <c r="A2413" s="8">
        <v>2410</v>
      </c>
      <c r="B2413" s="8" t="str">
        <f>"38492022042517063238545"</f>
        <v>38492022042517063238545</v>
      </c>
      <c r="C2413" s="8" t="s">
        <v>21</v>
      </c>
      <c r="D2413" s="8" t="str">
        <f>"陈华冬"</f>
        <v>陈华冬</v>
      </c>
      <c r="E2413" s="8" t="str">
        <f aca="true" t="shared" si="395" ref="E2413:E2417">"男"</f>
        <v>男</v>
      </c>
    </row>
    <row r="2414" spans="1:5" ht="30" customHeight="1">
      <c r="A2414" s="8">
        <v>2411</v>
      </c>
      <c r="B2414" s="8" t="str">
        <f>"38492022042517081538549"</f>
        <v>38492022042517081538549</v>
      </c>
      <c r="C2414" s="8" t="s">
        <v>21</v>
      </c>
      <c r="D2414" s="8" t="str">
        <f>"卢银叶"</f>
        <v>卢银叶</v>
      </c>
      <c r="E2414" s="8" t="str">
        <f aca="true" t="shared" si="396" ref="E2414:E2418">"女"</f>
        <v>女</v>
      </c>
    </row>
    <row r="2415" spans="1:5" ht="30" customHeight="1">
      <c r="A2415" s="8">
        <v>2412</v>
      </c>
      <c r="B2415" s="8" t="str">
        <f>"38492022042517184538567"</f>
        <v>38492022042517184538567</v>
      </c>
      <c r="C2415" s="8" t="s">
        <v>21</v>
      </c>
      <c r="D2415" s="8" t="str">
        <f>"韩宇"</f>
        <v>韩宇</v>
      </c>
      <c r="E2415" s="8" t="str">
        <f t="shared" si="395"/>
        <v>男</v>
      </c>
    </row>
    <row r="2416" spans="1:5" ht="30" customHeight="1">
      <c r="A2416" s="8">
        <v>2413</v>
      </c>
      <c r="B2416" s="8" t="str">
        <f>"38492022042517225938574"</f>
        <v>38492022042517225938574</v>
      </c>
      <c r="C2416" s="8" t="s">
        <v>21</v>
      </c>
      <c r="D2416" s="8" t="str">
        <f>"覃蓝玉"</f>
        <v>覃蓝玉</v>
      </c>
      <c r="E2416" s="8" t="str">
        <f t="shared" si="396"/>
        <v>女</v>
      </c>
    </row>
    <row r="2417" spans="1:5" ht="30" customHeight="1">
      <c r="A2417" s="8">
        <v>2414</v>
      </c>
      <c r="B2417" s="8" t="str">
        <f>"38492022042517415238593"</f>
        <v>38492022042517415238593</v>
      </c>
      <c r="C2417" s="8" t="s">
        <v>21</v>
      </c>
      <c r="D2417" s="8" t="str">
        <f>"方其迪"</f>
        <v>方其迪</v>
      </c>
      <c r="E2417" s="8" t="str">
        <f t="shared" si="395"/>
        <v>男</v>
      </c>
    </row>
    <row r="2418" spans="1:5" ht="30" customHeight="1">
      <c r="A2418" s="8">
        <v>2415</v>
      </c>
      <c r="B2418" s="8" t="str">
        <f>"38492022042517435238596"</f>
        <v>38492022042517435238596</v>
      </c>
      <c r="C2418" s="8" t="s">
        <v>21</v>
      </c>
      <c r="D2418" s="8" t="str">
        <f>"吴启娥"</f>
        <v>吴启娥</v>
      </c>
      <c r="E2418" s="8" t="str">
        <f t="shared" si="396"/>
        <v>女</v>
      </c>
    </row>
    <row r="2419" spans="1:5" ht="30" customHeight="1">
      <c r="A2419" s="8">
        <v>2416</v>
      </c>
      <c r="B2419" s="8" t="str">
        <f>"38492022042518124738625"</f>
        <v>38492022042518124738625</v>
      </c>
      <c r="C2419" s="8" t="s">
        <v>21</v>
      </c>
      <c r="D2419" s="8" t="str">
        <f>"曹康捷"</f>
        <v>曹康捷</v>
      </c>
      <c r="E2419" s="8" t="str">
        <f>"男"</f>
        <v>男</v>
      </c>
    </row>
    <row r="2420" spans="1:5" ht="30" customHeight="1">
      <c r="A2420" s="8">
        <v>2417</v>
      </c>
      <c r="B2420" s="8" t="str">
        <f>"38492022042518211638636"</f>
        <v>38492022042518211638636</v>
      </c>
      <c r="C2420" s="8" t="s">
        <v>21</v>
      </c>
      <c r="D2420" s="8" t="str">
        <f>"李香香"</f>
        <v>李香香</v>
      </c>
      <c r="E2420" s="8" t="str">
        <f aca="true" t="shared" si="397" ref="E2420:E2422">"女"</f>
        <v>女</v>
      </c>
    </row>
    <row r="2421" spans="1:5" ht="30" customHeight="1">
      <c r="A2421" s="8">
        <v>2418</v>
      </c>
      <c r="B2421" s="8" t="str">
        <f>"38492022042518214638638"</f>
        <v>38492022042518214638638</v>
      </c>
      <c r="C2421" s="8" t="s">
        <v>21</v>
      </c>
      <c r="D2421" s="8" t="str">
        <f>"王榕"</f>
        <v>王榕</v>
      </c>
      <c r="E2421" s="8" t="str">
        <f t="shared" si="397"/>
        <v>女</v>
      </c>
    </row>
    <row r="2422" spans="1:5" ht="30" customHeight="1">
      <c r="A2422" s="8">
        <v>2419</v>
      </c>
      <c r="B2422" s="8" t="str">
        <f>"38492022042518271138643"</f>
        <v>38492022042518271138643</v>
      </c>
      <c r="C2422" s="8" t="s">
        <v>21</v>
      </c>
      <c r="D2422" s="8" t="str">
        <f>"曾庆莲"</f>
        <v>曾庆莲</v>
      </c>
      <c r="E2422" s="8" t="str">
        <f t="shared" si="397"/>
        <v>女</v>
      </c>
    </row>
    <row r="2423" spans="1:5" ht="30" customHeight="1">
      <c r="A2423" s="8">
        <v>2420</v>
      </c>
      <c r="B2423" s="8" t="str">
        <f>"38492022042518325538649"</f>
        <v>38492022042518325538649</v>
      </c>
      <c r="C2423" s="8" t="s">
        <v>21</v>
      </c>
      <c r="D2423" s="8" t="str">
        <f>"黄兴诚"</f>
        <v>黄兴诚</v>
      </c>
      <c r="E2423" s="8" t="str">
        <f>"男"</f>
        <v>男</v>
      </c>
    </row>
    <row r="2424" spans="1:5" ht="30" customHeight="1">
      <c r="A2424" s="8">
        <v>2421</v>
      </c>
      <c r="B2424" s="8" t="str">
        <f>"38492022042518373438655"</f>
        <v>38492022042518373438655</v>
      </c>
      <c r="C2424" s="8" t="s">
        <v>21</v>
      </c>
      <c r="D2424" s="8" t="str">
        <f>"吴海梅"</f>
        <v>吴海梅</v>
      </c>
      <c r="E2424" s="8" t="str">
        <f aca="true" t="shared" si="398" ref="E2424:E2428">"女"</f>
        <v>女</v>
      </c>
    </row>
    <row r="2425" spans="1:5" ht="30" customHeight="1">
      <c r="A2425" s="8">
        <v>2422</v>
      </c>
      <c r="B2425" s="8" t="str">
        <f>"38492022042518555038675"</f>
        <v>38492022042518555038675</v>
      </c>
      <c r="C2425" s="8" t="s">
        <v>21</v>
      </c>
      <c r="D2425" s="8" t="str">
        <f>"王高宇"</f>
        <v>王高宇</v>
      </c>
      <c r="E2425" s="8" t="str">
        <f>"男"</f>
        <v>男</v>
      </c>
    </row>
    <row r="2426" spans="1:5" ht="30" customHeight="1">
      <c r="A2426" s="8">
        <v>2423</v>
      </c>
      <c r="B2426" s="8" t="str">
        <f>"38492022042519014938683"</f>
        <v>38492022042519014938683</v>
      </c>
      <c r="C2426" s="8" t="s">
        <v>21</v>
      </c>
      <c r="D2426" s="8" t="str">
        <f>"周洁"</f>
        <v>周洁</v>
      </c>
      <c r="E2426" s="8" t="str">
        <f t="shared" si="398"/>
        <v>女</v>
      </c>
    </row>
    <row r="2427" spans="1:5" ht="30" customHeight="1">
      <c r="A2427" s="8">
        <v>2424</v>
      </c>
      <c r="B2427" s="8" t="str">
        <f>"38492022042519022838686"</f>
        <v>38492022042519022838686</v>
      </c>
      <c r="C2427" s="8" t="s">
        <v>21</v>
      </c>
      <c r="D2427" s="8" t="str">
        <f>"吴水明"</f>
        <v>吴水明</v>
      </c>
      <c r="E2427" s="8" t="str">
        <f t="shared" si="398"/>
        <v>女</v>
      </c>
    </row>
    <row r="2428" spans="1:5" ht="30" customHeight="1">
      <c r="A2428" s="8">
        <v>2425</v>
      </c>
      <c r="B2428" s="8" t="str">
        <f>"38492022042519043738692"</f>
        <v>38492022042519043738692</v>
      </c>
      <c r="C2428" s="8" t="s">
        <v>21</v>
      </c>
      <c r="D2428" s="8" t="str">
        <f>"谢桂妃"</f>
        <v>谢桂妃</v>
      </c>
      <c r="E2428" s="8" t="str">
        <f t="shared" si="398"/>
        <v>女</v>
      </c>
    </row>
    <row r="2429" spans="1:5" ht="30" customHeight="1">
      <c r="A2429" s="8">
        <v>2426</v>
      </c>
      <c r="B2429" s="8" t="str">
        <f>"38492022042519091738697"</f>
        <v>38492022042519091738697</v>
      </c>
      <c r="C2429" s="8" t="s">
        <v>21</v>
      </c>
      <c r="D2429" s="8" t="str">
        <f>"陈传鸿"</f>
        <v>陈传鸿</v>
      </c>
      <c r="E2429" s="8" t="str">
        <f>"男"</f>
        <v>男</v>
      </c>
    </row>
    <row r="2430" spans="1:5" ht="30" customHeight="1">
      <c r="A2430" s="8">
        <v>2427</v>
      </c>
      <c r="B2430" s="8" t="str">
        <f>"38492022042519404738720"</f>
        <v>38492022042519404738720</v>
      </c>
      <c r="C2430" s="8" t="s">
        <v>21</v>
      </c>
      <c r="D2430" s="8" t="str">
        <f>"邱慧茹"</f>
        <v>邱慧茹</v>
      </c>
      <c r="E2430" s="8" t="str">
        <f aca="true" t="shared" si="399" ref="E2430:E2435">"女"</f>
        <v>女</v>
      </c>
    </row>
    <row r="2431" spans="1:5" ht="30" customHeight="1">
      <c r="A2431" s="8">
        <v>2428</v>
      </c>
      <c r="B2431" s="8" t="str">
        <f>"38492022042519475138727"</f>
        <v>38492022042519475138727</v>
      </c>
      <c r="C2431" s="8" t="s">
        <v>21</v>
      </c>
      <c r="D2431" s="8" t="str">
        <f>"陈嘉康"</f>
        <v>陈嘉康</v>
      </c>
      <c r="E2431" s="8" t="str">
        <f>"男"</f>
        <v>男</v>
      </c>
    </row>
    <row r="2432" spans="1:5" ht="30" customHeight="1">
      <c r="A2432" s="8">
        <v>2429</v>
      </c>
      <c r="B2432" s="8" t="str">
        <f>"38492022042519524938731"</f>
        <v>38492022042519524938731</v>
      </c>
      <c r="C2432" s="8" t="s">
        <v>21</v>
      </c>
      <c r="D2432" s="8" t="str">
        <f>"符方茹"</f>
        <v>符方茹</v>
      </c>
      <c r="E2432" s="8" t="str">
        <f t="shared" si="399"/>
        <v>女</v>
      </c>
    </row>
    <row r="2433" spans="1:5" ht="30" customHeight="1">
      <c r="A2433" s="8">
        <v>2430</v>
      </c>
      <c r="B2433" s="8" t="str">
        <f>"38492022042519571738735"</f>
        <v>38492022042519571738735</v>
      </c>
      <c r="C2433" s="8" t="s">
        <v>21</v>
      </c>
      <c r="D2433" s="8" t="str">
        <f>"廖丽妹"</f>
        <v>廖丽妹</v>
      </c>
      <c r="E2433" s="8" t="str">
        <f t="shared" si="399"/>
        <v>女</v>
      </c>
    </row>
    <row r="2434" spans="1:5" ht="30" customHeight="1">
      <c r="A2434" s="8">
        <v>2431</v>
      </c>
      <c r="B2434" s="8" t="str">
        <f>"38492022042520122038753"</f>
        <v>38492022042520122038753</v>
      </c>
      <c r="C2434" s="8" t="s">
        <v>21</v>
      </c>
      <c r="D2434" s="8" t="str">
        <f>"陈飞"</f>
        <v>陈飞</v>
      </c>
      <c r="E2434" s="8" t="str">
        <f t="shared" si="399"/>
        <v>女</v>
      </c>
    </row>
    <row r="2435" spans="1:5" ht="30" customHeight="1">
      <c r="A2435" s="8">
        <v>2432</v>
      </c>
      <c r="B2435" s="8" t="str">
        <f>"38492022042520122538754"</f>
        <v>38492022042520122538754</v>
      </c>
      <c r="C2435" s="8" t="s">
        <v>21</v>
      </c>
      <c r="D2435" s="8" t="str">
        <f>"何华春"</f>
        <v>何华春</v>
      </c>
      <c r="E2435" s="8" t="str">
        <f t="shared" si="399"/>
        <v>女</v>
      </c>
    </row>
    <row r="2436" spans="1:5" ht="30" customHeight="1">
      <c r="A2436" s="8">
        <v>2433</v>
      </c>
      <c r="B2436" s="8" t="str">
        <f>"38492022042520131738755"</f>
        <v>38492022042520131738755</v>
      </c>
      <c r="C2436" s="8" t="s">
        <v>21</v>
      </c>
      <c r="D2436" s="8" t="str">
        <f>"曾学然"</f>
        <v>曾学然</v>
      </c>
      <c r="E2436" s="8" t="str">
        <f aca="true" t="shared" si="400" ref="E2436:E2442">"男"</f>
        <v>男</v>
      </c>
    </row>
    <row r="2437" spans="1:5" ht="30" customHeight="1">
      <c r="A2437" s="8">
        <v>2434</v>
      </c>
      <c r="B2437" s="8" t="str">
        <f>"38492022042520182138767"</f>
        <v>38492022042520182138767</v>
      </c>
      <c r="C2437" s="8" t="s">
        <v>21</v>
      </c>
      <c r="D2437" s="8" t="str">
        <f>"何琼尾"</f>
        <v>何琼尾</v>
      </c>
      <c r="E2437" s="8" t="str">
        <f aca="true" t="shared" si="401" ref="E2437:E2440">"女"</f>
        <v>女</v>
      </c>
    </row>
    <row r="2438" spans="1:5" ht="30" customHeight="1">
      <c r="A2438" s="8">
        <v>2435</v>
      </c>
      <c r="B2438" s="8" t="str">
        <f>"38492022042520204038771"</f>
        <v>38492022042520204038771</v>
      </c>
      <c r="C2438" s="8" t="s">
        <v>21</v>
      </c>
      <c r="D2438" s="8" t="str">
        <f>"成娇"</f>
        <v>成娇</v>
      </c>
      <c r="E2438" s="8" t="str">
        <f t="shared" si="401"/>
        <v>女</v>
      </c>
    </row>
    <row r="2439" spans="1:5" ht="30" customHeight="1">
      <c r="A2439" s="8">
        <v>2436</v>
      </c>
      <c r="B2439" s="8" t="str">
        <f>"38492022042520275138773"</f>
        <v>38492022042520275138773</v>
      </c>
      <c r="C2439" s="8" t="s">
        <v>21</v>
      </c>
      <c r="D2439" s="8" t="str">
        <f>"叶彬彬"</f>
        <v>叶彬彬</v>
      </c>
      <c r="E2439" s="8" t="str">
        <f t="shared" si="400"/>
        <v>男</v>
      </c>
    </row>
    <row r="2440" spans="1:5" ht="30" customHeight="1">
      <c r="A2440" s="8">
        <v>2437</v>
      </c>
      <c r="B2440" s="8" t="str">
        <f>"38492022042520301338779"</f>
        <v>38492022042520301338779</v>
      </c>
      <c r="C2440" s="8" t="s">
        <v>21</v>
      </c>
      <c r="D2440" s="8" t="str">
        <f>"吴香莹"</f>
        <v>吴香莹</v>
      </c>
      <c r="E2440" s="8" t="str">
        <f t="shared" si="401"/>
        <v>女</v>
      </c>
    </row>
    <row r="2441" spans="1:5" ht="30" customHeight="1">
      <c r="A2441" s="8">
        <v>2438</v>
      </c>
      <c r="B2441" s="8" t="str">
        <f>"38492022042520321538781"</f>
        <v>38492022042520321538781</v>
      </c>
      <c r="C2441" s="8" t="s">
        <v>21</v>
      </c>
      <c r="D2441" s="8" t="str">
        <f>"郑照坚"</f>
        <v>郑照坚</v>
      </c>
      <c r="E2441" s="8" t="str">
        <f t="shared" si="400"/>
        <v>男</v>
      </c>
    </row>
    <row r="2442" spans="1:5" ht="30" customHeight="1">
      <c r="A2442" s="8">
        <v>2439</v>
      </c>
      <c r="B2442" s="8" t="str">
        <f>"38492022042520370838789"</f>
        <v>38492022042520370838789</v>
      </c>
      <c r="C2442" s="8" t="s">
        <v>21</v>
      </c>
      <c r="D2442" s="8" t="str">
        <f>"吕腾腾"</f>
        <v>吕腾腾</v>
      </c>
      <c r="E2442" s="8" t="str">
        <f t="shared" si="400"/>
        <v>男</v>
      </c>
    </row>
    <row r="2443" spans="1:5" ht="30" customHeight="1">
      <c r="A2443" s="8">
        <v>2440</v>
      </c>
      <c r="B2443" s="8" t="str">
        <f>"38492022042520485538804"</f>
        <v>38492022042520485538804</v>
      </c>
      <c r="C2443" s="8" t="s">
        <v>21</v>
      </c>
      <c r="D2443" s="8" t="str">
        <f>"龙柳霜"</f>
        <v>龙柳霜</v>
      </c>
      <c r="E2443" s="8" t="str">
        <f aca="true" t="shared" si="402" ref="E2443:E2450">"女"</f>
        <v>女</v>
      </c>
    </row>
    <row r="2444" spans="1:5" ht="30" customHeight="1">
      <c r="A2444" s="8">
        <v>2441</v>
      </c>
      <c r="B2444" s="8" t="str">
        <f>"38492022042520504838809"</f>
        <v>38492022042520504838809</v>
      </c>
      <c r="C2444" s="8" t="s">
        <v>21</v>
      </c>
      <c r="D2444" s="8" t="str">
        <f>"王建良"</f>
        <v>王建良</v>
      </c>
      <c r="E2444" s="8" t="str">
        <f>"男"</f>
        <v>男</v>
      </c>
    </row>
    <row r="2445" spans="1:5" ht="30" customHeight="1">
      <c r="A2445" s="8">
        <v>2442</v>
      </c>
      <c r="B2445" s="8" t="str">
        <f>"38492022042520582438824"</f>
        <v>38492022042520582438824</v>
      </c>
      <c r="C2445" s="8" t="s">
        <v>21</v>
      </c>
      <c r="D2445" s="8" t="str">
        <f>"林小格"</f>
        <v>林小格</v>
      </c>
      <c r="E2445" s="8" t="str">
        <f t="shared" si="402"/>
        <v>女</v>
      </c>
    </row>
    <row r="2446" spans="1:5" ht="30" customHeight="1">
      <c r="A2446" s="8">
        <v>2443</v>
      </c>
      <c r="B2446" s="8" t="str">
        <f>"38492022042521002038827"</f>
        <v>38492022042521002038827</v>
      </c>
      <c r="C2446" s="8" t="s">
        <v>21</v>
      </c>
      <c r="D2446" s="8" t="str">
        <f>"薛本儒"</f>
        <v>薛本儒</v>
      </c>
      <c r="E2446" s="8" t="str">
        <f>"男"</f>
        <v>男</v>
      </c>
    </row>
    <row r="2447" spans="1:5" ht="30" customHeight="1">
      <c r="A2447" s="8">
        <v>2444</v>
      </c>
      <c r="B2447" s="8" t="str">
        <f>"38492022042521294938854"</f>
        <v>38492022042521294938854</v>
      </c>
      <c r="C2447" s="8" t="s">
        <v>21</v>
      </c>
      <c r="D2447" s="8" t="str">
        <f>"李琳"</f>
        <v>李琳</v>
      </c>
      <c r="E2447" s="8" t="str">
        <f t="shared" si="402"/>
        <v>女</v>
      </c>
    </row>
    <row r="2448" spans="1:5" ht="30" customHeight="1">
      <c r="A2448" s="8">
        <v>2445</v>
      </c>
      <c r="B2448" s="8" t="str">
        <f>"38492022042521343538867"</f>
        <v>38492022042521343538867</v>
      </c>
      <c r="C2448" s="8" t="s">
        <v>21</v>
      </c>
      <c r="D2448" s="8" t="str">
        <f>"黄彩柳"</f>
        <v>黄彩柳</v>
      </c>
      <c r="E2448" s="8" t="str">
        <f t="shared" si="402"/>
        <v>女</v>
      </c>
    </row>
    <row r="2449" spans="1:5" ht="30" customHeight="1">
      <c r="A2449" s="8">
        <v>2446</v>
      </c>
      <c r="B2449" s="8" t="str">
        <f>"38492022042521352938869"</f>
        <v>38492022042521352938869</v>
      </c>
      <c r="C2449" s="8" t="s">
        <v>21</v>
      </c>
      <c r="D2449" s="8" t="str">
        <f>"韦小念"</f>
        <v>韦小念</v>
      </c>
      <c r="E2449" s="8" t="str">
        <f t="shared" si="402"/>
        <v>女</v>
      </c>
    </row>
    <row r="2450" spans="1:5" ht="30" customHeight="1">
      <c r="A2450" s="8">
        <v>2447</v>
      </c>
      <c r="B2450" s="8" t="str">
        <f>"38492022042521412138881"</f>
        <v>38492022042521412138881</v>
      </c>
      <c r="C2450" s="8" t="s">
        <v>21</v>
      </c>
      <c r="D2450" s="8" t="str">
        <f>"王衍霞"</f>
        <v>王衍霞</v>
      </c>
      <c r="E2450" s="8" t="str">
        <f t="shared" si="402"/>
        <v>女</v>
      </c>
    </row>
    <row r="2451" spans="1:5" ht="30" customHeight="1">
      <c r="A2451" s="8">
        <v>2448</v>
      </c>
      <c r="B2451" s="8" t="str">
        <f>"38492022042521501738896"</f>
        <v>38492022042521501738896</v>
      </c>
      <c r="C2451" s="8" t="s">
        <v>21</v>
      </c>
      <c r="D2451" s="8" t="str">
        <f>"吴挺毅"</f>
        <v>吴挺毅</v>
      </c>
      <c r="E2451" s="8" t="str">
        <f aca="true" t="shared" si="403" ref="E2451:E2456">"男"</f>
        <v>男</v>
      </c>
    </row>
    <row r="2452" spans="1:5" ht="30" customHeight="1">
      <c r="A2452" s="8">
        <v>2449</v>
      </c>
      <c r="B2452" s="8" t="str">
        <f>"38492022042522084038917"</f>
        <v>38492022042522084038917</v>
      </c>
      <c r="C2452" s="8" t="s">
        <v>21</v>
      </c>
      <c r="D2452" s="8" t="str">
        <f>"刘三达"</f>
        <v>刘三达</v>
      </c>
      <c r="E2452" s="8" t="str">
        <f t="shared" si="403"/>
        <v>男</v>
      </c>
    </row>
    <row r="2453" spans="1:5" ht="30" customHeight="1">
      <c r="A2453" s="8">
        <v>2450</v>
      </c>
      <c r="B2453" s="8" t="str">
        <f>"38492022042522093738920"</f>
        <v>38492022042522093738920</v>
      </c>
      <c r="C2453" s="8" t="s">
        <v>21</v>
      </c>
      <c r="D2453" s="8" t="str">
        <f>"林梦娇"</f>
        <v>林梦娇</v>
      </c>
      <c r="E2453" s="8" t="str">
        <f aca="true" t="shared" si="404" ref="E2453:E2455">"女"</f>
        <v>女</v>
      </c>
    </row>
    <row r="2454" spans="1:5" ht="30" customHeight="1">
      <c r="A2454" s="8">
        <v>2451</v>
      </c>
      <c r="B2454" s="8" t="str">
        <f>"38492022042522124638924"</f>
        <v>38492022042522124638924</v>
      </c>
      <c r="C2454" s="8" t="s">
        <v>21</v>
      </c>
      <c r="D2454" s="8" t="str">
        <f>"颜婉妹"</f>
        <v>颜婉妹</v>
      </c>
      <c r="E2454" s="8" t="str">
        <f t="shared" si="404"/>
        <v>女</v>
      </c>
    </row>
    <row r="2455" spans="1:5" ht="30" customHeight="1">
      <c r="A2455" s="8">
        <v>2452</v>
      </c>
      <c r="B2455" s="8" t="str">
        <f>"38492022042522145238927"</f>
        <v>38492022042522145238927</v>
      </c>
      <c r="C2455" s="8" t="s">
        <v>21</v>
      </c>
      <c r="D2455" s="8" t="str">
        <f>"何奕颖"</f>
        <v>何奕颖</v>
      </c>
      <c r="E2455" s="8" t="str">
        <f t="shared" si="404"/>
        <v>女</v>
      </c>
    </row>
    <row r="2456" spans="1:5" ht="30" customHeight="1">
      <c r="A2456" s="8">
        <v>2453</v>
      </c>
      <c r="B2456" s="8" t="str">
        <f>"38492022042522170538931"</f>
        <v>38492022042522170538931</v>
      </c>
      <c r="C2456" s="8" t="s">
        <v>21</v>
      </c>
      <c r="D2456" s="8" t="str">
        <f>"周豫杰"</f>
        <v>周豫杰</v>
      </c>
      <c r="E2456" s="8" t="str">
        <f t="shared" si="403"/>
        <v>男</v>
      </c>
    </row>
    <row r="2457" spans="1:5" ht="30" customHeight="1">
      <c r="A2457" s="8">
        <v>2454</v>
      </c>
      <c r="B2457" s="8" t="str">
        <f>"38492022042522232638944"</f>
        <v>38492022042522232638944</v>
      </c>
      <c r="C2457" s="8" t="s">
        <v>21</v>
      </c>
      <c r="D2457" s="8" t="str">
        <f>"林艳婷"</f>
        <v>林艳婷</v>
      </c>
      <c r="E2457" s="8" t="str">
        <f aca="true" t="shared" si="405" ref="E2457:E2462">"女"</f>
        <v>女</v>
      </c>
    </row>
    <row r="2458" spans="1:5" ht="30" customHeight="1">
      <c r="A2458" s="8">
        <v>2455</v>
      </c>
      <c r="B2458" s="8" t="str">
        <f>"38492022042522311338954"</f>
        <v>38492022042522311338954</v>
      </c>
      <c r="C2458" s="8" t="s">
        <v>21</v>
      </c>
      <c r="D2458" s="8" t="str">
        <f>"陈益鹏"</f>
        <v>陈益鹏</v>
      </c>
      <c r="E2458" s="8" t="str">
        <f aca="true" t="shared" si="406" ref="E2458:E2461">"男"</f>
        <v>男</v>
      </c>
    </row>
    <row r="2459" spans="1:5" ht="30" customHeight="1">
      <c r="A2459" s="8">
        <v>2456</v>
      </c>
      <c r="B2459" s="8" t="str">
        <f>"38492022042522321438956"</f>
        <v>38492022042522321438956</v>
      </c>
      <c r="C2459" s="8" t="s">
        <v>21</v>
      </c>
      <c r="D2459" s="8" t="str">
        <f>"李定桃"</f>
        <v>李定桃</v>
      </c>
      <c r="E2459" s="8" t="str">
        <f t="shared" si="405"/>
        <v>女</v>
      </c>
    </row>
    <row r="2460" spans="1:5" ht="30" customHeight="1">
      <c r="A2460" s="8">
        <v>2457</v>
      </c>
      <c r="B2460" s="8" t="str">
        <f>"38492022042522364638963"</f>
        <v>38492022042522364638963</v>
      </c>
      <c r="C2460" s="8" t="s">
        <v>21</v>
      </c>
      <c r="D2460" s="8" t="str">
        <f>"陈彬"</f>
        <v>陈彬</v>
      </c>
      <c r="E2460" s="8" t="str">
        <f t="shared" si="406"/>
        <v>男</v>
      </c>
    </row>
    <row r="2461" spans="1:5" ht="30" customHeight="1">
      <c r="A2461" s="8">
        <v>2458</v>
      </c>
      <c r="B2461" s="8" t="str">
        <f>"38492022042522401038967"</f>
        <v>38492022042522401038967</v>
      </c>
      <c r="C2461" s="8" t="s">
        <v>21</v>
      </c>
      <c r="D2461" s="8" t="str">
        <f>"蒲健鹏"</f>
        <v>蒲健鹏</v>
      </c>
      <c r="E2461" s="8" t="str">
        <f t="shared" si="406"/>
        <v>男</v>
      </c>
    </row>
    <row r="2462" spans="1:5" ht="30" customHeight="1">
      <c r="A2462" s="8">
        <v>2459</v>
      </c>
      <c r="B2462" s="8" t="str">
        <f>"38492022042522401738968"</f>
        <v>38492022042522401738968</v>
      </c>
      <c r="C2462" s="8" t="s">
        <v>21</v>
      </c>
      <c r="D2462" s="8" t="str">
        <f>"王瑞花"</f>
        <v>王瑞花</v>
      </c>
      <c r="E2462" s="8" t="str">
        <f t="shared" si="405"/>
        <v>女</v>
      </c>
    </row>
    <row r="2463" spans="1:5" ht="30" customHeight="1">
      <c r="A2463" s="8">
        <v>2460</v>
      </c>
      <c r="B2463" s="8" t="str">
        <f>"38492022042522475738976"</f>
        <v>38492022042522475738976</v>
      </c>
      <c r="C2463" s="8" t="s">
        <v>21</v>
      </c>
      <c r="D2463" s="8" t="str">
        <f>"王赞章"</f>
        <v>王赞章</v>
      </c>
      <c r="E2463" s="8" t="str">
        <f aca="true" t="shared" si="407" ref="E2463:E2468">"男"</f>
        <v>男</v>
      </c>
    </row>
    <row r="2464" spans="1:5" ht="30" customHeight="1">
      <c r="A2464" s="8">
        <v>2461</v>
      </c>
      <c r="B2464" s="8" t="str">
        <f>"38492022042522485938978"</f>
        <v>38492022042522485938978</v>
      </c>
      <c r="C2464" s="8" t="s">
        <v>21</v>
      </c>
      <c r="D2464" s="8" t="str">
        <f>"陈柳"</f>
        <v>陈柳</v>
      </c>
      <c r="E2464" s="8" t="str">
        <f aca="true" t="shared" si="408" ref="E2464:E2467">"女"</f>
        <v>女</v>
      </c>
    </row>
    <row r="2465" spans="1:5" ht="30" customHeight="1">
      <c r="A2465" s="8">
        <v>2462</v>
      </c>
      <c r="B2465" s="8" t="str">
        <f>"38492022042522510138982"</f>
        <v>38492022042522510138982</v>
      </c>
      <c r="C2465" s="8" t="s">
        <v>21</v>
      </c>
      <c r="D2465" s="8" t="str">
        <f>"李华琛"</f>
        <v>李华琛</v>
      </c>
      <c r="E2465" s="8" t="str">
        <f t="shared" si="407"/>
        <v>男</v>
      </c>
    </row>
    <row r="2466" spans="1:5" ht="30" customHeight="1">
      <c r="A2466" s="8">
        <v>2463</v>
      </c>
      <c r="B2466" s="8" t="str">
        <f>"38492022042523064439005"</f>
        <v>38492022042523064439005</v>
      </c>
      <c r="C2466" s="8" t="s">
        <v>21</v>
      </c>
      <c r="D2466" s="8" t="str">
        <f>"邓京瑶"</f>
        <v>邓京瑶</v>
      </c>
      <c r="E2466" s="8" t="str">
        <f t="shared" si="408"/>
        <v>女</v>
      </c>
    </row>
    <row r="2467" spans="1:5" ht="30" customHeight="1">
      <c r="A2467" s="8">
        <v>2464</v>
      </c>
      <c r="B2467" s="8" t="str">
        <f>"38492022042523112239009"</f>
        <v>38492022042523112239009</v>
      </c>
      <c r="C2467" s="8" t="s">
        <v>21</v>
      </c>
      <c r="D2467" s="8" t="str">
        <f>"张香丹"</f>
        <v>张香丹</v>
      </c>
      <c r="E2467" s="8" t="str">
        <f t="shared" si="408"/>
        <v>女</v>
      </c>
    </row>
    <row r="2468" spans="1:5" ht="30" customHeight="1">
      <c r="A2468" s="8">
        <v>2465</v>
      </c>
      <c r="B2468" s="8" t="str">
        <f>"38492022042523365539028"</f>
        <v>38492022042523365539028</v>
      </c>
      <c r="C2468" s="8" t="s">
        <v>21</v>
      </c>
      <c r="D2468" s="8" t="str">
        <f>"羊容德"</f>
        <v>羊容德</v>
      </c>
      <c r="E2468" s="8" t="str">
        <f t="shared" si="407"/>
        <v>男</v>
      </c>
    </row>
    <row r="2469" spans="1:5" ht="30" customHeight="1">
      <c r="A2469" s="8">
        <v>2466</v>
      </c>
      <c r="B2469" s="8" t="str">
        <f>"38492022042523473839044"</f>
        <v>38492022042523473839044</v>
      </c>
      <c r="C2469" s="8" t="s">
        <v>21</v>
      </c>
      <c r="D2469" s="8" t="str">
        <f>"温冬梅"</f>
        <v>温冬梅</v>
      </c>
      <c r="E2469" s="8" t="str">
        <f aca="true" t="shared" si="409" ref="E2469:E2472">"女"</f>
        <v>女</v>
      </c>
    </row>
    <row r="2470" spans="1:5" ht="30" customHeight="1">
      <c r="A2470" s="8">
        <v>2467</v>
      </c>
      <c r="B2470" s="8" t="str">
        <f>"38492022042523513539054"</f>
        <v>38492022042523513539054</v>
      </c>
      <c r="C2470" s="8" t="s">
        <v>21</v>
      </c>
      <c r="D2470" s="8" t="str">
        <f>"唐多林"</f>
        <v>唐多林</v>
      </c>
      <c r="E2470" s="8" t="str">
        <f t="shared" si="409"/>
        <v>女</v>
      </c>
    </row>
    <row r="2471" spans="1:5" ht="30" customHeight="1">
      <c r="A2471" s="8">
        <v>2468</v>
      </c>
      <c r="B2471" s="8" t="str">
        <f>"38492022042523572339059"</f>
        <v>38492022042523572339059</v>
      </c>
      <c r="C2471" s="8" t="s">
        <v>21</v>
      </c>
      <c r="D2471" s="8" t="str">
        <f>"王诗皓"</f>
        <v>王诗皓</v>
      </c>
      <c r="E2471" s="8" t="str">
        <f aca="true" t="shared" si="410" ref="E2471:E2474">"男"</f>
        <v>男</v>
      </c>
    </row>
    <row r="2472" spans="1:5" ht="30" customHeight="1">
      <c r="A2472" s="8">
        <v>2469</v>
      </c>
      <c r="B2472" s="8" t="str">
        <f>"38492022042600023439063"</f>
        <v>38492022042600023439063</v>
      </c>
      <c r="C2472" s="8" t="s">
        <v>21</v>
      </c>
      <c r="D2472" s="8" t="str">
        <f>"黎带桃"</f>
        <v>黎带桃</v>
      </c>
      <c r="E2472" s="8" t="str">
        <f t="shared" si="409"/>
        <v>女</v>
      </c>
    </row>
    <row r="2473" spans="1:5" ht="30" customHeight="1">
      <c r="A2473" s="8">
        <v>2470</v>
      </c>
      <c r="B2473" s="8" t="str">
        <f>"38492022042601044839084"</f>
        <v>38492022042601044839084</v>
      </c>
      <c r="C2473" s="8" t="s">
        <v>21</v>
      </c>
      <c r="D2473" s="8" t="str">
        <f>"苏钻"</f>
        <v>苏钻</v>
      </c>
      <c r="E2473" s="8" t="str">
        <f t="shared" si="410"/>
        <v>男</v>
      </c>
    </row>
    <row r="2474" spans="1:5" ht="30" customHeight="1">
      <c r="A2474" s="8">
        <v>2471</v>
      </c>
      <c r="B2474" s="8" t="str">
        <f>"38492022042601095239086"</f>
        <v>38492022042601095239086</v>
      </c>
      <c r="C2474" s="8" t="s">
        <v>21</v>
      </c>
      <c r="D2474" s="8" t="str">
        <f>"朱垂孟"</f>
        <v>朱垂孟</v>
      </c>
      <c r="E2474" s="8" t="str">
        <f t="shared" si="410"/>
        <v>男</v>
      </c>
    </row>
    <row r="2475" spans="1:5" ht="30" customHeight="1">
      <c r="A2475" s="8">
        <v>2472</v>
      </c>
      <c r="B2475" s="8" t="str">
        <f>"38492022042606564939103"</f>
        <v>38492022042606564939103</v>
      </c>
      <c r="C2475" s="8" t="s">
        <v>21</v>
      </c>
      <c r="D2475" s="8" t="str">
        <f>"许淑姣"</f>
        <v>许淑姣</v>
      </c>
      <c r="E2475" s="8" t="str">
        <f aca="true" t="shared" si="411" ref="E2475:E2479">"女"</f>
        <v>女</v>
      </c>
    </row>
    <row r="2476" spans="1:5" ht="30" customHeight="1">
      <c r="A2476" s="8">
        <v>2473</v>
      </c>
      <c r="B2476" s="8" t="str">
        <f>"38492022042608133339122"</f>
        <v>38492022042608133339122</v>
      </c>
      <c r="C2476" s="8" t="s">
        <v>21</v>
      </c>
      <c r="D2476" s="8" t="str">
        <f>"易兴华"</f>
        <v>易兴华</v>
      </c>
      <c r="E2476" s="8" t="str">
        <f aca="true" t="shared" si="412" ref="E2476:E2480">"男"</f>
        <v>男</v>
      </c>
    </row>
    <row r="2477" spans="1:5" ht="30" customHeight="1">
      <c r="A2477" s="8">
        <v>2474</v>
      </c>
      <c r="B2477" s="8" t="str">
        <f>"38492022042608235539130"</f>
        <v>38492022042608235539130</v>
      </c>
      <c r="C2477" s="8" t="s">
        <v>21</v>
      </c>
      <c r="D2477" s="8" t="str">
        <f>"常思博大"</f>
        <v>常思博大</v>
      </c>
      <c r="E2477" s="8" t="str">
        <f t="shared" si="412"/>
        <v>男</v>
      </c>
    </row>
    <row r="2478" spans="1:5" ht="30" customHeight="1">
      <c r="A2478" s="8">
        <v>2475</v>
      </c>
      <c r="B2478" s="8" t="str">
        <f>"38492022042608312339138"</f>
        <v>38492022042608312339138</v>
      </c>
      <c r="C2478" s="8" t="s">
        <v>21</v>
      </c>
      <c r="D2478" s="8" t="str">
        <f>"郑琼珍"</f>
        <v>郑琼珍</v>
      </c>
      <c r="E2478" s="8" t="str">
        <f t="shared" si="411"/>
        <v>女</v>
      </c>
    </row>
    <row r="2479" spans="1:5" ht="30" customHeight="1">
      <c r="A2479" s="8">
        <v>2476</v>
      </c>
      <c r="B2479" s="8" t="str">
        <f>"38492022042608321939139"</f>
        <v>38492022042608321939139</v>
      </c>
      <c r="C2479" s="8" t="s">
        <v>21</v>
      </c>
      <c r="D2479" s="8" t="str">
        <f>"谭亦琳"</f>
        <v>谭亦琳</v>
      </c>
      <c r="E2479" s="8" t="str">
        <f t="shared" si="411"/>
        <v>女</v>
      </c>
    </row>
    <row r="2480" spans="1:5" ht="30" customHeight="1">
      <c r="A2480" s="8">
        <v>2477</v>
      </c>
      <c r="B2480" s="8" t="str">
        <f>"38492022042608391139143"</f>
        <v>38492022042608391139143</v>
      </c>
      <c r="C2480" s="8" t="s">
        <v>21</v>
      </c>
      <c r="D2480" s="8" t="str">
        <f>"梁遗良"</f>
        <v>梁遗良</v>
      </c>
      <c r="E2480" s="8" t="str">
        <f t="shared" si="412"/>
        <v>男</v>
      </c>
    </row>
    <row r="2481" spans="1:5" ht="30" customHeight="1">
      <c r="A2481" s="8">
        <v>2478</v>
      </c>
      <c r="B2481" s="8" t="str">
        <f>"38492022042608423539147"</f>
        <v>38492022042608423539147</v>
      </c>
      <c r="C2481" s="8" t="s">
        <v>21</v>
      </c>
      <c r="D2481" s="8" t="str">
        <f>"王恩博"</f>
        <v>王恩博</v>
      </c>
      <c r="E2481" s="8" t="str">
        <f aca="true" t="shared" si="413" ref="E2481:E2488">"女"</f>
        <v>女</v>
      </c>
    </row>
    <row r="2482" spans="1:5" ht="30" customHeight="1">
      <c r="A2482" s="8">
        <v>2479</v>
      </c>
      <c r="B2482" s="8" t="str">
        <f>"38492022042608425339149"</f>
        <v>38492022042608425339149</v>
      </c>
      <c r="C2482" s="8" t="s">
        <v>21</v>
      </c>
      <c r="D2482" s="8" t="str">
        <f>"吉训通"</f>
        <v>吉训通</v>
      </c>
      <c r="E2482" s="8" t="str">
        <f>"男"</f>
        <v>男</v>
      </c>
    </row>
    <row r="2483" spans="1:5" ht="30" customHeight="1">
      <c r="A2483" s="8">
        <v>2480</v>
      </c>
      <c r="B2483" s="8" t="str">
        <f>"38492022042608430639150"</f>
        <v>38492022042608430639150</v>
      </c>
      <c r="C2483" s="8" t="s">
        <v>21</v>
      </c>
      <c r="D2483" s="8" t="str">
        <f>"陈东升"</f>
        <v>陈东升</v>
      </c>
      <c r="E2483" s="8" t="str">
        <f>"男"</f>
        <v>男</v>
      </c>
    </row>
    <row r="2484" spans="1:5" ht="30" customHeight="1">
      <c r="A2484" s="8">
        <v>2481</v>
      </c>
      <c r="B2484" s="8" t="str">
        <f>"38492022042608525939158"</f>
        <v>38492022042608525939158</v>
      </c>
      <c r="C2484" s="8" t="s">
        <v>21</v>
      </c>
      <c r="D2484" s="8" t="str">
        <f>"蔡妹玲"</f>
        <v>蔡妹玲</v>
      </c>
      <c r="E2484" s="8" t="str">
        <f t="shared" si="413"/>
        <v>女</v>
      </c>
    </row>
    <row r="2485" spans="1:5" ht="30" customHeight="1">
      <c r="A2485" s="8">
        <v>2482</v>
      </c>
      <c r="B2485" s="8" t="str">
        <f>"38492022042608560539161"</f>
        <v>38492022042608560539161</v>
      </c>
      <c r="C2485" s="8" t="s">
        <v>21</v>
      </c>
      <c r="D2485" s="8" t="str">
        <f>"张子燕"</f>
        <v>张子燕</v>
      </c>
      <c r="E2485" s="8" t="str">
        <f t="shared" si="413"/>
        <v>女</v>
      </c>
    </row>
    <row r="2486" spans="1:5" ht="30" customHeight="1">
      <c r="A2486" s="8">
        <v>2483</v>
      </c>
      <c r="B2486" s="8" t="str">
        <f>"38492022042608582339165"</f>
        <v>38492022042608582339165</v>
      </c>
      <c r="C2486" s="8" t="s">
        <v>21</v>
      </c>
      <c r="D2486" s="8" t="str">
        <f>"王丹"</f>
        <v>王丹</v>
      </c>
      <c r="E2486" s="8" t="str">
        <f t="shared" si="413"/>
        <v>女</v>
      </c>
    </row>
    <row r="2487" spans="1:5" ht="30" customHeight="1">
      <c r="A2487" s="8">
        <v>2484</v>
      </c>
      <c r="B2487" s="8" t="str">
        <f>"38492022042609045139174"</f>
        <v>38492022042609045139174</v>
      </c>
      <c r="C2487" s="8" t="s">
        <v>21</v>
      </c>
      <c r="D2487" s="8" t="str">
        <f>"潘晓萱"</f>
        <v>潘晓萱</v>
      </c>
      <c r="E2487" s="8" t="str">
        <f t="shared" si="413"/>
        <v>女</v>
      </c>
    </row>
    <row r="2488" spans="1:5" ht="30" customHeight="1">
      <c r="A2488" s="8">
        <v>2485</v>
      </c>
      <c r="B2488" s="8" t="str">
        <f>"38492022042609100739182"</f>
        <v>38492022042609100739182</v>
      </c>
      <c r="C2488" s="8" t="s">
        <v>21</v>
      </c>
      <c r="D2488" s="8" t="str">
        <f>"林平"</f>
        <v>林平</v>
      </c>
      <c r="E2488" s="8" t="str">
        <f t="shared" si="413"/>
        <v>女</v>
      </c>
    </row>
    <row r="2489" spans="1:5" ht="30" customHeight="1">
      <c r="A2489" s="8">
        <v>2486</v>
      </c>
      <c r="B2489" s="8" t="str">
        <f>"38492022042609144939189"</f>
        <v>38492022042609144939189</v>
      </c>
      <c r="C2489" s="8" t="s">
        <v>21</v>
      </c>
      <c r="D2489" s="8" t="str">
        <f>"吴多卿"</f>
        <v>吴多卿</v>
      </c>
      <c r="E2489" s="8" t="str">
        <f>"男"</f>
        <v>男</v>
      </c>
    </row>
    <row r="2490" spans="1:5" ht="30" customHeight="1">
      <c r="A2490" s="8">
        <v>2487</v>
      </c>
      <c r="B2490" s="8" t="str">
        <f>"38492022042609201739198"</f>
        <v>38492022042609201739198</v>
      </c>
      <c r="C2490" s="8" t="s">
        <v>21</v>
      </c>
      <c r="D2490" s="8" t="str">
        <f>"罗雯"</f>
        <v>罗雯</v>
      </c>
      <c r="E2490" s="8" t="str">
        <f aca="true" t="shared" si="414" ref="E2490:E2493">"女"</f>
        <v>女</v>
      </c>
    </row>
    <row r="2491" spans="1:5" ht="30" customHeight="1">
      <c r="A2491" s="8">
        <v>2488</v>
      </c>
      <c r="B2491" s="8" t="str">
        <f>"38492022042609211239200"</f>
        <v>38492022042609211239200</v>
      </c>
      <c r="C2491" s="8" t="s">
        <v>21</v>
      </c>
      <c r="D2491" s="8" t="str">
        <f>"杨玉萍"</f>
        <v>杨玉萍</v>
      </c>
      <c r="E2491" s="8" t="str">
        <f t="shared" si="414"/>
        <v>女</v>
      </c>
    </row>
    <row r="2492" spans="1:5" ht="30" customHeight="1">
      <c r="A2492" s="8">
        <v>2489</v>
      </c>
      <c r="B2492" s="8" t="str">
        <f>"38492022042609220439202"</f>
        <v>38492022042609220439202</v>
      </c>
      <c r="C2492" s="8" t="s">
        <v>21</v>
      </c>
      <c r="D2492" s="8" t="str">
        <f>"周让强"</f>
        <v>周让强</v>
      </c>
      <c r="E2492" s="8" t="str">
        <f t="shared" si="414"/>
        <v>女</v>
      </c>
    </row>
    <row r="2493" spans="1:5" ht="30" customHeight="1">
      <c r="A2493" s="8">
        <v>2490</v>
      </c>
      <c r="B2493" s="8" t="str">
        <f>"38492022042609222339203"</f>
        <v>38492022042609222339203</v>
      </c>
      <c r="C2493" s="8" t="s">
        <v>21</v>
      </c>
      <c r="D2493" s="8" t="str">
        <f>"尹婉妮"</f>
        <v>尹婉妮</v>
      </c>
      <c r="E2493" s="8" t="str">
        <f t="shared" si="414"/>
        <v>女</v>
      </c>
    </row>
    <row r="2494" spans="1:5" ht="30" customHeight="1">
      <c r="A2494" s="8">
        <v>2491</v>
      </c>
      <c r="B2494" s="8" t="str">
        <f>"38492022042609243239205"</f>
        <v>38492022042609243239205</v>
      </c>
      <c r="C2494" s="8" t="s">
        <v>21</v>
      </c>
      <c r="D2494" s="8" t="str">
        <f>"杨昌政"</f>
        <v>杨昌政</v>
      </c>
      <c r="E2494" s="8" t="str">
        <f aca="true" t="shared" si="415" ref="E2494:E2497">"男"</f>
        <v>男</v>
      </c>
    </row>
    <row r="2495" spans="1:5" ht="30" customHeight="1">
      <c r="A2495" s="8">
        <v>2492</v>
      </c>
      <c r="B2495" s="8" t="str">
        <f>"38492022042609255539207"</f>
        <v>38492022042609255539207</v>
      </c>
      <c r="C2495" s="8" t="s">
        <v>21</v>
      </c>
      <c r="D2495" s="8" t="str">
        <f>"陈思帆"</f>
        <v>陈思帆</v>
      </c>
      <c r="E2495" s="8" t="str">
        <f aca="true" t="shared" si="416" ref="E2495:E2504">"女"</f>
        <v>女</v>
      </c>
    </row>
    <row r="2496" spans="1:5" ht="30" customHeight="1">
      <c r="A2496" s="8">
        <v>2493</v>
      </c>
      <c r="B2496" s="8" t="str">
        <f>"38492022042609270239210"</f>
        <v>38492022042609270239210</v>
      </c>
      <c r="C2496" s="8" t="s">
        <v>21</v>
      </c>
      <c r="D2496" s="8" t="str">
        <f>"王世标"</f>
        <v>王世标</v>
      </c>
      <c r="E2496" s="8" t="str">
        <f t="shared" si="415"/>
        <v>男</v>
      </c>
    </row>
    <row r="2497" spans="1:5" ht="30" customHeight="1">
      <c r="A2497" s="8">
        <v>2494</v>
      </c>
      <c r="B2497" s="8" t="str">
        <f>"38492022042609414339230"</f>
        <v>38492022042609414339230</v>
      </c>
      <c r="C2497" s="8" t="s">
        <v>21</v>
      </c>
      <c r="D2497" s="8" t="str">
        <f>"简国民"</f>
        <v>简国民</v>
      </c>
      <c r="E2497" s="8" t="str">
        <f t="shared" si="415"/>
        <v>男</v>
      </c>
    </row>
    <row r="2498" spans="1:5" ht="30" customHeight="1">
      <c r="A2498" s="8">
        <v>2495</v>
      </c>
      <c r="B2498" s="8" t="str">
        <f>"38492022042609563139253"</f>
        <v>38492022042609563139253</v>
      </c>
      <c r="C2498" s="8" t="s">
        <v>21</v>
      </c>
      <c r="D2498" s="8" t="str">
        <f>"符莉英"</f>
        <v>符莉英</v>
      </c>
      <c r="E2498" s="8" t="str">
        <f t="shared" si="416"/>
        <v>女</v>
      </c>
    </row>
    <row r="2499" spans="1:5" ht="30" customHeight="1">
      <c r="A2499" s="8">
        <v>2496</v>
      </c>
      <c r="B2499" s="8" t="str">
        <f>"38492022042610024439260"</f>
        <v>38492022042610024439260</v>
      </c>
      <c r="C2499" s="8" t="s">
        <v>21</v>
      </c>
      <c r="D2499" s="8" t="str">
        <f>"曾圣强"</f>
        <v>曾圣强</v>
      </c>
      <c r="E2499" s="8" t="str">
        <f>"男"</f>
        <v>男</v>
      </c>
    </row>
    <row r="2500" spans="1:5" ht="30" customHeight="1">
      <c r="A2500" s="8">
        <v>2497</v>
      </c>
      <c r="B2500" s="8" t="str">
        <f>"38492022042610045639263"</f>
        <v>38492022042610045639263</v>
      </c>
      <c r="C2500" s="8" t="s">
        <v>21</v>
      </c>
      <c r="D2500" s="8" t="str">
        <f>"梁连欣"</f>
        <v>梁连欣</v>
      </c>
      <c r="E2500" s="8" t="str">
        <f t="shared" si="416"/>
        <v>女</v>
      </c>
    </row>
    <row r="2501" spans="1:5" ht="30" customHeight="1">
      <c r="A2501" s="8">
        <v>2498</v>
      </c>
      <c r="B2501" s="8" t="str">
        <f>"38492022042610081939267"</f>
        <v>38492022042610081939267</v>
      </c>
      <c r="C2501" s="8" t="s">
        <v>21</v>
      </c>
      <c r="D2501" s="8" t="str">
        <f>"严霞"</f>
        <v>严霞</v>
      </c>
      <c r="E2501" s="8" t="str">
        <f t="shared" si="416"/>
        <v>女</v>
      </c>
    </row>
    <row r="2502" spans="1:5" ht="30" customHeight="1">
      <c r="A2502" s="8">
        <v>2499</v>
      </c>
      <c r="B2502" s="8" t="str">
        <f>"38492022042610105339270"</f>
        <v>38492022042610105339270</v>
      </c>
      <c r="C2502" s="8" t="s">
        <v>21</v>
      </c>
      <c r="D2502" s="8" t="str">
        <f>"蒲婷燕"</f>
        <v>蒲婷燕</v>
      </c>
      <c r="E2502" s="8" t="str">
        <f t="shared" si="416"/>
        <v>女</v>
      </c>
    </row>
    <row r="2503" spans="1:5" ht="30" customHeight="1">
      <c r="A2503" s="8">
        <v>2500</v>
      </c>
      <c r="B2503" s="8" t="str">
        <f>"38492022042610123739277"</f>
        <v>38492022042610123739277</v>
      </c>
      <c r="C2503" s="8" t="s">
        <v>21</v>
      </c>
      <c r="D2503" s="8" t="str">
        <f>"曾秋丹"</f>
        <v>曾秋丹</v>
      </c>
      <c r="E2503" s="8" t="str">
        <f t="shared" si="416"/>
        <v>女</v>
      </c>
    </row>
    <row r="2504" spans="1:5" ht="30" customHeight="1">
      <c r="A2504" s="8">
        <v>2501</v>
      </c>
      <c r="B2504" s="8" t="str">
        <f>"38492022042610140939281"</f>
        <v>38492022042610140939281</v>
      </c>
      <c r="C2504" s="8" t="s">
        <v>21</v>
      </c>
      <c r="D2504" s="8" t="str">
        <f>"陈核"</f>
        <v>陈核</v>
      </c>
      <c r="E2504" s="8" t="str">
        <f t="shared" si="416"/>
        <v>女</v>
      </c>
    </row>
    <row r="2505" spans="1:5" ht="30" customHeight="1">
      <c r="A2505" s="8">
        <v>2502</v>
      </c>
      <c r="B2505" s="8" t="str">
        <f>"38492022042610154339283"</f>
        <v>38492022042610154339283</v>
      </c>
      <c r="C2505" s="8" t="s">
        <v>21</v>
      </c>
      <c r="D2505" s="8" t="str">
        <f>"高家乐"</f>
        <v>高家乐</v>
      </c>
      <c r="E2505" s="8" t="str">
        <f>"男"</f>
        <v>男</v>
      </c>
    </row>
    <row r="2506" spans="1:5" ht="30" customHeight="1">
      <c r="A2506" s="8">
        <v>2503</v>
      </c>
      <c r="B2506" s="8" t="str">
        <f>"38492022042610204139289"</f>
        <v>38492022042610204139289</v>
      </c>
      <c r="C2506" s="8" t="s">
        <v>21</v>
      </c>
      <c r="D2506" s="8" t="str">
        <f>"邱娟娣"</f>
        <v>邱娟娣</v>
      </c>
      <c r="E2506" s="8" t="str">
        <f aca="true" t="shared" si="417" ref="E2506:E2509">"女"</f>
        <v>女</v>
      </c>
    </row>
    <row r="2507" spans="1:5" ht="30" customHeight="1">
      <c r="A2507" s="8">
        <v>2504</v>
      </c>
      <c r="B2507" s="8" t="str">
        <f>"38492022042610223439293"</f>
        <v>38492022042610223439293</v>
      </c>
      <c r="C2507" s="8" t="s">
        <v>21</v>
      </c>
      <c r="D2507" s="8" t="str">
        <f>"黄旭秀"</f>
        <v>黄旭秀</v>
      </c>
      <c r="E2507" s="8" t="str">
        <f t="shared" si="417"/>
        <v>女</v>
      </c>
    </row>
    <row r="2508" spans="1:5" ht="30" customHeight="1">
      <c r="A2508" s="8">
        <v>2505</v>
      </c>
      <c r="B2508" s="8" t="str">
        <f>"38492022042610322939309"</f>
        <v>38492022042610322939309</v>
      </c>
      <c r="C2508" s="8" t="s">
        <v>21</v>
      </c>
      <c r="D2508" s="8" t="str">
        <f>"吴颖颖"</f>
        <v>吴颖颖</v>
      </c>
      <c r="E2508" s="8" t="str">
        <f t="shared" si="417"/>
        <v>女</v>
      </c>
    </row>
    <row r="2509" spans="1:5" ht="30" customHeight="1">
      <c r="A2509" s="8">
        <v>2506</v>
      </c>
      <c r="B2509" s="8" t="str">
        <f>"38492022042610390939317"</f>
        <v>38492022042610390939317</v>
      </c>
      <c r="C2509" s="8" t="s">
        <v>21</v>
      </c>
      <c r="D2509" s="8" t="str">
        <f>"蔡梓銮"</f>
        <v>蔡梓銮</v>
      </c>
      <c r="E2509" s="8" t="str">
        <f t="shared" si="417"/>
        <v>女</v>
      </c>
    </row>
    <row r="2510" spans="1:5" ht="30" customHeight="1">
      <c r="A2510" s="8">
        <v>2507</v>
      </c>
      <c r="B2510" s="8" t="str">
        <f>"38492022042610435439327"</f>
        <v>38492022042610435439327</v>
      </c>
      <c r="C2510" s="8" t="s">
        <v>21</v>
      </c>
      <c r="D2510" s="8" t="str">
        <f>"符永程"</f>
        <v>符永程</v>
      </c>
      <c r="E2510" s="8" t="str">
        <f aca="true" t="shared" si="418" ref="E2510:E2513">"男"</f>
        <v>男</v>
      </c>
    </row>
    <row r="2511" spans="1:5" ht="30" customHeight="1">
      <c r="A2511" s="8">
        <v>2508</v>
      </c>
      <c r="B2511" s="8" t="str">
        <f>"38492022042611161039372"</f>
        <v>38492022042611161039372</v>
      </c>
      <c r="C2511" s="8" t="s">
        <v>21</v>
      </c>
      <c r="D2511" s="8" t="str">
        <f>"黄国轩"</f>
        <v>黄国轩</v>
      </c>
      <c r="E2511" s="8" t="str">
        <f t="shared" si="418"/>
        <v>男</v>
      </c>
    </row>
    <row r="2512" spans="1:5" ht="30" customHeight="1">
      <c r="A2512" s="8">
        <v>2509</v>
      </c>
      <c r="B2512" s="8" t="str">
        <f>"38492022042611163939373"</f>
        <v>38492022042611163939373</v>
      </c>
      <c r="C2512" s="8" t="s">
        <v>21</v>
      </c>
      <c r="D2512" s="8" t="str">
        <f>"林波宏"</f>
        <v>林波宏</v>
      </c>
      <c r="E2512" s="8" t="str">
        <f t="shared" si="418"/>
        <v>男</v>
      </c>
    </row>
    <row r="2513" spans="1:5" ht="30" customHeight="1">
      <c r="A2513" s="8">
        <v>2510</v>
      </c>
      <c r="B2513" s="8" t="str">
        <f>"38492022042611172439375"</f>
        <v>38492022042611172439375</v>
      </c>
      <c r="C2513" s="8" t="s">
        <v>21</v>
      </c>
      <c r="D2513" s="8" t="str">
        <f>"王新发"</f>
        <v>王新发</v>
      </c>
      <c r="E2513" s="8" t="str">
        <f t="shared" si="418"/>
        <v>男</v>
      </c>
    </row>
    <row r="2514" spans="1:5" ht="30" customHeight="1">
      <c r="A2514" s="8">
        <v>2511</v>
      </c>
      <c r="B2514" s="8" t="str">
        <f>"38492022042611225939383"</f>
        <v>38492022042611225939383</v>
      </c>
      <c r="C2514" s="8" t="s">
        <v>21</v>
      </c>
      <c r="D2514" s="8" t="str">
        <f>"冯海贞"</f>
        <v>冯海贞</v>
      </c>
      <c r="E2514" s="8" t="str">
        <f>"女"</f>
        <v>女</v>
      </c>
    </row>
    <row r="2515" spans="1:5" ht="30" customHeight="1">
      <c r="A2515" s="8">
        <v>2512</v>
      </c>
      <c r="B2515" s="8" t="str">
        <f>"38492022042611260239386"</f>
        <v>38492022042611260239386</v>
      </c>
      <c r="C2515" s="8" t="s">
        <v>21</v>
      </c>
      <c r="D2515" s="8" t="str">
        <f>"严居青"</f>
        <v>严居青</v>
      </c>
      <c r="E2515" s="8" t="str">
        <f aca="true" t="shared" si="419" ref="E2515:E2519">"男"</f>
        <v>男</v>
      </c>
    </row>
    <row r="2516" spans="1:5" ht="30" customHeight="1">
      <c r="A2516" s="8">
        <v>2513</v>
      </c>
      <c r="B2516" s="8" t="str">
        <f>"38492022042611273339390"</f>
        <v>38492022042611273339390</v>
      </c>
      <c r="C2516" s="8" t="s">
        <v>21</v>
      </c>
      <c r="D2516" s="8" t="str">
        <f>"陈明发"</f>
        <v>陈明发</v>
      </c>
      <c r="E2516" s="8" t="str">
        <f t="shared" si="419"/>
        <v>男</v>
      </c>
    </row>
    <row r="2517" spans="1:5" ht="30" customHeight="1">
      <c r="A2517" s="8">
        <v>2514</v>
      </c>
      <c r="B2517" s="8" t="str">
        <f>"38492022042611352639401"</f>
        <v>38492022042611352639401</v>
      </c>
      <c r="C2517" s="8" t="s">
        <v>21</v>
      </c>
      <c r="D2517" s="8" t="str">
        <f>"孙文琪"</f>
        <v>孙文琪</v>
      </c>
      <c r="E2517" s="8" t="str">
        <f aca="true" t="shared" si="420" ref="E2517:E2522">"女"</f>
        <v>女</v>
      </c>
    </row>
    <row r="2518" spans="1:5" ht="30" customHeight="1">
      <c r="A2518" s="8">
        <v>2515</v>
      </c>
      <c r="B2518" s="8" t="str">
        <f>"38492022042611355039403"</f>
        <v>38492022042611355039403</v>
      </c>
      <c r="C2518" s="8" t="s">
        <v>21</v>
      </c>
      <c r="D2518" s="8" t="str">
        <f>"羊志膺"</f>
        <v>羊志膺</v>
      </c>
      <c r="E2518" s="8" t="str">
        <f t="shared" si="419"/>
        <v>男</v>
      </c>
    </row>
    <row r="2519" spans="1:5" ht="30" customHeight="1">
      <c r="A2519" s="8">
        <v>2516</v>
      </c>
      <c r="B2519" s="8" t="str">
        <f>"38492022042611400039407"</f>
        <v>38492022042611400039407</v>
      </c>
      <c r="C2519" s="8" t="s">
        <v>21</v>
      </c>
      <c r="D2519" s="8" t="str">
        <f>"王鹏"</f>
        <v>王鹏</v>
      </c>
      <c r="E2519" s="8" t="str">
        <f t="shared" si="419"/>
        <v>男</v>
      </c>
    </row>
    <row r="2520" spans="1:5" ht="30" customHeight="1">
      <c r="A2520" s="8">
        <v>2517</v>
      </c>
      <c r="B2520" s="8" t="str">
        <f>"38492022042611475139419"</f>
        <v>38492022042611475139419</v>
      </c>
      <c r="C2520" s="8" t="s">
        <v>21</v>
      </c>
      <c r="D2520" s="8" t="str">
        <f>"王晓佳"</f>
        <v>王晓佳</v>
      </c>
      <c r="E2520" s="8" t="str">
        <f t="shared" si="420"/>
        <v>女</v>
      </c>
    </row>
    <row r="2521" spans="1:5" ht="30" customHeight="1">
      <c r="A2521" s="8">
        <v>2518</v>
      </c>
      <c r="B2521" s="8" t="str">
        <f>"38492022042612012839434"</f>
        <v>38492022042612012839434</v>
      </c>
      <c r="C2521" s="8" t="s">
        <v>21</v>
      </c>
      <c r="D2521" s="8" t="str">
        <f>"周佶"</f>
        <v>周佶</v>
      </c>
      <c r="E2521" s="8" t="str">
        <f t="shared" si="420"/>
        <v>女</v>
      </c>
    </row>
    <row r="2522" spans="1:5" ht="30" customHeight="1">
      <c r="A2522" s="8">
        <v>2519</v>
      </c>
      <c r="B2522" s="8" t="str">
        <f>"38492022042612123439452"</f>
        <v>38492022042612123439452</v>
      </c>
      <c r="C2522" s="8" t="s">
        <v>21</v>
      </c>
      <c r="D2522" s="8" t="str">
        <f>"麦雨婷"</f>
        <v>麦雨婷</v>
      </c>
      <c r="E2522" s="8" t="str">
        <f t="shared" si="420"/>
        <v>女</v>
      </c>
    </row>
    <row r="2523" spans="1:5" ht="30" customHeight="1">
      <c r="A2523" s="8">
        <v>2520</v>
      </c>
      <c r="B2523" s="8" t="str">
        <f>"38492022042612125939454"</f>
        <v>38492022042612125939454</v>
      </c>
      <c r="C2523" s="8" t="s">
        <v>21</v>
      </c>
      <c r="D2523" s="8" t="str">
        <f>"文宏"</f>
        <v>文宏</v>
      </c>
      <c r="E2523" s="8" t="str">
        <f aca="true" t="shared" si="421" ref="E2523:E2525">"男"</f>
        <v>男</v>
      </c>
    </row>
    <row r="2524" spans="1:5" ht="30" customHeight="1">
      <c r="A2524" s="8">
        <v>2521</v>
      </c>
      <c r="B2524" s="8" t="str">
        <f>"38492022042612145839458"</f>
        <v>38492022042612145839458</v>
      </c>
      <c r="C2524" s="8" t="s">
        <v>21</v>
      </c>
      <c r="D2524" s="8" t="str">
        <f>"陈文锡"</f>
        <v>陈文锡</v>
      </c>
      <c r="E2524" s="8" t="str">
        <f t="shared" si="421"/>
        <v>男</v>
      </c>
    </row>
    <row r="2525" spans="1:5" ht="30" customHeight="1">
      <c r="A2525" s="8">
        <v>2522</v>
      </c>
      <c r="B2525" s="8" t="str">
        <f>"38492022042612214039465"</f>
        <v>38492022042612214039465</v>
      </c>
      <c r="C2525" s="8" t="s">
        <v>21</v>
      </c>
      <c r="D2525" s="8" t="str">
        <f>"符永乐"</f>
        <v>符永乐</v>
      </c>
      <c r="E2525" s="8" t="str">
        <f t="shared" si="421"/>
        <v>男</v>
      </c>
    </row>
    <row r="2526" spans="1:5" ht="30" customHeight="1">
      <c r="A2526" s="8">
        <v>2523</v>
      </c>
      <c r="B2526" s="8" t="str">
        <f>"38492022042612242939467"</f>
        <v>38492022042612242939467</v>
      </c>
      <c r="C2526" s="8" t="s">
        <v>21</v>
      </c>
      <c r="D2526" s="8" t="str">
        <f>"王莹"</f>
        <v>王莹</v>
      </c>
      <c r="E2526" s="8" t="str">
        <f>"女"</f>
        <v>女</v>
      </c>
    </row>
    <row r="2527" spans="1:5" ht="30" customHeight="1">
      <c r="A2527" s="8">
        <v>2524</v>
      </c>
      <c r="B2527" s="8" t="str">
        <f>"38492022042612322639477"</f>
        <v>38492022042612322639477</v>
      </c>
      <c r="C2527" s="8" t="s">
        <v>21</v>
      </c>
      <c r="D2527" s="8" t="str">
        <f>"汤立泊"</f>
        <v>汤立泊</v>
      </c>
      <c r="E2527" s="8" t="str">
        <f aca="true" t="shared" si="422" ref="E2527:E2532">"男"</f>
        <v>男</v>
      </c>
    </row>
    <row r="2528" spans="1:5" ht="30" customHeight="1">
      <c r="A2528" s="8">
        <v>2525</v>
      </c>
      <c r="B2528" s="8" t="str">
        <f>"38492022042612325639479"</f>
        <v>38492022042612325639479</v>
      </c>
      <c r="C2528" s="8" t="s">
        <v>21</v>
      </c>
      <c r="D2528" s="8" t="str">
        <f>"符吉娟"</f>
        <v>符吉娟</v>
      </c>
      <c r="E2528" s="8" t="str">
        <f>"女"</f>
        <v>女</v>
      </c>
    </row>
    <row r="2529" spans="1:5" ht="30" customHeight="1">
      <c r="A2529" s="8">
        <v>2526</v>
      </c>
      <c r="B2529" s="8" t="str">
        <f>"38492022042612471339495"</f>
        <v>38492022042612471339495</v>
      </c>
      <c r="C2529" s="8" t="s">
        <v>21</v>
      </c>
      <c r="D2529" s="8" t="str">
        <f>"李永达"</f>
        <v>李永达</v>
      </c>
      <c r="E2529" s="8" t="str">
        <f t="shared" si="422"/>
        <v>男</v>
      </c>
    </row>
    <row r="2530" spans="1:5" ht="30" customHeight="1">
      <c r="A2530" s="8">
        <v>2527</v>
      </c>
      <c r="B2530" s="8" t="str">
        <f>"38492022042612511339500"</f>
        <v>38492022042612511339500</v>
      </c>
      <c r="C2530" s="8" t="s">
        <v>21</v>
      </c>
      <c r="D2530" s="8" t="str">
        <f>"黄炫"</f>
        <v>黄炫</v>
      </c>
      <c r="E2530" s="8" t="str">
        <f t="shared" si="422"/>
        <v>男</v>
      </c>
    </row>
    <row r="2531" spans="1:5" ht="30" customHeight="1">
      <c r="A2531" s="8">
        <v>2528</v>
      </c>
      <c r="B2531" s="8" t="str">
        <f>"38492022042612540339504"</f>
        <v>38492022042612540339504</v>
      </c>
      <c r="C2531" s="8" t="s">
        <v>21</v>
      </c>
      <c r="D2531" s="8" t="str">
        <f>"尤宏驹"</f>
        <v>尤宏驹</v>
      </c>
      <c r="E2531" s="8" t="str">
        <f t="shared" si="422"/>
        <v>男</v>
      </c>
    </row>
    <row r="2532" spans="1:5" ht="30" customHeight="1">
      <c r="A2532" s="8">
        <v>2529</v>
      </c>
      <c r="B2532" s="8" t="str">
        <f>"38492022042613012639515"</f>
        <v>38492022042613012639515</v>
      </c>
      <c r="C2532" s="8" t="s">
        <v>21</v>
      </c>
      <c r="D2532" s="8" t="str">
        <f>"符用基"</f>
        <v>符用基</v>
      </c>
      <c r="E2532" s="8" t="str">
        <f t="shared" si="422"/>
        <v>男</v>
      </c>
    </row>
    <row r="2533" spans="1:5" ht="30" customHeight="1">
      <c r="A2533" s="8">
        <v>2530</v>
      </c>
      <c r="B2533" s="8" t="str">
        <f>"38492022042613014239516"</f>
        <v>38492022042613014239516</v>
      </c>
      <c r="C2533" s="8" t="s">
        <v>21</v>
      </c>
      <c r="D2533" s="8" t="str">
        <f>"童钰嘉"</f>
        <v>童钰嘉</v>
      </c>
      <c r="E2533" s="8" t="str">
        <f aca="true" t="shared" si="423" ref="E2533:E2536">"女"</f>
        <v>女</v>
      </c>
    </row>
    <row r="2534" spans="1:5" ht="30" customHeight="1">
      <c r="A2534" s="8">
        <v>2531</v>
      </c>
      <c r="B2534" s="8" t="str">
        <f>"38492022042613045439521"</f>
        <v>38492022042613045439521</v>
      </c>
      <c r="C2534" s="8" t="s">
        <v>21</v>
      </c>
      <c r="D2534" s="8" t="str">
        <f>"黄梦诗"</f>
        <v>黄梦诗</v>
      </c>
      <c r="E2534" s="8" t="str">
        <f t="shared" si="423"/>
        <v>女</v>
      </c>
    </row>
    <row r="2535" spans="1:5" ht="30" customHeight="1">
      <c r="A2535" s="8">
        <v>2532</v>
      </c>
      <c r="B2535" s="8" t="str">
        <f>"38492022042613071039526"</f>
        <v>38492022042613071039526</v>
      </c>
      <c r="C2535" s="8" t="s">
        <v>21</v>
      </c>
      <c r="D2535" s="8" t="str">
        <f>"于强"</f>
        <v>于强</v>
      </c>
      <c r="E2535" s="8" t="str">
        <f aca="true" t="shared" si="424" ref="E2535:E2540">"男"</f>
        <v>男</v>
      </c>
    </row>
    <row r="2536" spans="1:5" ht="30" customHeight="1">
      <c r="A2536" s="8">
        <v>2533</v>
      </c>
      <c r="B2536" s="8" t="str">
        <f>"38492022042613071639527"</f>
        <v>38492022042613071639527</v>
      </c>
      <c r="C2536" s="8" t="s">
        <v>21</v>
      </c>
      <c r="D2536" s="8" t="str">
        <f>"范舒宁"</f>
        <v>范舒宁</v>
      </c>
      <c r="E2536" s="8" t="str">
        <f t="shared" si="423"/>
        <v>女</v>
      </c>
    </row>
    <row r="2537" spans="1:5" ht="30" customHeight="1">
      <c r="A2537" s="8">
        <v>2534</v>
      </c>
      <c r="B2537" s="8" t="str">
        <f>"38492022042613285839544"</f>
        <v>38492022042613285839544</v>
      </c>
      <c r="C2537" s="8" t="s">
        <v>21</v>
      </c>
      <c r="D2537" s="8" t="str">
        <f>"李文多"</f>
        <v>李文多</v>
      </c>
      <c r="E2537" s="8" t="str">
        <f t="shared" si="424"/>
        <v>男</v>
      </c>
    </row>
    <row r="2538" spans="1:5" ht="30" customHeight="1">
      <c r="A2538" s="8">
        <v>2535</v>
      </c>
      <c r="B2538" s="8" t="str">
        <f>"38492022042613291239545"</f>
        <v>38492022042613291239545</v>
      </c>
      <c r="C2538" s="8" t="s">
        <v>21</v>
      </c>
      <c r="D2538" s="8" t="str">
        <f>"傅国翠"</f>
        <v>傅国翠</v>
      </c>
      <c r="E2538" s="8" t="str">
        <f aca="true" t="shared" si="425" ref="E2538:E2541">"女"</f>
        <v>女</v>
      </c>
    </row>
    <row r="2539" spans="1:5" ht="30" customHeight="1">
      <c r="A2539" s="8">
        <v>2536</v>
      </c>
      <c r="B2539" s="8" t="str">
        <f>"38492022042613354239552"</f>
        <v>38492022042613354239552</v>
      </c>
      <c r="C2539" s="8" t="s">
        <v>21</v>
      </c>
      <c r="D2539" s="8" t="str">
        <f>"陈亮新"</f>
        <v>陈亮新</v>
      </c>
      <c r="E2539" s="8" t="str">
        <f t="shared" si="425"/>
        <v>女</v>
      </c>
    </row>
    <row r="2540" spans="1:5" ht="30" customHeight="1">
      <c r="A2540" s="8">
        <v>2537</v>
      </c>
      <c r="B2540" s="8" t="str">
        <f>"38492022042613463039561"</f>
        <v>38492022042613463039561</v>
      </c>
      <c r="C2540" s="8" t="s">
        <v>21</v>
      </c>
      <c r="D2540" s="8" t="str">
        <f>"李林骥"</f>
        <v>李林骥</v>
      </c>
      <c r="E2540" s="8" t="str">
        <f t="shared" si="424"/>
        <v>男</v>
      </c>
    </row>
    <row r="2541" spans="1:5" ht="30" customHeight="1">
      <c r="A2541" s="8">
        <v>2538</v>
      </c>
      <c r="B2541" s="8" t="str">
        <f>"38492022042613554639568"</f>
        <v>38492022042613554639568</v>
      </c>
      <c r="C2541" s="8" t="s">
        <v>21</v>
      </c>
      <c r="D2541" s="8" t="str">
        <f>"王海英"</f>
        <v>王海英</v>
      </c>
      <c r="E2541" s="8" t="str">
        <f t="shared" si="425"/>
        <v>女</v>
      </c>
    </row>
    <row r="2542" spans="1:5" ht="30" customHeight="1">
      <c r="A2542" s="8">
        <v>2539</v>
      </c>
      <c r="B2542" s="8" t="str">
        <f>"38492022042613585039571"</f>
        <v>38492022042613585039571</v>
      </c>
      <c r="C2542" s="8" t="s">
        <v>21</v>
      </c>
      <c r="D2542" s="8" t="str">
        <f>"林树肃"</f>
        <v>林树肃</v>
      </c>
      <c r="E2542" s="8" t="str">
        <f>"男"</f>
        <v>男</v>
      </c>
    </row>
    <row r="2543" spans="1:5" ht="30" customHeight="1">
      <c r="A2543" s="8">
        <v>2540</v>
      </c>
      <c r="B2543" s="8" t="str">
        <f>"38492022042613592739572"</f>
        <v>38492022042613592739572</v>
      </c>
      <c r="C2543" s="8" t="s">
        <v>21</v>
      </c>
      <c r="D2543" s="8" t="str">
        <f>"林尹"</f>
        <v>林尹</v>
      </c>
      <c r="E2543" s="8" t="str">
        <f aca="true" t="shared" si="426" ref="E2543:E2546">"女"</f>
        <v>女</v>
      </c>
    </row>
    <row r="2544" spans="1:5" ht="30" customHeight="1">
      <c r="A2544" s="8">
        <v>2541</v>
      </c>
      <c r="B2544" s="8" t="str">
        <f>"38492022042614013339573"</f>
        <v>38492022042614013339573</v>
      </c>
      <c r="C2544" s="8" t="s">
        <v>21</v>
      </c>
      <c r="D2544" s="8" t="str">
        <f>"孙小净"</f>
        <v>孙小净</v>
      </c>
      <c r="E2544" s="8" t="str">
        <f t="shared" si="426"/>
        <v>女</v>
      </c>
    </row>
    <row r="2545" spans="1:5" ht="30" customHeight="1">
      <c r="A2545" s="8">
        <v>2542</v>
      </c>
      <c r="B2545" s="8" t="str">
        <f>"38492022042614162839581"</f>
        <v>38492022042614162839581</v>
      </c>
      <c r="C2545" s="8" t="s">
        <v>21</v>
      </c>
      <c r="D2545" s="8" t="str">
        <f>"陈梅颜"</f>
        <v>陈梅颜</v>
      </c>
      <c r="E2545" s="8" t="str">
        <f t="shared" si="426"/>
        <v>女</v>
      </c>
    </row>
    <row r="2546" spans="1:5" ht="30" customHeight="1">
      <c r="A2546" s="8">
        <v>2543</v>
      </c>
      <c r="B2546" s="8" t="str">
        <f>"38492022042614291839589"</f>
        <v>38492022042614291839589</v>
      </c>
      <c r="C2546" s="8" t="s">
        <v>21</v>
      </c>
      <c r="D2546" s="8" t="str">
        <f>"符金珠"</f>
        <v>符金珠</v>
      </c>
      <c r="E2546" s="8" t="str">
        <f t="shared" si="426"/>
        <v>女</v>
      </c>
    </row>
    <row r="2547" spans="1:5" ht="30" customHeight="1">
      <c r="A2547" s="8">
        <v>2544</v>
      </c>
      <c r="B2547" s="8" t="str">
        <f>"38492022042614292539590"</f>
        <v>38492022042614292539590</v>
      </c>
      <c r="C2547" s="8" t="s">
        <v>21</v>
      </c>
      <c r="D2547" s="8" t="str">
        <f>"符胜雄"</f>
        <v>符胜雄</v>
      </c>
      <c r="E2547" s="8" t="str">
        <f aca="true" t="shared" si="427" ref="E2547:E2549">"男"</f>
        <v>男</v>
      </c>
    </row>
    <row r="2548" spans="1:5" ht="30" customHeight="1">
      <c r="A2548" s="8">
        <v>2545</v>
      </c>
      <c r="B2548" s="8" t="str">
        <f>"38492022042614295339591"</f>
        <v>38492022042614295339591</v>
      </c>
      <c r="C2548" s="8" t="s">
        <v>21</v>
      </c>
      <c r="D2548" s="8" t="str">
        <f>"陈高民"</f>
        <v>陈高民</v>
      </c>
      <c r="E2548" s="8" t="str">
        <f t="shared" si="427"/>
        <v>男</v>
      </c>
    </row>
    <row r="2549" spans="1:5" ht="30" customHeight="1">
      <c r="A2549" s="8">
        <v>2546</v>
      </c>
      <c r="B2549" s="8" t="str">
        <f>"38492022042614314339595"</f>
        <v>38492022042614314339595</v>
      </c>
      <c r="C2549" s="8" t="s">
        <v>21</v>
      </c>
      <c r="D2549" s="8" t="str">
        <f>"符亚认"</f>
        <v>符亚认</v>
      </c>
      <c r="E2549" s="8" t="str">
        <f t="shared" si="427"/>
        <v>男</v>
      </c>
    </row>
    <row r="2550" spans="1:5" ht="30" customHeight="1">
      <c r="A2550" s="8">
        <v>2547</v>
      </c>
      <c r="B2550" s="8" t="str">
        <f>"38492022042614322739596"</f>
        <v>38492022042614322739596</v>
      </c>
      <c r="C2550" s="8" t="s">
        <v>21</v>
      </c>
      <c r="D2550" s="8" t="str">
        <f>"覃玉靖"</f>
        <v>覃玉靖</v>
      </c>
      <c r="E2550" s="8" t="str">
        <f aca="true" t="shared" si="428" ref="E2550:E2553">"女"</f>
        <v>女</v>
      </c>
    </row>
    <row r="2551" spans="1:5" ht="30" customHeight="1">
      <c r="A2551" s="8">
        <v>2548</v>
      </c>
      <c r="B2551" s="8" t="str">
        <f>"38492022042614330739597"</f>
        <v>38492022042614330739597</v>
      </c>
      <c r="C2551" s="8" t="s">
        <v>21</v>
      </c>
      <c r="D2551" s="8" t="str">
        <f>"王军风"</f>
        <v>王军风</v>
      </c>
      <c r="E2551" s="8" t="str">
        <f t="shared" si="428"/>
        <v>女</v>
      </c>
    </row>
    <row r="2552" spans="1:5" ht="30" customHeight="1">
      <c r="A2552" s="8">
        <v>2549</v>
      </c>
      <c r="B2552" s="8" t="str">
        <f>"38492022042614471839605"</f>
        <v>38492022042614471839605</v>
      </c>
      <c r="C2552" s="8" t="s">
        <v>21</v>
      </c>
      <c r="D2552" s="8" t="str">
        <f>"魏琳琳"</f>
        <v>魏琳琳</v>
      </c>
      <c r="E2552" s="8" t="str">
        <f t="shared" si="428"/>
        <v>女</v>
      </c>
    </row>
    <row r="2553" spans="1:5" ht="30" customHeight="1">
      <c r="A2553" s="8">
        <v>2550</v>
      </c>
      <c r="B2553" s="8" t="str">
        <f>"38492022042614472339606"</f>
        <v>38492022042614472339606</v>
      </c>
      <c r="C2553" s="8" t="s">
        <v>21</v>
      </c>
      <c r="D2553" s="8" t="str">
        <f>"张云霞"</f>
        <v>张云霞</v>
      </c>
      <c r="E2553" s="8" t="str">
        <f t="shared" si="428"/>
        <v>女</v>
      </c>
    </row>
    <row r="2554" spans="1:5" ht="30" customHeight="1">
      <c r="A2554" s="8">
        <v>2551</v>
      </c>
      <c r="B2554" s="8" t="str">
        <f>"38492022042614510839613"</f>
        <v>38492022042614510839613</v>
      </c>
      <c r="C2554" s="8" t="s">
        <v>21</v>
      </c>
      <c r="D2554" s="8" t="str">
        <f>"庞力力"</f>
        <v>庞力力</v>
      </c>
      <c r="E2554" s="8" t="str">
        <f aca="true" t="shared" si="429" ref="E2554:E2559">"男"</f>
        <v>男</v>
      </c>
    </row>
    <row r="2555" spans="1:5" ht="30" customHeight="1">
      <c r="A2555" s="8">
        <v>2552</v>
      </c>
      <c r="B2555" s="8" t="str">
        <f>"38492022042614514439617"</f>
        <v>38492022042614514439617</v>
      </c>
      <c r="C2555" s="8" t="s">
        <v>21</v>
      </c>
      <c r="D2555" s="8" t="str">
        <f>"符吉平"</f>
        <v>符吉平</v>
      </c>
      <c r="E2555" s="8" t="str">
        <f t="shared" si="429"/>
        <v>男</v>
      </c>
    </row>
    <row r="2556" spans="1:5" ht="30" customHeight="1">
      <c r="A2556" s="8">
        <v>2553</v>
      </c>
      <c r="B2556" s="8" t="str">
        <f>"38492022042615040039636"</f>
        <v>38492022042615040039636</v>
      </c>
      <c r="C2556" s="8" t="s">
        <v>21</v>
      </c>
      <c r="D2556" s="8" t="str">
        <f>"刘海斌"</f>
        <v>刘海斌</v>
      </c>
      <c r="E2556" s="8" t="str">
        <f aca="true" t="shared" si="430" ref="E2556:E2558">"女"</f>
        <v>女</v>
      </c>
    </row>
    <row r="2557" spans="1:5" ht="30" customHeight="1">
      <c r="A2557" s="8">
        <v>2554</v>
      </c>
      <c r="B2557" s="8" t="str">
        <f>"38492022042615040239637"</f>
        <v>38492022042615040239637</v>
      </c>
      <c r="C2557" s="8" t="s">
        <v>21</v>
      </c>
      <c r="D2557" s="8" t="str">
        <f>"王少环"</f>
        <v>王少环</v>
      </c>
      <c r="E2557" s="8" t="str">
        <f t="shared" si="430"/>
        <v>女</v>
      </c>
    </row>
    <row r="2558" spans="1:5" ht="30" customHeight="1">
      <c r="A2558" s="8">
        <v>2555</v>
      </c>
      <c r="B2558" s="8" t="str">
        <f>"38492022042615060639642"</f>
        <v>38492022042615060639642</v>
      </c>
      <c r="C2558" s="8" t="s">
        <v>21</v>
      </c>
      <c r="D2558" s="8" t="str">
        <f>"黄海静"</f>
        <v>黄海静</v>
      </c>
      <c r="E2558" s="8" t="str">
        <f t="shared" si="430"/>
        <v>女</v>
      </c>
    </row>
    <row r="2559" spans="1:5" ht="30" customHeight="1">
      <c r="A2559" s="8">
        <v>2556</v>
      </c>
      <c r="B2559" s="8" t="str">
        <f>"38492022042615061339643"</f>
        <v>38492022042615061339643</v>
      </c>
      <c r="C2559" s="8" t="s">
        <v>21</v>
      </c>
      <c r="D2559" s="8" t="str">
        <f>"黄飞"</f>
        <v>黄飞</v>
      </c>
      <c r="E2559" s="8" t="str">
        <f t="shared" si="429"/>
        <v>男</v>
      </c>
    </row>
    <row r="2560" spans="1:5" ht="30" customHeight="1">
      <c r="A2560" s="8">
        <v>2557</v>
      </c>
      <c r="B2560" s="8" t="str">
        <f>"38492022042615071939646"</f>
        <v>38492022042615071939646</v>
      </c>
      <c r="C2560" s="8" t="s">
        <v>21</v>
      </c>
      <c r="D2560" s="8" t="str">
        <f>"林丽"</f>
        <v>林丽</v>
      </c>
      <c r="E2560" s="8" t="str">
        <f aca="true" t="shared" si="431" ref="E2560:E2564">"女"</f>
        <v>女</v>
      </c>
    </row>
    <row r="2561" spans="1:5" ht="30" customHeight="1">
      <c r="A2561" s="8">
        <v>2558</v>
      </c>
      <c r="B2561" s="8" t="str">
        <f>"38492022042615093439652"</f>
        <v>38492022042615093439652</v>
      </c>
      <c r="C2561" s="8" t="s">
        <v>21</v>
      </c>
      <c r="D2561" s="8" t="str">
        <f>"吴小丽"</f>
        <v>吴小丽</v>
      </c>
      <c r="E2561" s="8" t="str">
        <f t="shared" si="431"/>
        <v>女</v>
      </c>
    </row>
    <row r="2562" spans="1:5" ht="30" customHeight="1">
      <c r="A2562" s="8">
        <v>2559</v>
      </c>
      <c r="B2562" s="8" t="str">
        <f>"38492022042615150739663"</f>
        <v>38492022042615150739663</v>
      </c>
      <c r="C2562" s="8" t="s">
        <v>21</v>
      </c>
      <c r="D2562" s="8" t="str">
        <f>"张峰源"</f>
        <v>张峰源</v>
      </c>
      <c r="E2562" s="8" t="str">
        <f aca="true" t="shared" si="432" ref="E2562:E2565">"男"</f>
        <v>男</v>
      </c>
    </row>
    <row r="2563" spans="1:5" ht="30" customHeight="1">
      <c r="A2563" s="8">
        <v>2560</v>
      </c>
      <c r="B2563" s="8" t="str">
        <f>"38492022042615171239665"</f>
        <v>38492022042615171239665</v>
      </c>
      <c r="C2563" s="8" t="s">
        <v>21</v>
      </c>
      <c r="D2563" s="8" t="str">
        <f>"王升阳"</f>
        <v>王升阳</v>
      </c>
      <c r="E2563" s="8" t="str">
        <f t="shared" si="432"/>
        <v>男</v>
      </c>
    </row>
    <row r="2564" spans="1:5" ht="30" customHeight="1">
      <c r="A2564" s="8">
        <v>2561</v>
      </c>
      <c r="B2564" s="8" t="str">
        <f>"38492022042615174539669"</f>
        <v>38492022042615174539669</v>
      </c>
      <c r="C2564" s="8" t="s">
        <v>21</v>
      </c>
      <c r="D2564" s="8" t="str">
        <f>"黄渊"</f>
        <v>黄渊</v>
      </c>
      <c r="E2564" s="8" t="str">
        <f t="shared" si="431"/>
        <v>女</v>
      </c>
    </row>
    <row r="2565" spans="1:5" ht="30" customHeight="1">
      <c r="A2565" s="8">
        <v>2562</v>
      </c>
      <c r="B2565" s="8" t="str">
        <f>"38492022042615261839691"</f>
        <v>38492022042615261839691</v>
      </c>
      <c r="C2565" s="8" t="s">
        <v>21</v>
      </c>
      <c r="D2565" s="8" t="str">
        <f>"符发勇"</f>
        <v>符发勇</v>
      </c>
      <c r="E2565" s="8" t="str">
        <f t="shared" si="432"/>
        <v>男</v>
      </c>
    </row>
    <row r="2566" spans="1:5" ht="30" customHeight="1">
      <c r="A2566" s="8">
        <v>2563</v>
      </c>
      <c r="B2566" s="8" t="str">
        <f>"38492022042615351039705"</f>
        <v>38492022042615351039705</v>
      </c>
      <c r="C2566" s="8" t="s">
        <v>21</v>
      </c>
      <c r="D2566" s="8" t="str">
        <f>"王雅玲"</f>
        <v>王雅玲</v>
      </c>
      <c r="E2566" s="8" t="str">
        <f aca="true" t="shared" si="433" ref="E2566:E2574">"女"</f>
        <v>女</v>
      </c>
    </row>
    <row r="2567" spans="1:5" ht="30" customHeight="1">
      <c r="A2567" s="8">
        <v>2564</v>
      </c>
      <c r="B2567" s="8" t="str">
        <f>"38492022042615371939708"</f>
        <v>38492022042615371939708</v>
      </c>
      <c r="C2567" s="8" t="s">
        <v>21</v>
      </c>
      <c r="D2567" s="8" t="str">
        <f>"李牧阳"</f>
        <v>李牧阳</v>
      </c>
      <c r="E2567" s="8" t="str">
        <f t="shared" si="433"/>
        <v>女</v>
      </c>
    </row>
    <row r="2568" spans="1:5" ht="30" customHeight="1">
      <c r="A2568" s="8">
        <v>2565</v>
      </c>
      <c r="B2568" s="8" t="str">
        <f>"38492022042615375239711"</f>
        <v>38492022042615375239711</v>
      </c>
      <c r="C2568" s="8" t="s">
        <v>21</v>
      </c>
      <c r="D2568" s="8" t="str">
        <f>"林俊柏"</f>
        <v>林俊柏</v>
      </c>
      <c r="E2568" s="8" t="str">
        <f aca="true" t="shared" si="434" ref="E2568:E2570">"男"</f>
        <v>男</v>
      </c>
    </row>
    <row r="2569" spans="1:5" ht="30" customHeight="1">
      <c r="A2569" s="8">
        <v>2566</v>
      </c>
      <c r="B2569" s="8" t="str">
        <f>"38492022042615470039724"</f>
        <v>38492022042615470039724</v>
      </c>
      <c r="C2569" s="8" t="s">
        <v>21</v>
      </c>
      <c r="D2569" s="8" t="str">
        <f>"郑永箕"</f>
        <v>郑永箕</v>
      </c>
      <c r="E2569" s="8" t="str">
        <f t="shared" si="434"/>
        <v>男</v>
      </c>
    </row>
    <row r="2570" spans="1:5" ht="30" customHeight="1">
      <c r="A2570" s="8">
        <v>2567</v>
      </c>
      <c r="B2570" s="8" t="str">
        <f>"38492022042615470939725"</f>
        <v>38492022042615470939725</v>
      </c>
      <c r="C2570" s="8" t="s">
        <v>21</v>
      </c>
      <c r="D2570" s="8" t="str">
        <f>"李雪伦"</f>
        <v>李雪伦</v>
      </c>
      <c r="E2570" s="8" t="str">
        <f t="shared" si="434"/>
        <v>男</v>
      </c>
    </row>
    <row r="2571" spans="1:5" ht="30" customHeight="1">
      <c r="A2571" s="8">
        <v>2568</v>
      </c>
      <c r="B2571" s="8" t="str">
        <f>"38492022042615475639726"</f>
        <v>38492022042615475639726</v>
      </c>
      <c r="C2571" s="8" t="s">
        <v>21</v>
      </c>
      <c r="D2571" s="8" t="str">
        <f>"符月翠"</f>
        <v>符月翠</v>
      </c>
      <c r="E2571" s="8" t="str">
        <f t="shared" si="433"/>
        <v>女</v>
      </c>
    </row>
    <row r="2572" spans="1:5" ht="30" customHeight="1">
      <c r="A2572" s="8">
        <v>2569</v>
      </c>
      <c r="B2572" s="8" t="str">
        <f>"38492022042615493339728"</f>
        <v>38492022042615493339728</v>
      </c>
      <c r="C2572" s="8" t="s">
        <v>21</v>
      </c>
      <c r="D2572" s="8" t="str">
        <f>"许小妹"</f>
        <v>许小妹</v>
      </c>
      <c r="E2572" s="8" t="str">
        <f t="shared" si="433"/>
        <v>女</v>
      </c>
    </row>
    <row r="2573" spans="1:5" ht="30" customHeight="1">
      <c r="A2573" s="8">
        <v>2570</v>
      </c>
      <c r="B2573" s="8" t="str">
        <f>"38492022042615510139733"</f>
        <v>38492022042615510139733</v>
      </c>
      <c r="C2573" s="8" t="s">
        <v>21</v>
      </c>
      <c r="D2573" s="8" t="str">
        <f>"谭樱艳"</f>
        <v>谭樱艳</v>
      </c>
      <c r="E2573" s="8" t="str">
        <f t="shared" si="433"/>
        <v>女</v>
      </c>
    </row>
    <row r="2574" spans="1:5" ht="30" customHeight="1">
      <c r="A2574" s="8">
        <v>2571</v>
      </c>
      <c r="B2574" s="8" t="str">
        <f>"38492022042615514439734"</f>
        <v>38492022042615514439734</v>
      </c>
      <c r="C2574" s="8" t="s">
        <v>21</v>
      </c>
      <c r="D2574" s="8" t="str">
        <f>"王琪"</f>
        <v>王琪</v>
      </c>
      <c r="E2574" s="8" t="str">
        <f t="shared" si="433"/>
        <v>女</v>
      </c>
    </row>
    <row r="2575" spans="1:5" ht="30" customHeight="1">
      <c r="A2575" s="8">
        <v>2572</v>
      </c>
      <c r="B2575" s="8" t="str">
        <f>"38492022042615532939738"</f>
        <v>38492022042615532939738</v>
      </c>
      <c r="C2575" s="8" t="s">
        <v>21</v>
      </c>
      <c r="D2575" s="8" t="str">
        <f>"王鹏"</f>
        <v>王鹏</v>
      </c>
      <c r="E2575" s="8" t="str">
        <f aca="true" t="shared" si="435" ref="E2575:E2579">"男"</f>
        <v>男</v>
      </c>
    </row>
    <row r="2576" spans="1:5" ht="30" customHeight="1">
      <c r="A2576" s="8">
        <v>2573</v>
      </c>
      <c r="B2576" s="8" t="str">
        <f>"38492022042615542839741"</f>
        <v>38492022042615542839741</v>
      </c>
      <c r="C2576" s="8" t="s">
        <v>21</v>
      </c>
      <c r="D2576" s="8" t="str">
        <f>"李常"</f>
        <v>李常</v>
      </c>
      <c r="E2576" s="8" t="str">
        <f t="shared" si="435"/>
        <v>男</v>
      </c>
    </row>
    <row r="2577" spans="1:5" ht="30" customHeight="1">
      <c r="A2577" s="8">
        <v>2574</v>
      </c>
      <c r="B2577" s="8" t="str">
        <f>"38492022042615561439747"</f>
        <v>38492022042615561439747</v>
      </c>
      <c r="C2577" s="8" t="s">
        <v>21</v>
      </c>
      <c r="D2577" s="8" t="str">
        <f>"苏应乾"</f>
        <v>苏应乾</v>
      </c>
      <c r="E2577" s="8" t="str">
        <f aca="true" t="shared" si="436" ref="E2577:E2582">"女"</f>
        <v>女</v>
      </c>
    </row>
    <row r="2578" spans="1:5" ht="30" customHeight="1">
      <c r="A2578" s="8">
        <v>2575</v>
      </c>
      <c r="B2578" s="8" t="str">
        <f>"38492022042615594339751"</f>
        <v>38492022042615594339751</v>
      </c>
      <c r="C2578" s="8" t="s">
        <v>21</v>
      </c>
      <c r="D2578" s="8" t="str">
        <f>"杨华志"</f>
        <v>杨华志</v>
      </c>
      <c r="E2578" s="8" t="str">
        <f t="shared" si="435"/>
        <v>男</v>
      </c>
    </row>
    <row r="2579" spans="1:5" ht="30" customHeight="1">
      <c r="A2579" s="8">
        <v>2576</v>
      </c>
      <c r="B2579" s="8" t="str">
        <f>"38492022042616063139763"</f>
        <v>38492022042616063139763</v>
      </c>
      <c r="C2579" s="8" t="s">
        <v>21</v>
      </c>
      <c r="D2579" s="8" t="str">
        <f>"陈江鹏"</f>
        <v>陈江鹏</v>
      </c>
      <c r="E2579" s="8" t="str">
        <f t="shared" si="435"/>
        <v>男</v>
      </c>
    </row>
    <row r="2580" spans="1:5" ht="30" customHeight="1">
      <c r="A2580" s="8">
        <v>2577</v>
      </c>
      <c r="B2580" s="8" t="str">
        <f>"38492022042616144539775"</f>
        <v>38492022042616144539775</v>
      </c>
      <c r="C2580" s="8" t="s">
        <v>21</v>
      </c>
      <c r="D2580" s="8" t="str">
        <f>"符美美"</f>
        <v>符美美</v>
      </c>
      <c r="E2580" s="8" t="str">
        <f t="shared" si="436"/>
        <v>女</v>
      </c>
    </row>
    <row r="2581" spans="1:5" ht="30" customHeight="1">
      <c r="A2581" s="8">
        <v>2578</v>
      </c>
      <c r="B2581" s="8" t="str">
        <f>"38492022042616172939778"</f>
        <v>38492022042616172939778</v>
      </c>
      <c r="C2581" s="8" t="s">
        <v>21</v>
      </c>
      <c r="D2581" s="8" t="str">
        <f>"陈芳婷"</f>
        <v>陈芳婷</v>
      </c>
      <c r="E2581" s="8" t="str">
        <f t="shared" si="436"/>
        <v>女</v>
      </c>
    </row>
    <row r="2582" spans="1:5" ht="30" customHeight="1">
      <c r="A2582" s="8">
        <v>2579</v>
      </c>
      <c r="B2582" s="8" t="str">
        <f>"38492022042616183539783"</f>
        <v>38492022042616183539783</v>
      </c>
      <c r="C2582" s="8" t="s">
        <v>21</v>
      </c>
      <c r="D2582" s="8" t="str">
        <f>"何俏"</f>
        <v>何俏</v>
      </c>
      <c r="E2582" s="8" t="str">
        <f t="shared" si="436"/>
        <v>女</v>
      </c>
    </row>
    <row r="2583" spans="1:5" ht="30" customHeight="1">
      <c r="A2583" s="8">
        <v>2580</v>
      </c>
      <c r="B2583" s="8" t="str">
        <f>"38492022042616190139785"</f>
        <v>38492022042616190139785</v>
      </c>
      <c r="C2583" s="8" t="s">
        <v>21</v>
      </c>
      <c r="D2583" s="8" t="str">
        <f>"曾庆辉"</f>
        <v>曾庆辉</v>
      </c>
      <c r="E2583" s="8" t="str">
        <f aca="true" t="shared" si="437" ref="E2583:E2586">"男"</f>
        <v>男</v>
      </c>
    </row>
    <row r="2584" spans="1:5" ht="30" customHeight="1">
      <c r="A2584" s="8">
        <v>2581</v>
      </c>
      <c r="B2584" s="8" t="str">
        <f>"38492022042616193739787"</f>
        <v>38492022042616193739787</v>
      </c>
      <c r="C2584" s="8" t="s">
        <v>21</v>
      </c>
      <c r="D2584" s="8" t="str">
        <f>"林小橼"</f>
        <v>林小橼</v>
      </c>
      <c r="E2584" s="8" t="str">
        <f t="shared" si="437"/>
        <v>男</v>
      </c>
    </row>
    <row r="2585" spans="1:5" ht="30" customHeight="1">
      <c r="A2585" s="8">
        <v>2582</v>
      </c>
      <c r="B2585" s="8" t="str">
        <f>"38492022042616285039810"</f>
        <v>38492022042616285039810</v>
      </c>
      <c r="C2585" s="8" t="s">
        <v>21</v>
      </c>
      <c r="D2585" s="8" t="str">
        <f>"黄天培"</f>
        <v>黄天培</v>
      </c>
      <c r="E2585" s="8" t="str">
        <f t="shared" si="437"/>
        <v>男</v>
      </c>
    </row>
    <row r="2586" spans="1:5" ht="30" customHeight="1">
      <c r="A2586" s="8">
        <v>2583</v>
      </c>
      <c r="B2586" s="8" t="str">
        <f>"38492022042616363239830"</f>
        <v>38492022042616363239830</v>
      </c>
      <c r="C2586" s="8" t="s">
        <v>21</v>
      </c>
      <c r="D2586" s="8" t="str">
        <f>"钟鸾凤"</f>
        <v>钟鸾凤</v>
      </c>
      <c r="E2586" s="8" t="str">
        <f t="shared" si="437"/>
        <v>男</v>
      </c>
    </row>
    <row r="2587" spans="1:5" ht="30" customHeight="1">
      <c r="A2587" s="8">
        <v>2584</v>
      </c>
      <c r="B2587" s="8" t="str">
        <f>"38492022042616373939837"</f>
        <v>38492022042616373939837</v>
      </c>
      <c r="C2587" s="8" t="s">
        <v>21</v>
      </c>
      <c r="D2587" s="8" t="str">
        <f>"梁碧莹"</f>
        <v>梁碧莹</v>
      </c>
      <c r="E2587" s="8" t="str">
        <f aca="true" t="shared" si="438" ref="E2587:E2590">"女"</f>
        <v>女</v>
      </c>
    </row>
    <row r="2588" spans="1:5" ht="30" customHeight="1">
      <c r="A2588" s="8">
        <v>2585</v>
      </c>
      <c r="B2588" s="8" t="str">
        <f>"38492022042616391339841"</f>
        <v>38492022042616391339841</v>
      </c>
      <c r="C2588" s="8" t="s">
        <v>21</v>
      </c>
      <c r="D2588" s="8" t="str">
        <f>"吴维妃"</f>
        <v>吴维妃</v>
      </c>
      <c r="E2588" s="8" t="str">
        <f t="shared" si="438"/>
        <v>女</v>
      </c>
    </row>
    <row r="2589" spans="1:5" ht="30" customHeight="1">
      <c r="A2589" s="8">
        <v>2586</v>
      </c>
      <c r="B2589" s="8" t="str">
        <f>"38492022042616394239842"</f>
        <v>38492022042616394239842</v>
      </c>
      <c r="C2589" s="8" t="s">
        <v>21</v>
      </c>
      <c r="D2589" s="8" t="str">
        <f>"唐子勋"</f>
        <v>唐子勋</v>
      </c>
      <c r="E2589" s="8" t="str">
        <f aca="true" t="shared" si="439" ref="E2589:E2595">"男"</f>
        <v>男</v>
      </c>
    </row>
    <row r="2590" spans="1:5" ht="30" customHeight="1">
      <c r="A2590" s="8">
        <v>2587</v>
      </c>
      <c r="B2590" s="8" t="str">
        <f>"38492022042616484139859"</f>
        <v>38492022042616484139859</v>
      </c>
      <c r="C2590" s="8" t="s">
        <v>21</v>
      </c>
      <c r="D2590" s="8" t="str">
        <f>"秦瑜蔓"</f>
        <v>秦瑜蔓</v>
      </c>
      <c r="E2590" s="8" t="str">
        <f t="shared" si="438"/>
        <v>女</v>
      </c>
    </row>
    <row r="2591" spans="1:5" ht="30" customHeight="1">
      <c r="A2591" s="8">
        <v>2588</v>
      </c>
      <c r="B2591" s="8" t="str">
        <f>"38492022042616533239866"</f>
        <v>38492022042616533239866</v>
      </c>
      <c r="C2591" s="8" t="s">
        <v>21</v>
      </c>
      <c r="D2591" s="8" t="str">
        <f>"林克彬"</f>
        <v>林克彬</v>
      </c>
      <c r="E2591" s="8" t="str">
        <f t="shared" si="439"/>
        <v>男</v>
      </c>
    </row>
    <row r="2592" spans="1:5" ht="30" customHeight="1">
      <c r="A2592" s="8">
        <v>2589</v>
      </c>
      <c r="B2592" s="8" t="str">
        <f>"38492022042616572339875"</f>
        <v>38492022042616572339875</v>
      </c>
      <c r="C2592" s="8" t="s">
        <v>21</v>
      </c>
      <c r="D2592" s="8" t="str">
        <f>"陈明岑"</f>
        <v>陈明岑</v>
      </c>
      <c r="E2592" s="8" t="str">
        <f aca="true" t="shared" si="440" ref="E2592:E2597">"女"</f>
        <v>女</v>
      </c>
    </row>
    <row r="2593" spans="1:5" ht="30" customHeight="1">
      <c r="A2593" s="8">
        <v>2590</v>
      </c>
      <c r="B2593" s="8" t="str">
        <f>"38492022042617000939882"</f>
        <v>38492022042617000939882</v>
      </c>
      <c r="C2593" s="8" t="s">
        <v>21</v>
      </c>
      <c r="D2593" s="8" t="str">
        <f>"吴廷发"</f>
        <v>吴廷发</v>
      </c>
      <c r="E2593" s="8" t="str">
        <f t="shared" si="439"/>
        <v>男</v>
      </c>
    </row>
    <row r="2594" spans="1:5" ht="30" customHeight="1">
      <c r="A2594" s="8">
        <v>2591</v>
      </c>
      <c r="B2594" s="8" t="str">
        <f>"38492022042617012439884"</f>
        <v>38492022042617012439884</v>
      </c>
      <c r="C2594" s="8" t="s">
        <v>21</v>
      </c>
      <c r="D2594" s="8" t="str">
        <f>"何伟泽"</f>
        <v>何伟泽</v>
      </c>
      <c r="E2594" s="8" t="str">
        <f t="shared" si="439"/>
        <v>男</v>
      </c>
    </row>
    <row r="2595" spans="1:5" ht="30" customHeight="1">
      <c r="A2595" s="8">
        <v>2592</v>
      </c>
      <c r="B2595" s="8" t="str">
        <f>"38492022042617030039885"</f>
        <v>38492022042617030039885</v>
      </c>
      <c r="C2595" s="8" t="s">
        <v>21</v>
      </c>
      <c r="D2595" s="8" t="str">
        <f>"张锡朝"</f>
        <v>张锡朝</v>
      </c>
      <c r="E2595" s="8" t="str">
        <f t="shared" si="439"/>
        <v>男</v>
      </c>
    </row>
    <row r="2596" spans="1:5" ht="30" customHeight="1">
      <c r="A2596" s="8">
        <v>2593</v>
      </c>
      <c r="B2596" s="8" t="str">
        <f>"38492022042617070939889"</f>
        <v>38492022042617070939889</v>
      </c>
      <c r="C2596" s="8" t="s">
        <v>21</v>
      </c>
      <c r="D2596" s="8" t="str">
        <f>"赵春燕"</f>
        <v>赵春燕</v>
      </c>
      <c r="E2596" s="8" t="str">
        <f t="shared" si="440"/>
        <v>女</v>
      </c>
    </row>
    <row r="2597" spans="1:5" ht="30" customHeight="1">
      <c r="A2597" s="8">
        <v>2594</v>
      </c>
      <c r="B2597" s="8" t="str">
        <f>"38492022042617073239890"</f>
        <v>38492022042617073239890</v>
      </c>
      <c r="C2597" s="8" t="s">
        <v>21</v>
      </c>
      <c r="D2597" s="8" t="str">
        <f>"符海珑"</f>
        <v>符海珑</v>
      </c>
      <c r="E2597" s="8" t="str">
        <f t="shared" si="440"/>
        <v>女</v>
      </c>
    </row>
    <row r="2598" spans="1:5" ht="30" customHeight="1">
      <c r="A2598" s="8">
        <v>2595</v>
      </c>
      <c r="B2598" s="8" t="str">
        <f>"38492022042617140039898"</f>
        <v>38492022042617140039898</v>
      </c>
      <c r="C2598" s="8" t="s">
        <v>21</v>
      </c>
      <c r="D2598" s="8" t="str">
        <f>"许有为"</f>
        <v>许有为</v>
      </c>
      <c r="E2598" s="8" t="str">
        <f aca="true" t="shared" si="441" ref="E2598:E2603">"男"</f>
        <v>男</v>
      </c>
    </row>
    <row r="2599" spans="1:5" ht="30" customHeight="1">
      <c r="A2599" s="8">
        <v>2596</v>
      </c>
      <c r="B2599" s="8" t="str">
        <f>"38492022042617154939901"</f>
        <v>38492022042617154939901</v>
      </c>
      <c r="C2599" s="8" t="s">
        <v>21</v>
      </c>
      <c r="D2599" s="8" t="str">
        <f>"黄亚媛"</f>
        <v>黄亚媛</v>
      </c>
      <c r="E2599" s="8" t="str">
        <f aca="true" t="shared" si="442" ref="E2599:E2606">"女"</f>
        <v>女</v>
      </c>
    </row>
    <row r="2600" spans="1:5" ht="30" customHeight="1">
      <c r="A2600" s="8">
        <v>2597</v>
      </c>
      <c r="B2600" s="8" t="str">
        <f>"38492022042617161439903"</f>
        <v>38492022042617161439903</v>
      </c>
      <c r="C2600" s="8" t="s">
        <v>21</v>
      </c>
      <c r="D2600" s="8" t="str">
        <f>"周鑫"</f>
        <v>周鑫</v>
      </c>
      <c r="E2600" s="8" t="str">
        <f t="shared" si="441"/>
        <v>男</v>
      </c>
    </row>
    <row r="2601" spans="1:5" ht="30" customHeight="1">
      <c r="A2601" s="8">
        <v>2598</v>
      </c>
      <c r="B2601" s="8" t="str">
        <f>"38492022042617213239908"</f>
        <v>38492022042617213239908</v>
      </c>
      <c r="C2601" s="8" t="s">
        <v>21</v>
      </c>
      <c r="D2601" s="8" t="str">
        <f>"王罗怡"</f>
        <v>王罗怡</v>
      </c>
      <c r="E2601" s="8" t="str">
        <f t="shared" si="442"/>
        <v>女</v>
      </c>
    </row>
    <row r="2602" spans="1:5" ht="30" customHeight="1">
      <c r="A2602" s="8">
        <v>2599</v>
      </c>
      <c r="B2602" s="8" t="str">
        <f>"38492022042617381039924"</f>
        <v>38492022042617381039924</v>
      </c>
      <c r="C2602" s="8" t="s">
        <v>21</v>
      </c>
      <c r="D2602" s="8" t="str">
        <f>"唐荣"</f>
        <v>唐荣</v>
      </c>
      <c r="E2602" s="8" t="str">
        <f t="shared" si="441"/>
        <v>男</v>
      </c>
    </row>
    <row r="2603" spans="1:5" ht="30" customHeight="1">
      <c r="A2603" s="8">
        <v>2600</v>
      </c>
      <c r="B2603" s="8" t="str">
        <f>"38492022042617495739939"</f>
        <v>38492022042617495739939</v>
      </c>
      <c r="C2603" s="8" t="s">
        <v>21</v>
      </c>
      <c r="D2603" s="8" t="str">
        <f>"麦名凯"</f>
        <v>麦名凯</v>
      </c>
      <c r="E2603" s="8" t="str">
        <f t="shared" si="441"/>
        <v>男</v>
      </c>
    </row>
    <row r="2604" spans="1:5" ht="30" customHeight="1">
      <c r="A2604" s="8">
        <v>2601</v>
      </c>
      <c r="B2604" s="8" t="str">
        <f>"38492022042617574239949"</f>
        <v>38492022042617574239949</v>
      </c>
      <c r="C2604" s="8" t="s">
        <v>21</v>
      </c>
      <c r="D2604" s="8" t="str">
        <f>"李娜"</f>
        <v>李娜</v>
      </c>
      <c r="E2604" s="8" t="str">
        <f t="shared" si="442"/>
        <v>女</v>
      </c>
    </row>
    <row r="2605" spans="1:5" ht="30" customHeight="1">
      <c r="A2605" s="8">
        <v>2602</v>
      </c>
      <c r="B2605" s="8" t="str">
        <f>"38492022042617575239951"</f>
        <v>38492022042617575239951</v>
      </c>
      <c r="C2605" s="8" t="s">
        <v>21</v>
      </c>
      <c r="D2605" s="8" t="str">
        <f>"吕燕婷"</f>
        <v>吕燕婷</v>
      </c>
      <c r="E2605" s="8" t="str">
        <f t="shared" si="442"/>
        <v>女</v>
      </c>
    </row>
    <row r="2606" spans="1:5" ht="30" customHeight="1">
      <c r="A2606" s="8">
        <v>2603</v>
      </c>
      <c r="B2606" s="8" t="str">
        <f>"38492022042618100039959"</f>
        <v>38492022042618100039959</v>
      </c>
      <c r="C2606" s="8" t="s">
        <v>21</v>
      </c>
      <c r="D2606" s="8" t="str">
        <f>"刘烨"</f>
        <v>刘烨</v>
      </c>
      <c r="E2606" s="8" t="str">
        <f t="shared" si="442"/>
        <v>女</v>
      </c>
    </row>
    <row r="2607" spans="1:5" ht="30" customHeight="1">
      <c r="A2607" s="8">
        <v>2604</v>
      </c>
      <c r="B2607" s="8" t="str">
        <f>"38492022042618200839972"</f>
        <v>38492022042618200839972</v>
      </c>
      <c r="C2607" s="8" t="s">
        <v>21</v>
      </c>
      <c r="D2607" s="8" t="str">
        <f>"罗泽民"</f>
        <v>罗泽民</v>
      </c>
      <c r="E2607" s="8" t="str">
        <f aca="true" t="shared" si="443" ref="E2607:E2611">"男"</f>
        <v>男</v>
      </c>
    </row>
    <row r="2608" spans="1:5" ht="30" customHeight="1">
      <c r="A2608" s="8">
        <v>2605</v>
      </c>
      <c r="B2608" s="8" t="str">
        <f>"38492022042618213439975"</f>
        <v>38492022042618213439975</v>
      </c>
      <c r="C2608" s="8" t="s">
        <v>21</v>
      </c>
      <c r="D2608" s="8" t="str">
        <f>"陆宣后"</f>
        <v>陆宣后</v>
      </c>
      <c r="E2608" s="8" t="str">
        <f>"女"</f>
        <v>女</v>
      </c>
    </row>
    <row r="2609" spans="1:5" ht="30" customHeight="1">
      <c r="A2609" s="8">
        <v>2606</v>
      </c>
      <c r="B2609" s="8" t="str">
        <f>"38492022042618330139987"</f>
        <v>38492022042618330139987</v>
      </c>
      <c r="C2609" s="8" t="s">
        <v>21</v>
      </c>
      <c r="D2609" s="8" t="str">
        <f>"陈杰敏"</f>
        <v>陈杰敏</v>
      </c>
      <c r="E2609" s="8" t="str">
        <f t="shared" si="443"/>
        <v>男</v>
      </c>
    </row>
    <row r="2610" spans="1:5" ht="30" customHeight="1">
      <c r="A2610" s="8">
        <v>2607</v>
      </c>
      <c r="B2610" s="8" t="str">
        <f>"38492022042618390540001"</f>
        <v>38492022042618390540001</v>
      </c>
      <c r="C2610" s="8" t="s">
        <v>21</v>
      </c>
      <c r="D2610" s="8" t="str">
        <f>"林海"</f>
        <v>林海</v>
      </c>
      <c r="E2610" s="8" t="str">
        <f t="shared" si="443"/>
        <v>男</v>
      </c>
    </row>
    <row r="2611" spans="1:5" ht="30" customHeight="1">
      <c r="A2611" s="8">
        <v>2608</v>
      </c>
      <c r="B2611" s="8" t="str">
        <f>"38492022042618422640004"</f>
        <v>38492022042618422640004</v>
      </c>
      <c r="C2611" s="8" t="s">
        <v>21</v>
      </c>
      <c r="D2611" s="8" t="str">
        <f>"陈金宁"</f>
        <v>陈金宁</v>
      </c>
      <c r="E2611" s="8" t="str">
        <f t="shared" si="443"/>
        <v>男</v>
      </c>
    </row>
    <row r="2612" spans="1:5" ht="30" customHeight="1">
      <c r="A2612" s="8">
        <v>2609</v>
      </c>
      <c r="B2612" s="8" t="str">
        <f>"38492022042618482640010"</f>
        <v>38492022042618482640010</v>
      </c>
      <c r="C2612" s="8" t="s">
        <v>21</v>
      </c>
      <c r="D2612" s="8" t="str">
        <f>"许婉妍"</f>
        <v>许婉妍</v>
      </c>
      <c r="E2612" s="8" t="str">
        <f aca="true" t="shared" si="444" ref="E2612:E2617">"女"</f>
        <v>女</v>
      </c>
    </row>
    <row r="2613" spans="1:5" ht="30" customHeight="1">
      <c r="A2613" s="8">
        <v>2610</v>
      </c>
      <c r="B2613" s="8" t="str">
        <f>"38492022042618533640015"</f>
        <v>38492022042618533640015</v>
      </c>
      <c r="C2613" s="8" t="s">
        <v>21</v>
      </c>
      <c r="D2613" s="8" t="str">
        <f>"钟丹"</f>
        <v>钟丹</v>
      </c>
      <c r="E2613" s="8" t="str">
        <f>"男"</f>
        <v>男</v>
      </c>
    </row>
    <row r="2614" spans="1:5" ht="30" customHeight="1">
      <c r="A2614" s="8">
        <v>2611</v>
      </c>
      <c r="B2614" s="8" t="str">
        <f>"38492022042619152840033"</f>
        <v>38492022042619152840033</v>
      </c>
      <c r="C2614" s="8" t="s">
        <v>21</v>
      </c>
      <c r="D2614" s="8" t="str">
        <f>"吴汉妍"</f>
        <v>吴汉妍</v>
      </c>
      <c r="E2614" s="8" t="str">
        <f t="shared" si="444"/>
        <v>女</v>
      </c>
    </row>
    <row r="2615" spans="1:5" ht="30" customHeight="1">
      <c r="A2615" s="8">
        <v>2612</v>
      </c>
      <c r="B2615" s="8" t="str">
        <f>"38492022042619164940036"</f>
        <v>38492022042619164940036</v>
      </c>
      <c r="C2615" s="8" t="s">
        <v>21</v>
      </c>
      <c r="D2615" s="8" t="str">
        <f>"彭佳玉"</f>
        <v>彭佳玉</v>
      </c>
      <c r="E2615" s="8" t="str">
        <f t="shared" si="444"/>
        <v>女</v>
      </c>
    </row>
    <row r="2616" spans="1:5" ht="30" customHeight="1">
      <c r="A2616" s="8">
        <v>2613</v>
      </c>
      <c r="B2616" s="8" t="str">
        <f>"38492022042619200040044"</f>
        <v>38492022042619200040044</v>
      </c>
      <c r="C2616" s="8" t="s">
        <v>21</v>
      </c>
      <c r="D2616" s="8" t="str">
        <f>"朱海燕"</f>
        <v>朱海燕</v>
      </c>
      <c r="E2616" s="8" t="str">
        <f t="shared" si="444"/>
        <v>女</v>
      </c>
    </row>
    <row r="2617" spans="1:5" ht="30" customHeight="1">
      <c r="A2617" s="8">
        <v>2614</v>
      </c>
      <c r="B2617" s="8" t="str">
        <f>"38492022042619263840055"</f>
        <v>38492022042619263840055</v>
      </c>
      <c r="C2617" s="8" t="s">
        <v>21</v>
      </c>
      <c r="D2617" s="8" t="str">
        <f>"王亚茹"</f>
        <v>王亚茹</v>
      </c>
      <c r="E2617" s="8" t="str">
        <f t="shared" si="444"/>
        <v>女</v>
      </c>
    </row>
    <row r="2618" spans="1:5" ht="30" customHeight="1">
      <c r="A2618" s="8">
        <v>2615</v>
      </c>
      <c r="B2618" s="8" t="str">
        <f>"38492022042619495940076"</f>
        <v>38492022042619495940076</v>
      </c>
      <c r="C2618" s="8" t="s">
        <v>21</v>
      </c>
      <c r="D2618" s="8" t="str">
        <f>"张昌越"</f>
        <v>张昌越</v>
      </c>
      <c r="E2618" s="8" t="str">
        <f>"男"</f>
        <v>男</v>
      </c>
    </row>
    <row r="2619" spans="1:5" ht="30" customHeight="1">
      <c r="A2619" s="8">
        <v>2616</v>
      </c>
      <c r="B2619" s="8" t="str">
        <f>"38492022042619544540079"</f>
        <v>38492022042619544540079</v>
      </c>
      <c r="C2619" s="8" t="s">
        <v>21</v>
      </c>
      <c r="D2619" s="8" t="str">
        <f>"羊菊秀"</f>
        <v>羊菊秀</v>
      </c>
      <c r="E2619" s="8" t="str">
        <f aca="true" t="shared" si="445" ref="E2619:E2621">"女"</f>
        <v>女</v>
      </c>
    </row>
    <row r="2620" spans="1:5" ht="30" customHeight="1">
      <c r="A2620" s="8">
        <v>2617</v>
      </c>
      <c r="B2620" s="8" t="str">
        <f>"38492022042619553040080"</f>
        <v>38492022042619553040080</v>
      </c>
      <c r="C2620" s="8" t="s">
        <v>21</v>
      </c>
      <c r="D2620" s="8" t="str">
        <f>"邓慧霞"</f>
        <v>邓慧霞</v>
      </c>
      <c r="E2620" s="8" t="str">
        <f t="shared" si="445"/>
        <v>女</v>
      </c>
    </row>
    <row r="2621" spans="1:5" ht="30" customHeight="1">
      <c r="A2621" s="8">
        <v>2618</v>
      </c>
      <c r="B2621" s="8" t="str">
        <f>"38492022042619553140081"</f>
        <v>38492022042619553140081</v>
      </c>
      <c r="C2621" s="8" t="s">
        <v>21</v>
      </c>
      <c r="D2621" s="8" t="str">
        <f>"符姨翠"</f>
        <v>符姨翠</v>
      </c>
      <c r="E2621" s="8" t="str">
        <f t="shared" si="445"/>
        <v>女</v>
      </c>
    </row>
    <row r="2622" spans="1:5" ht="30" customHeight="1">
      <c r="A2622" s="8">
        <v>2619</v>
      </c>
      <c r="B2622" s="8" t="str">
        <f>"38492022042620004640089"</f>
        <v>38492022042620004640089</v>
      </c>
      <c r="C2622" s="8" t="s">
        <v>21</v>
      </c>
      <c r="D2622" s="8" t="str">
        <f>"洪光大"</f>
        <v>洪光大</v>
      </c>
      <c r="E2622" s="8" t="str">
        <f aca="true" t="shared" si="446" ref="E2622:E2627">"男"</f>
        <v>男</v>
      </c>
    </row>
    <row r="2623" spans="1:5" ht="30" customHeight="1">
      <c r="A2623" s="8">
        <v>2620</v>
      </c>
      <c r="B2623" s="8" t="str">
        <f>"38492022042620013340091"</f>
        <v>38492022042620013340091</v>
      </c>
      <c r="C2623" s="8" t="s">
        <v>21</v>
      </c>
      <c r="D2623" s="8" t="str">
        <f>"赵寒"</f>
        <v>赵寒</v>
      </c>
      <c r="E2623" s="8" t="str">
        <f aca="true" t="shared" si="447" ref="E2623:E2629">"女"</f>
        <v>女</v>
      </c>
    </row>
    <row r="2624" spans="1:5" ht="30" customHeight="1">
      <c r="A2624" s="8">
        <v>2621</v>
      </c>
      <c r="B2624" s="8" t="str">
        <f>"38492022042620105740108"</f>
        <v>38492022042620105740108</v>
      </c>
      <c r="C2624" s="8" t="s">
        <v>21</v>
      </c>
      <c r="D2624" s="8" t="str">
        <f>"杨国正"</f>
        <v>杨国正</v>
      </c>
      <c r="E2624" s="8" t="str">
        <f t="shared" si="446"/>
        <v>男</v>
      </c>
    </row>
    <row r="2625" spans="1:5" ht="30" customHeight="1">
      <c r="A2625" s="8">
        <v>2622</v>
      </c>
      <c r="B2625" s="8" t="str">
        <f>"38492022042620291340138"</f>
        <v>38492022042620291340138</v>
      </c>
      <c r="C2625" s="8" t="s">
        <v>21</v>
      </c>
      <c r="D2625" s="8" t="str">
        <f>"蔡倩妹"</f>
        <v>蔡倩妹</v>
      </c>
      <c r="E2625" s="8" t="str">
        <f t="shared" si="447"/>
        <v>女</v>
      </c>
    </row>
    <row r="2626" spans="1:5" ht="30" customHeight="1">
      <c r="A2626" s="8">
        <v>2623</v>
      </c>
      <c r="B2626" s="8" t="str">
        <f>"38492022042620305640139"</f>
        <v>38492022042620305640139</v>
      </c>
      <c r="C2626" s="8" t="s">
        <v>21</v>
      </c>
      <c r="D2626" s="8" t="str">
        <f>"林成峰"</f>
        <v>林成峰</v>
      </c>
      <c r="E2626" s="8" t="str">
        <f t="shared" si="446"/>
        <v>男</v>
      </c>
    </row>
    <row r="2627" spans="1:5" ht="30" customHeight="1">
      <c r="A2627" s="8">
        <v>2624</v>
      </c>
      <c r="B2627" s="8" t="str">
        <f>"38492022042620330140146"</f>
        <v>38492022042620330140146</v>
      </c>
      <c r="C2627" s="8" t="s">
        <v>21</v>
      </c>
      <c r="D2627" s="8" t="str">
        <f>"梁嘉伟"</f>
        <v>梁嘉伟</v>
      </c>
      <c r="E2627" s="8" t="str">
        <f t="shared" si="446"/>
        <v>男</v>
      </c>
    </row>
    <row r="2628" spans="1:5" ht="30" customHeight="1">
      <c r="A2628" s="8">
        <v>2625</v>
      </c>
      <c r="B2628" s="8" t="str">
        <f>"38492022042620380840154"</f>
        <v>38492022042620380840154</v>
      </c>
      <c r="C2628" s="8" t="s">
        <v>21</v>
      </c>
      <c r="D2628" s="8" t="str">
        <f>"陈益顺"</f>
        <v>陈益顺</v>
      </c>
      <c r="E2628" s="8" t="str">
        <f t="shared" si="447"/>
        <v>女</v>
      </c>
    </row>
    <row r="2629" spans="1:5" ht="30" customHeight="1">
      <c r="A2629" s="8">
        <v>2626</v>
      </c>
      <c r="B2629" s="8" t="str">
        <f>"38492022042620485140169"</f>
        <v>38492022042620485140169</v>
      </c>
      <c r="C2629" s="8" t="s">
        <v>21</v>
      </c>
      <c r="D2629" s="8" t="str">
        <f>"何舜萍"</f>
        <v>何舜萍</v>
      </c>
      <c r="E2629" s="8" t="str">
        <f t="shared" si="447"/>
        <v>女</v>
      </c>
    </row>
    <row r="2630" spans="1:5" ht="30" customHeight="1">
      <c r="A2630" s="8">
        <v>2627</v>
      </c>
      <c r="B2630" s="8" t="str">
        <f>"38492022042620512040174"</f>
        <v>38492022042620512040174</v>
      </c>
      <c r="C2630" s="8" t="s">
        <v>21</v>
      </c>
      <c r="D2630" s="8" t="str">
        <f>"朱忠海"</f>
        <v>朱忠海</v>
      </c>
      <c r="E2630" s="8" t="str">
        <f aca="true" t="shared" si="448" ref="E2630:E2634">"男"</f>
        <v>男</v>
      </c>
    </row>
    <row r="2631" spans="1:5" ht="30" customHeight="1">
      <c r="A2631" s="8">
        <v>2628</v>
      </c>
      <c r="B2631" s="8" t="str">
        <f>"38492022042620530040175"</f>
        <v>38492022042620530040175</v>
      </c>
      <c r="C2631" s="8" t="s">
        <v>21</v>
      </c>
      <c r="D2631" s="8" t="str">
        <f>"林燕宁"</f>
        <v>林燕宁</v>
      </c>
      <c r="E2631" s="8" t="str">
        <f aca="true" t="shared" si="449" ref="E2631:E2635">"女"</f>
        <v>女</v>
      </c>
    </row>
    <row r="2632" spans="1:5" ht="30" customHeight="1">
      <c r="A2632" s="8">
        <v>2629</v>
      </c>
      <c r="B2632" s="8" t="str">
        <f>"38492022042620541140177"</f>
        <v>38492022042620541140177</v>
      </c>
      <c r="C2632" s="8" t="s">
        <v>21</v>
      </c>
      <c r="D2632" s="8" t="str">
        <f>"沈玉"</f>
        <v>沈玉</v>
      </c>
      <c r="E2632" s="8" t="str">
        <f t="shared" si="449"/>
        <v>女</v>
      </c>
    </row>
    <row r="2633" spans="1:5" ht="30" customHeight="1">
      <c r="A2633" s="8">
        <v>2630</v>
      </c>
      <c r="B2633" s="8" t="str">
        <f>"38492022042620550740179"</f>
        <v>38492022042620550740179</v>
      </c>
      <c r="C2633" s="8" t="s">
        <v>21</v>
      </c>
      <c r="D2633" s="8" t="str">
        <f>"郑童遥"</f>
        <v>郑童遥</v>
      </c>
      <c r="E2633" s="8" t="str">
        <f t="shared" si="448"/>
        <v>男</v>
      </c>
    </row>
    <row r="2634" spans="1:5" ht="30" customHeight="1">
      <c r="A2634" s="8">
        <v>2631</v>
      </c>
      <c r="B2634" s="8" t="str">
        <f>"38492022042620554540180"</f>
        <v>38492022042620554540180</v>
      </c>
      <c r="C2634" s="8" t="s">
        <v>21</v>
      </c>
      <c r="D2634" s="8" t="str">
        <f>"王筱"</f>
        <v>王筱</v>
      </c>
      <c r="E2634" s="8" t="str">
        <f t="shared" si="448"/>
        <v>男</v>
      </c>
    </row>
    <row r="2635" spans="1:5" ht="30" customHeight="1">
      <c r="A2635" s="8">
        <v>2632</v>
      </c>
      <c r="B2635" s="8" t="str">
        <f>"38492022042620561340181"</f>
        <v>38492022042620561340181</v>
      </c>
      <c r="C2635" s="8" t="s">
        <v>21</v>
      </c>
      <c r="D2635" s="8" t="str">
        <f>"王新花"</f>
        <v>王新花</v>
      </c>
      <c r="E2635" s="8" t="str">
        <f t="shared" si="449"/>
        <v>女</v>
      </c>
    </row>
    <row r="2636" spans="1:5" ht="30" customHeight="1">
      <c r="A2636" s="8">
        <v>2633</v>
      </c>
      <c r="B2636" s="8" t="str">
        <f>"38492022042620570240183"</f>
        <v>38492022042620570240183</v>
      </c>
      <c r="C2636" s="8" t="s">
        <v>21</v>
      </c>
      <c r="D2636" s="8" t="str">
        <f>"唐健"</f>
        <v>唐健</v>
      </c>
      <c r="E2636" s="8" t="str">
        <f aca="true" t="shared" si="450" ref="E2636:E2639">"男"</f>
        <v>男</v>
      </c>
    </row>
    <row r="2637" spans="1:5" ht="30" customHeight="1">
      <c r="A2637" s="8">
        <v>2634</v>
      </c>
      <c r="B2637" s="8" t="str">
        <f>"38492022042621043440196"</f>
        <v>38492022042621043440196</v>
      </c>
      <c r="C2637" s="8" t="s">
        <v>21</v>
      </c>
      <c r="D2637" s="8" t="str">
        <f>"陈正亮"</f>
        <v>陈正亮</v>
      </c>
      <c r="E2637" s="8" t="str">
        <f t="shared" si="450"/>
        <v>男</v>
      </c>
    </row>
    <row r="2638" spans="1:5" ht="30" customHeight="1">
      <c r="A2638" s="8">
        <v>2635</v>
      </c>
      <c r="B2638" s="8" t="str">
        <f>"38492022042621101340213"</f>
        <v>38492022042621101340213</v>
      </c>
      <c r="C2638" s="8" t="s">
        <v>21</v>
      </c>
      <c r="D2638" s="8" t="str">
        <f>"赵金香"</f>
        <v>赵金香</v>
      </c>
      <c r="E2638" s="8" t="str">
        <f aca="true" t="shared" si="451" ref="E2638:E2643">"女"</f>
        <v>女</v>
      </c>
    </row>
    <row r="2639" spans="1:5" ht="30" customHeight="1">
      <c r="A2639" s="8">
        <v>2636</v>
      </c>
      <c r="B2639" s="8" t="str">
        <f>"38492022042621120840214"</f>
        <v>38492022042621120840214</v>
      </c>
      <c r="C2639" s="8" t="s">
        <v>21</v>
      </c>
      <c r="D2639" s="8" t="str">
        <f>"林瑞颖"</f>
        <v>林瑞颖</v>
      </c>
      <c r="E2639" s="8" t="str">
        <f t="shared" si="450"/>
        <v>男</v>
      </c>
    </row>
    <row r="2640" spans="1:5" ht="30" customHeight="1">
      <c r="A2640" s="8">
        <v>2637</v>
      </c>
      <c r="B2640" s="8" t="str">
        <f>"38492022042621173440224"</f>
        <v>38492022042621173440224</v>
      </c>
      <c r="C2640" s="8" t="s">
        <v>21</v>
      </c>
      <c r="D2640" s="8" t="str">
        <f>"周淑娴"</f>
        <v>周淑娴</v>
      </c>
      <c r="E2640" s="8" t="str">
        <f t="shared" si="451"/>
        <v>女</v>
      </c>
    </row>
    <row r="2641" spans="1:5" ht="30" customHeight="1">
      <c r="A2641" s="8">
        <v>2638</v>
      </c>
      <c r="B2641" s="8" t="str">
        <f>"38492022042621195040226"</f>
        <v>38492022042621195040226</v>
      </c>
      <c r="C2641" s="8" t="s">
        <v>21</v>
      </c>
      <c r="D2641" s="8" t="str">
        <f>"严家伟"</f>
        <v>严家伟</v>
      </c>
      <c r="E2641" s="8" t="str">
        <f aca="true" t="shared" si="452" ref="E2641:E2645">"男"</f>
        <v>男</v>
      </c>
    </row>
    <row r="2642" spans="1:5" ht="30" customHeight="1">
      <c r="A2642" s="8">
        <v>2639</v>
      </c>
      <c r="B2642" s="8" t="str">
        <f>"38492022042621241340237"</f>
        <v>38492022042621241340237</v>
      </c>
      <c r="C2642" s="8" t="s">
        <v>21</v>
      </c>
      <c r="D2642" s="8" t="str">
        <f>"翁焕春"</f>
        <v>翁焕春</v>
      </c>
      <c r="E2642" s="8" t="str">
        <f t="shared" si="451"/>
        <v>女</v>
      </c>
    </row>
    <row r="2643" spans="1:5" ht="30" customHeight="1">
      <c r="A2643" s="8">
        <v>2640</v>
      </c>
      <c r="B2643" s="8" t="str">
        <f>"38492022042621304640250"</f>
        <v>38492022042621304640250</v>
      </c>
      <c r="C2643" s="8" t="s">
        <v>21</v>
      </c>
      <c r="D2643" s="8" t="str">
        <f>"羊丽春"</f>
        <v>羊丽春</v>
      </c>
      <c r="E2643" s="8" t="str">
        <f t="shared" si="451"/>
        <v>女</v>
      </c>
    </row>
    <row r="2644" spans="1:5" ht="30" customHeight="1">
      <c r="A2644" s="8">
        <v>2641</v>
      </c>
      <c r="B2644" s="8" t="str">
        <f>"38492022042621322240253"</f>
        <v>38492022042621322240253</v>
      </c>
      <c r="C2644" s="8" t="s">
        <v>21</v>
      </c>
      <c r="D2644" s="8" t="str">
        <f>"方锐"</f>
        <v>方锐</v>
      </c>
      <c r="E2644" s="8" t="str">
        <f t="shared" si="452"/>
        <v>男</v>
      </c>
    </row>
    <row r="2645" spans="1:5" ht="30" customHeight="1">
      <c r="A2645" s="8">
        <v>2642</v>
      </c>
      <c r="B2645" s="8" t="str">
        <f>"38492022042621424140262"</f>
        <v>38492022042621424140262</v>
      </c>
      <c r="C2645" s="8" t="s">
        <v>21</v>
      </c>
      <c r="D2645" s="8" t="str">
        <f>"苏桐译"</f>
        <v>苏桐译</v>
      </c>
      <c r="E2645" s="8" t="str">
        <f t="shared" si="452"/>
        <v>男</v>
      </c>
    </row>
    <row r="2646" spans="1:5" ht="30" customHeight="1">
      <c r="A2646" s="8">
        <v>2643</v>
      </c>
      <c r="B2646" s="8" t="str">
        <f>"38492022042621433640266"</f>
        <v>38492022042621433640266</v>
      </c>
      <c r="C2646" s="8" t="s">
        <v>21</v>
      </c>
      <c r="D2646" s="8" t="str">
        <f>"云薇"</f>
        <v>云薇</v>
      </c>
      <c r="E2646" s="8" t="str">
        <f aca="true" t="shared" si="453" ref="E2646:E2648">"女"</f>
        <v>女</v>
      </c>
    </row>
    <row r="2647" spans="1:5" ht="30" customHeight="1">
      <c r="A2647" s="8">
        <v>2644</v>
      </c>
      <c r="B2647" s="8" t="str">
        <f>"38492022042621464640272"</f>
        <v>38492022042621464640272</v>
      </c>
      <c r="C2647" s="8" t="s">
        <v>21</v>
      </c>
      <c r="D2647" s="8" t="str">
        <f>"符悦"</f>
        <v>符悦</v>
      </c>
      <c r="E2647" s="8" t="str">
        <f t="shared" si="453"/>
        <v>女</v>
      </c>
    </row>
    <row r="2648" spans="1:5" ht="30" customHeight="1">
      <c r="A2648" s="8">
        <v>2645</v>
      </c>
      <c r="B2648" s="8" t="str">
        <f>"38492022042621490840274"</f>
        <v>38492022042621490840274</v>
      </c>
      <c r="C2648" s="8" t="s">
        <v>21</v>
      </c>
      <c r="D2648" s="8" t="str">
        <f>"桂星星"</f>
        <v>桂星星</v>
      </c>
      <c r="E2648" s="8" t="str">
        <f t="shared" si="453"/>
        <v>女</v>
      </c>
    </row>
    <row r="2649" spans="1:5" ht="30" customHeight="1">
      <c r="A2649" s="8">
        <v>2646</v>
      </c>
      <c r="B2649" s="8" t="str">
        <f>"38492022042621494440275"</f>
        <v>38492022042621494440275</v>
      </c>
      <c r="C2649" s="8" t="s">
        <v>21</v>
      </c>
      <c r="D2649" s="8" t="str">
        <f>"王盛棠"</f>
        <v>王盛棠</v>
      </c>
      <c r="E2649" s="8" t="str">
        <f aca="true" t="shared" si="454" ref="E2649:E2654">"男"</f>
        <v>男</v>
      </c>
    </row>
    <row r="2650" spans="1:5" ht="30" customHeight="1">
      <c r="A2650" s="8">
        <v>2647</v>
      </c>
      <c r="B2650" s="8" t="str">
        <f>"38492022042621530540280"</f>
        <v>38492022042621530540280</v>
      </c>
      <c r="C2650" s="8" t="s">
        <v>21</v>
      </c>
      <c r="D2650" s="8" t="str">
        <f>"陈鉴"</f>
        <v>陈鉴</v>
      </c>
      <c r="E2650" s="8" t="str">
        <f t="shared" si="454"/>
        <v>男</v>
      </c>
    </row>
    <row r="2651" spans="1:5" ht="30" customHeight="1">
      <c r="A2651" s="8">
        <v>2648</v>
      </c>
      <c r="B2651" s="8" t="str">
        <f>"38492022042621542240281"</f>
        <v>38492022042621542240281</v>
      </c>
      <c r="C2651" s="8" t="s">
        <v>21</v>
      </c>
      <c r="D2651" s="8" t="str">
        <f>"史勤强"</f>
        <v>史勤强</v>
      </c>
      <c r="E2651" s="8" t="str">
        <f t="shared" si="454"/>
        <v>男</v>
      </c>
    </row>
    <row r="2652" spans="1:5" ht="30" customHeight="1">
      <c r="A2652" s="8">
        <v>2649</v>
      </c>
      <c r="B2652" s="8" t="str">
        <f>"38492022042621561440284"</f>
        <v>38492022042621561440284</v>
      </c>
      <c r="C2652" s="8" t="s">
        <v>21</v>
      </c>
      <c r="D2652" s="8" t="str">
        <f>"孙宙宙"</f>
        <v>孙宙宙</v>
      </c>
      <c r="E2652" s="8" t="str">
        <f t="shared" si="454"/>
        <v>男</v>
      </c>
    </row>
    <row r="2653" spans="1:5" ht="30" customHeight="1">
      <c r="A2653" s="8">
        <v>2650</v>
      </c>
      <c r="B2653" s="8" t="str">
        <f>"38492022042621594340293"</f>
        <v>38492022042621594340293</v>
      </c>
      <c r="C2653" s="8" t="s">
        <v>21</v>
      </c>
      <c r="D2653" s="8" t="str">
        <f>"林伟伟"</f>
        <v>林伟伟</v>
      </c>
      <c r="E2653" s="8" t="str">
        <f t="shared" si="454"/>
        <v>男</v>
      </c>
    </row>
    <row r="2654" spans="1:5" ht="30" customHeight="1">
      <c r="A2654" s="8">
        <v>2651</v>
      </c>
      <c r="B2654" s="8" t="str">
        <f>"38492022042622013440296"</f>
        <v>38492022042622013440296</v>
      </c>
      <c r="C2654" s="8" t="s">
        <v>21</v>
      </c>
      <c r="D2654" s="8" t="str">
        <f>"王俞顺"</f>
        <v>王俞顺</v>
      </c>
      <c r="E2654" s="8" t="str">
        <f t="shared" si="454"/>
        <v>男</v>
      </c>
    </row>
    <row r="2655" spans="1:5" ht="30" customHeight="1">
      <c r="A2655" s="8">
        <v>2652</v>
      </c>
      <c r="B2655" s="8" t="str">
        <f>"38492022042622074540306"</f>
        <v>38492022042622074540306</v>
      </c>
      <c r="C2655" s="8" t="s">
        <v>21</v>
      </c>
      <c r="D2655" s="8" t="str">
        <f>"吴颖"</f>
        <v>吴颖</v>
      </c>
      <c r="E2655" s="8" t="str">
        <f aca="true" t="shared" si="455" ref="E2655:E2657">"女"</f>
        <v>女</v>
      </c>
    </row>
    <row r="2656" spans="1:5" ht="30" customHeight="1">
      <c r="A2656" s="8">
        <v>2653</v>
      </c>
      <c r="B2656" s="8" t="str">
        <f>"38492022042622083440309"</f>
        <v>38492022042622083440309</v>
      </c>
      <c r="C2656" s="8" t="s">
        <v>21</v>
      </c>
      <c r="D2656" s="8" t="str">
        <f>"符琪"</f>
        <v>符琪</v>
      </c>
      <c r="E2656" s="8" t="str">
        <f t="shared" si="455"/>
        <v>女</v>
      </c>
    </row>
    <row r="2657" spans="1:5" ht="30" customHeight="1">
      <c r="A2657" s="8">
        <v>2654</v>
      </c>
      <c r="B2657" s="8" t="str">
        <f>"38492022042622131240312"</f>
        <v>38492022042622131240312</v>
      </c>
      <c r="C2657" s="8" t="s">
        <v>21</v>
      </c>
      <c r="D2657" s="8" t="str">
        <f>"符定欢"</f>
        <v>符定欢</v>
      </c>
      <c r="E2657" s="8" t="str">
        <f t="shared" si="455"/>
        <v>女</v>
      </c>
    </row>
    <row r="2658" spans="1:5" ht="30" customHeight="1">
      <c r="A2658" s="8">
        <v>2655</v>
      </c>
      <c r="B2658" s="8" t="str">
        <f>"38492022042622150540314"</f>
        <v>38492022042622150540314</v>
      </c>
      <c r="C2658" s="8" t="s">
        <v>21</v>
      </c>
      <c r="D2658" s="8" t="str">
        <f>"黄为"</f>
        <v>黄为</v>
      </c>
      <c r="E2658" s="8" t="str">
        <f aca="true" t="shared" si="456" ref="E2658:E2660">"男"</f>
        <v>男</v>
      </c>
    </row>
    <row r="2659" spans="1:5" ht="30" customHeight="1">
      <c r="A2659" s="8">
        <v>2656</v>
      </c>
      <c r="B2659" s="8" t="str">
        <f>"38492022042622283640339"</f>
        <v>38492022042622283640339</v>
      </c>
      <c r="C2659" s="8" t="s">
        <v>21</v>
      </c>
      <c r="D2659" s="8" t="str">
        <f>"陈其威"</f>
        <v>陈其威</v>
      </c>
      <c r="E2659" s="8" t="str">
        <f t="shared" si="456"/>
        <v>男</v>
      </c>
    </row>
    <row r="2660" spans="1:5" ht="30" customHeight="1">
      <c r="A2660" s="8">
        <v>2657</v>
      </c>
      <c r="B2660" s="8" t="str">
        <f>"38492022042622345140351"</f>
        <v>38492022042622345140351</v>
      </c>
      <c r="C2660" s="8" t="s">
        <v>21</v>
      </c>
      <c r="D2660" s="8" t="str">
        <f>"符明华"</f>
        <v>符明华</v>
      </c>
      <c r="E2660" s="8" t="str">
        <f t="shared" si="456"/>
        <v>男</v>
      </c>
    </row>
    <row r="2661" spans="1:5" ht="30" customHeight="1">
      <c r="A2661" s="8">
        <v>2658</v>
      </c>
      <c r="B2661" s="8" t="str">
        <f>"38492022042622363540353"</f>
        <v>38492022042622363540353</v>
      </c>
      <c r="C2661" s="8" t="s">
        <v>21</v>
      </c>
      <c r="D2661" s="8" t="str">
        <f>"孙婧莹"</f>
        <v>孙婧莹</v>
      </c>
      <c r="E2661" s="8" t="str">
        <f aca="true" t="shared" si="457" ref="E2661:E2666">"女"</f>
        <v>女</v>
      </c>
    </row>
    <row r="2662" spans="1:5" ht="30" customHeight="1">
      <c r="A2662" s="8">
        <v>2659</v>
      </c>
      <c r="B2662" s="8" t="str">
        <f>"38492022042622420240365"</f>
        <v>38492022042622420240365</v>
      </c>
      <c r="C2662" s="8" t="s">
        <v>21</v>
      </c>
      <c r="D2662" s="8" t="str">
        <f>"薛开智"</f>
        <v>薛开智</v>
      </c>
      <c r="E2662" s="8" t="str">
        <f aca="true" t="shared" si="458" ref="E2662:E2665">"男"</f>
        <v>男</v>
      </c>
    </row>
    <row r="2663" spans="1:5" ht="30" customHeight="1">
      <c r="A2663" s="8">
        <v>2660</v>
      </c>
      <c r="B2663" s="8" t="str">
        <f>"38492022042622565240390"</f>
        <v>38492022042622565240390</v>
      </c>
      <c r="C2663" s="8" t="s">
        <v>21</v>
      </c>
      <c r="D2663" s="8" t="str">
        <f>"李观平"</f>
        <v>李观平</v>
      </c>
      <c r="E2663" s="8" t="str">
        <f t="shared" si="458"/>
        <v>男</v>
      </c>
    </row>
    <row r="2664" spans="1:5" ht="30" customHeight="1">
      <c r="A2664" s="8">
        <v>2661</v>
      </c>
      <c r="B2664" s="8" t="str">
        <f>"38492022042623034440405"</f>
        <v>38492022042623034440405</v>
      </c>
      <c r="C2664" s="8" t="s">
        <v>21</v>
      </c>
      <c r="D2664" s="8" t="str">
        <f>"冯巧姑"</f>
        <v>冯巧姑</v>
      </c>
      <c r="E2664" s="8" t="str">
        <f t="shared" si="457"/>
        <v>女</v>
      </c>
    </row>
    <row r="2665" spans="1:5" ht="30" customHeight="1">
      <c r="A2665" s="8">
        <v>2662</v>
      </c>
      <c r="B2665" s="8" t="str">
        <f>"38492022042623062140412"</f>
        <v>38492022042623062140412</v>
      </c>
      <c r="C2665" s="8" t="s">
        <v>21</v>
      </c>
      <c r="D2665" s="8" t="str">
        <f>"黄尚书"</f>
        <v>黄尚书</v>
      </c>
      <c r="E2665" s="8" t="str">
        <f t="shared" si="458"/>
        <v>男</v>
      </c>
    </row>
    <row r="2666" spans="1:5" ht="30" customHeight="1">
      <c r="A2666" s="8">
        <v>2663</v>
      </c>
      <c r="B2666" s="8" t="str">
        <f>"38492022042623063940414"</f>
        <v>38492022042623063940414</v>
      </c>
      <c r="C2666" s="8" t="s">
        <v>21</v>
      </c>
      <c r="D2666" s="8" t="str">
        <f>"吴姑来"</f>
        <v>吴姑来</v>
      </c>
      <c r="E2666" s="8" t="str">
        <f t="shared" si="457"/>
        <v>女</v>
      </c>
    </row>
    <row r="2667" spans="1:5" ht="30" customHeight="1">
      <c r="A2667" s="8">
        <v>2664</v>
      </c>
      <c r="B2667" s="8" t="str">
        <f>"38492022042623151040425"</f>
        <v>38492022042623151040425</v>
      </c>
      <c r="C2667" s="8" t="s">
        <v>21</v>
      </c>
      <c r="D2667" s="8" t="str">
        <f>"何艺东"</f>
        <v>何艺东</v>
      </c>
      <c r="E2667" s="8" t="str">
        <f aca="true" t="shared" si="459" ref="E2667:E2671">"男"</f>
        <v>男</v>
      </c>
    </row>
    <row r="2668" spans="1:5" ht="30" customHeight="1">
      <c r="A2668" s="8">
        <v>2665</v>
      </c>
      <c r="B2668" s="8" t="str">
        <f>"38492022042623172440431"</f>
        <v>38492022042623172440431</v>
      </c>
      <c r="C2668" s="8" t="s">
        <v>21</v>
      </c>
      <c r="D2668" s="8" t="str">
        <f>"黎小华"</f>
        <v>黎小华</v>
      </c>
      <c r="E2668" s="8" t="str">
        <f aca="true" t="shared" si="460" ref="E2668:E2673">"女"</f>
        <v>女</v>
      </c>
    </row>
    <row r="2669" spans="1:5" ht="30" customHeight="1">
      <c r="A2669" s="8">
        <v>2666</v>
      </c>
      <c r="B2669" s="8" t="str">
        <f>"38492022042623215240436"</f>
        <v>38492022042623215240436</v>
      </c>
      <c r="C2669" s="8" t="s">
        <v>21</v>
      </c>
      <c r="D2669" s="8" t="str">
        <f>"邢增睿"</f>
        <v>邢增睿</v>
      </c>
      <c r="E2669" s="8" t="str">
        <f t="shared" si="459"/>
        <v>男</v>
      </c>
    </row>
    <row r="2670" spans="1:5" ht="30" customHeight="1">
      <c r="A2670" s="8">
        <v>2667</v>
      </c>
      <c r="B2670" s="8" t="str">
        <f>"38492022042623302040448"</f>
        <v>38492022042623302040448</v>
      </c>
      <c r="C2670" s="8" t="s">
        <v>21</v>
      </c>
      <c r="D2670" s="8" t="str">
        <f>"吴体雲"</f>
        <v>吴体雲</v>
      </c>
      <c r="E2670" s="8" t="str">
        <f t="shared" si="460"/>
        <v>女</v>
      </c>
    </row>
    <row r="2671" spans="1:5" ht="30" customHeight="1">
      <c r="A2671" s="8">
        <v>2668</v>
      </c>
      <c r="B2671" s="8" t="str">
        <f>"38492022042623345240454"</f>
        <v>38492022042623345240454</v>
      </c>
      <c r="C2671" s="8" t="s">
        <v>21</v>
      </c>
      <c r="D2671" s="8" t="str">
        <f>"朱旭斌"</f>
        <v>朱旭斌</v>
      </c>
      <c r="E2671" s="8" t="str">
        <f t="shared" si="459"/>
        <v>男</v>
      </c>
    </row>
    <row r="2672" spans="1:5" ht="30" customHeight="1">
      <c r="A2672" s="8">
        <v>2669</v>
      </c>
      <c r="B2672" s="8" t="str">
        <f>"38492022042623370140459"</f>
        <v>38492022042623370140459</v>
      </c>
      <c r="C2672" s="8" t="s">
        <v>21</v>
      </c>
      <c r="D2672" s="8" t="str">
        <f>"邱丽翔"</f>
        <v>邱丽翔</v>
      </c>
      <c r="E2672" s="8" t="str">
        <f t="shared" si="460"/>
        <v>女</v>
      </c>
    </row>
    <row r="2673" spans="1:5" ht="30" customHeight="1">
      <c r="A2673" s="8">
        <v>2670</v>
      </c>
      <c r="B2673" s="8" t="str">
        <f>"38492022042623404640466"</f>
        <v>38492022042623404640466</v>
      </c>
      <c r="C2673" s="8" t="s">
        <v>21</v>
      </c>
      <c r="D2673" s="8" t="str">
        <f>"吴佳怡"</f>
        <v>吴佳怡</v>
      </c>
      <c r="E2673" s="8" t="str">
        <f t="shared" si="460"/>
        <v>女</v>
      </c>
    </row>
    <row r="2674" spans="1:5" ht="30" customHeight="1">
      <c r="A2674" s="8">
        <v>2671</v>
      </c>
      <c r="B2674" s="8" t="str">
        <f>"38492022042623473540472"</f>
        <v>38492022042623473540472</v>
      </c>
      <c r="C2674" s="8" t="s">
        <v>21</v>
      </c>
      <c r="D2674" s="8" t="str">
        <f>"王世锦"</f>
        <v>王世锦</v>
      </c>
      <c r="E2674" s="8" t="str">
        <f aca="true" t="shared" si="461" ref="E2674:E2677">"男"</f>
        <v>男</v>
      </c>
    </row>
    <row r="2675" spans="1:5" ht="30" customHeight="1">
      <c r="A2675" s="8">
        <v>2672</v>
      </c>
      <c r="B2675" s="8" t="str">
        <f>"38492022042623492540475"</f>
        <v>38492022042623492540475</v>
      </c>
      <c r="C2675" s="8" t="s">
        <v>21</v>
      </c>
      <c r="D2675" s="8" t="str">
        <f>"陈丹兰"</f>
        <v>陈丹兰</v>
      </c>
      <c r="E2675" s="8" t="str">
        <f>"女"</f>
        <v>女</v>
      </c>
    </row>
    <row r="2676" spans="1:5" ht="30" customHeight="1">
      <c r="A2676" s="8">
        <v>2673</v>
      </c>
      <c r="B2676" s="8" t="str">
        <f>"38492022042623582840485"</f>
        <v>38492022042623582840485</v>
      </c>
      <c r="C2676" s="8" t="s">
        <v>21</v>
      </c>
      <c r="D2676" s="8" t="str">
        <f>"陈克多"</f>
        <v>陈克多</v>
      </c>
      <c r="E2676" s="8" t="str">
        <f t="shared" si="461"/>
        <v>男</v>
      </c>
    </row>
    <row r="2677" spans="1:5" ht="30" customHeight="1">
      <c r="A2677" s="8">
        <v>2674</v>
      </c>
      <c r="B2677" s="8" t="str">
        <f>"38492022042700122440500"</f>
        <v>38492022042700122440500</v>
      </c>
      <c r="C2677" s="8" t="s">
        <v>21</v>
      </c>
      <c r="D2677" s="8" t="str">
        <f>"李东生"</f>
        <v>李东生</v>
      </c>
      <c r="E2677" s="8" t="str">
        <f t="shared" si="461"/>
        <v>男</v>
      </c>
    </row>
    <row r="2678" spans="1:5" ht="30" customHeight="1">
      <c r="A2678" s="8">
        <v>2675</v>
      </c>
      <c r="B2678" s="8" t="str">
        <f>"38492022042700123940502"</f>
        <v>38492022042700123940502</v>
      </c>
      <c r="C2678" s="8" t="s">
        <v>21</v>
      </c>
      <c r="D2678" s="8" t="str">
        <f>"符抒静"</f>
        <v>符抒静</v>
      </c>
      <c r="E2678" s="8" t="str">
        <f>"女"</f>
        <v>女</v>
      </c>
    </row>
    <row r="2679" spans="1:5" ht="30" customHeight="1">
      <c r="A2679" s="8">
        <v>2676</v>
      </c>
      <c r="B2679" s="8" t="str">
        <f>"38492022042700191840506"</f>
        <v>38492022042700191840506</v>
      </c>
      <c r="C2679" s="8" t="s">
        <v>21</v>
      </c>
      <c r="D2679" s="8" t="str">
        <f>"岑举辉"</f>
        <v>岑举辉</v>
      </c>
      <c r="E2679" s="8" t="str">
        <f aca="true" t="shared" si="462" ref="E2679:E2681">"男"</f>
        <v>男</v>
      </c>
    </row>
    <row r="2680" spans="1:5" ht="30" customHeight="1">
      <c r="A2680" s="8">
        <v>2677</v>
      </c>
      <c r="B2680" s="8" t="str">
        <f>"38492022042700204440507"</f>
        <v>38492022042700204440507</v>
      </c>
      <c r="C2680" s="8" t="s">
        <v>21</v>
      </c>
      <c r="D2680" s="8" t="str">
        <f>"林庚学"</f>
        <v>林庚学</v>
      </c>
      <c r="E2680" s="8" t="str">
        <f t="shared" si="462"/>
        <v>男</v>
      </c>
    </row>
    <row r="2681" spans="1:5" ht="30" customHeight="1">
      <c r="A2681" s="8">
        <v>2678</v>
      </c>
      <c r="B2681" s="8" t="str">
        <f>"38492022042700392040519"</f>
        <v>38492022042700392040519</v>
      </c>
      <c r="C2681" s="8" t="s">
        <v>21</v>
      </c>
      <c r="D2681" s="8" t="str">
        <f>"王之衡"</f>
        <v>王之衡</v>
      </c>
      <c r="E2681" s="8" t="str">
        <f t="shared" si="462"/>
        <v>男</v>
      </c>
    </row>
    <row r="2682" spans="1:5" ht="30" customHeight="1">
      <c r="A2682" s="8">
        <v>2679</v>
      </c>
      <c r="B2682" s="8" t="str">
        <f>"38492022042701041840526"</f>
        <v>38492022042701041840526</v>
      </c>
      <c r="C2682" s="8" t="s">
        <v>21</v>
      </c>
      <c r="D2682" s="8" t="str">
        <f>"冯惠"</f>
        <v>冯惠</v>
      </c>
      <c r="E2682" s="8" t="str">
        <f aca="true" t="shared" si="463" ref="E2682:E2690">"女"</f>
        <v>女</v>
      </c>
    </row>
    <row r="2683" spans="1:5" ht="30" customHeight="1">
      <c r="A2683" s="8">
        <v>2680</v>
      </c>
      <c r="B2683" s="8" t="str">
        <f>"38492022042701275140528"</f>
        <v>38492022042701275140528</v>
      </c>
      <c r="C2683" s="8" t="s">
        <v>21</v>
      </c>
      <c r="D2683" s="8" t="str">
        <f>"翁高晟"</f>
        <v>翁高晟</v>
      </c>
      <c r="E2683" s="8" t="str">
        <f>"男"</f>
        <v>男</v>
      </c>
    </row>
    <row r="2684" spans="1:5" ht="30" customHeight="1">
      <c r="A2684" s="8">
        <v>2681</v>
      </c>
      <c r="B2684" s="8" t="str">
        <f>"38492022042701342640530"</f>
        <v>38492022042701342640530</v>
      </c>
      <c r="C2684" s="8" t="s">
        <v>21</v>
      </c>
      <c r="D2684" s="8" t="str">
        <f>"杨祥玲"</f>
        <v>杨祥玲</v>
      </c>
      <c r="E2684" s="8" t="str">
        <f t="shared" si="463"/>
        <v>女</v>
      </c>
    </row>
    <row r="2685" spans="1:5" ht="30" customHeight="1">
      <c r="A2685" s="8">
        <v>2682</v>
      </c>
      <c r="B2685" s="8" t="str">
        <f>"38492022042701562940533"</f>
        <v>38492022042701562940533</v>
      </c>
      <c r="C2685" s="8" t="s">
        <v>21</v>
      </c>
      <c r="D2685" s="8" t="str">
        <f>"吴玉丹"</f>
        <v>吴玉丹</v>
      </c>
      <c r="E2685" s="8" t="str">
        <f t="shared" si="463"/>
        <v>女</v>
      </c>
    </row>
    <row r="2686" spans="1:5" ht="30" customHeight="1">
      <c r="A2686" s="8">
        <v>2683</v>
      </c>
      <c r="B2686" s="8" t="str">
        <f>"38492022042702361540536"</f>
        <v>38492022042702361540536</v>
      </c>
      <c r="C2686" s="8" t="s">
        <v>21</v>
      </c>
      <c r="D2686" s="8" t="str">
        <f>"陈佳慧"</f>
        <v>陈佳慧</v>
      </c>
      <c r="E2686" s="8" t="str">
        <f t="shared" si="463"/>
        <v>女</v>
      </c>
    </row>
    <row r="2687" spans="1:5" ht="30" customHeight="1">
      <c r="A2687" s="8">
        <v>2684</v>
      </c>
      <c r="B2687" s="8" t="str">
        <f>"38492022042703552740540"</f>
        <v>38492022042703552740540</v>
      </c>
      <c r="C2687" s="8" t="s">
        <v>21</v>
      </c>
      <c r="D2687" s="8" t="str">
        <f>"许婷婷"</f>
        <v>许婷婷</v>
      </c>
      <c r="E2687" s="8" t="str">
        <f t="shared" si="463"/>
        <v>女</v>
      </c>
    </row>
    <row r="2688" spans="1:5" ht="30" customHeight="1">
      <c r="A2688" s="8">
        <v>2685</v>
      </c>
      <c r="B2688" s="8" t="str">
        <f>"38492022042706433440550"</f>
        <v>38492022042706433440550</v>
      </c>
      <c r="C2688" s="8" t="s">
        <v>21</v>
      </c>
      <c r="D2688" s="8" t="str">
        <f>"羊丽娜"</f>
        <v>羊丽娜</v>
      </c>
      <c r="E2688" s="8" t="str">
        <f t="shared" si="463"/>
        <v>女</v>
      </c>
    </row>
    <row r="2689" spans="1:5" ht="30" customHeight="1">
      <c r="A2689" s="8">
        <v>2686</v>
      </c>
      <c r="B2689" s="8" t="str">
        <f>"38492022042707034440554"</f>
        <v>38492022042707034440554</v>
      </c>
      <c r="C2689" s="8" t="s">
        <v>21</v>
      </c>
      <c r="D2689" s="8" t="str">
        <f>"李隆莲"</f>
        <v>李隆莲</v>
      </c>
      <c r="E2689" s="8" t="str">
        <f t="shared" si="463"/>
        <v>女</v>
      </c>
    </row>
    <row r="2690" spans="1:5" ht="30" customHeight="1">
      <c r="A2690" s="8">
        <v>2687</v>
      </c>
      <c r="B2690" s="8" t="str">
        <f>"38492022042707134640559"</f>
        <v>38492022042707134640559</v>
      </c>
      <c r="C2690" s="8" t="s">
        <v>21</v>
      </c>
      <c r="D2690" s="8" t="str">
        <f>"卢塘飞"</f>
        <v>卢塘飞</v>
      </c>
      <c r="E2690" s="8" t="str">
        <f t="shared" si="463"/>
        <v>女</v>
      </c>
    </row>
    <row r="2691" spans="1:5" ht="30" customHeight="1">
      <c r="A2691" s="8">
        <v>2688</v>
      </c>
      <c r="B2691" s="8" t="str">
        <f>"38492022042707513440572"</f>
        <v>38492022042707513440572</v>
      </c>
      <c r="C2691" s="8" t="s">
        <v>21</v>
      </c>
      <c r="D2691" s="8" t="str">
        <f>"郑永光"</f>
        <v>郑永光</v>
      </c>
      <c r="E2691" s="8" t="str">
        <f aca="true" t="shared" si="464" ref="E2691:E2696">"男"</f>
        <v>男</v>
      </c>
    </row>
    <row r="2692" spans="1:5" ht="30" customHeight="1">
      <c r="A2692" s="8">
        <v>2689</v>
      </c>
      <c r="B2692" s="8" t="str">
        <f>"38492022042707513840573"</f>
        <v>38492022042707513840573</v>
      </c>
      <c r="C2692" s="8" t="s">
        <v>21</v>
      </c>
      <c r="D2692" s="8" t="str">
        <f>"羊金桃"</f>
        <v>羊金桃</v>
      </c>
      <c r="E2692" s="8" t="str">
        <f aca="true" t="shared" si="465" ref="E2692:E2695">"女"</f>
        <v>女</v>
      </c>
    </row>
    <row r="2693" spans="1:5" ht="30" customHeight="1">
      <c r="A2693" s="8">
        <v>2690</v>
      </c>
      <c r="B2693" s="8" t="str">
        <f>"38492022042708043840576"</f>
        <v>38492022042708043840576</v>
      </c>
      <c r="C2693" s="8" t="s">
        <v>21</v>
      </c>
      <c r="D2693" s="8" t="str">
        <f>"吴清智"</f>
        <v>吴清智</v>
      </c>
      <c r="E2693" s="8" t="str">
        <f t="shared" si="464"/>
        <v>男</v>
      </c>
    </row>
    <row r="2694" spans="1:5" ht="30" customHeight="1">
      <c r="A2694" s="8">
        <v>2691</v>
      </c>
      <c r="B2694" s="8" t="str">
        <f>"38492022042708053440578"</f>
        <v>38492022042708053440578</v>
      </c>
      <c r="C2694" s="8" t="s">
        <v>21</v>
      </c>
      <c r="D2694" s="8" t="str">
        <f>"杨芷凡"</f>
        <v>杨芷凡</v>
      </c>
      <c r="E2694" s="8" t="str">
        <f t="shared" si="465"/>
        <v>女</v>
      </c>
    </row>
    <row r="2695" spans="1:5" ht="30" customHeight="1">
      <c r="A2695" s="8">
        <v>2692</v>
      </c>
      <c r="B2695" s="8" t="str">
        <f>"38492022042708061140579"</f>
        <v>38492022042708061140579</v>
      </c>
      <c r="C2695" s="8" t="s">
        <v>21</v>
      </c>
      <c r="D2695" s="8" t="str">
        <f>"周德建"</f>
        <v>周德建</v>
      </c>
      <c r="E2695" s="8" t="str">
        <f t="shared" si="465"/>
        <v>女</v>
      </c>
    </row>
    <row r="2696" spans="1:5" ht="30" customHeight="1">
      <c r="A2696" s="8">
        <v>2693</v>
      </c>
      <c r="B2696" s="8" t="str">
        <f>"38492022042708243640595"</f>
        <v>38492022042708243640595</v>
      </c>
      <c r="C2696" s="8" t="s">
        <v>21</v>
      </c>
      <c r="D2696" s="8" t="str">
        <f>"王天林"</f>
        <v>王天林</v>
      </c>
      <c r="E2696" s="8" t="str">
        <f t="shared" si="464"/>
        <v>男</v>
      </c>
    </row>
    <row r="2697" spans="1:5" ht="30" customHeight="1">
      <c r="A2697" s="8">
        <v>2694</v>
      </c>
      <c r="B2697" s="8" t="str">
        <f>"38492022042708325340602"</f>
        <v>38492022042708325340602</v>
      </c>
      <c r="C2697" s="8" t="s">
        <v>21</v>
      </c>
      <c r="D2697" s="8" t="str">
        <f>"宋晓晓"</f>
        <v>宋晓晓</v>
      </c>
      <c r="E2697" s="8" t="str">
        <f aca="true" t="shared" si="466" ref="E2697:E2700">"女"</f>
        <v>女</v>
      </c>
    </row>
    <row r="2698" spans="1:5" ht="30" customHeight="1">
      <c r="A2698" s="8">
        <v>2695</v>
      </c>
      <c r="B2698" s="8" t="str">
        <f>"38492022042708501740622"</f>
        <v>38492022042708501740622</v>
      </c>
      <c r="C2698" s="8" t="s">
        <v>21</v>
      </c>
      <c r="D2698" s="8" t="str">
        <f>"林晓凤"</f>
        <v>林晓凤</v>
      </c>
      <c r="E2698" s="8" t="str">
        <f t="shared" si="466"/>
        <v>女</v>
      </c>
    </row>
    <row r="2699" spans="1:5" ht="30" customHeight="1">
      <c r="A2699" s="8">
        <v>2696</v>
      </c>
      <c r="B2699" s="8" t="str">
        <f>"38492022042708535940625"</f>
        <v>38492022042708535940625</v>
      </c>
      <c r="C2699" s="8" t="s">
        <v>21</v>
      </c>
      <c r="D2699" s="8" t="str">
        <f>"林鸣芙"</f>
        <v>林鸣芙</v>
      </c>
      <c r="E2699" s="8" t="str">
        <f t="shared" si="466"/>
        <v>女</v>
      </c>
    </row>
    <row r="2700" spans="1:5" ht="30" customHeight="1">
      <c r="A2700" s="8">
        <v>2697</v>
      </c>
      <c r="B2700" s="8" t="str">
        <f>"38492022042708564040628"</f>
        <v>38492022042708564040628</v>
      </c>
      <c r="C2700" s="8" t="s">
        <v>21</v>
      </c>
      <c r="D2700" s="8" t="str">
        <f>"赖金艳"</f>
        <v>赖金艳</v>
      </c>
      <c r="E2700" s="8" t="str">
        <f t="shared" si="466"/>
        <v>女</v>
      </c>
    </row>
    <row r="2701" spans="1:5" ht="30" customHeight="1">
      <c r="A2701" s="8">
        <v>2698</v>
      </c>
      <c r="B2701" s="8" t="str">
        <f>"38492022042708594140630"</f>
        <v>38492022042708594140630</v>
      </c>
      <c r="C2701" s="8" t="s">
        <v>21</v>
      </c>
      <c r="D2701" s="8" t="str">
        <f>"罗丁龙"</f>
        <v>罗丁龙</v>
      </c>
      <c r="E2701" s="8" t="str">
        <f aca="true" t="shared" si="467" ref="E2701:E2706">"男"</f>
        <v>男</v>
      </c>
    </row>
    <row r="2702" spans="1:5" ht="30" customHeight="1">
      <c r="A2702" s="8">
        <v>2699</v>
      </c>
      <c r="B2702" s="8" t="str">
        <f>"38492022042709015340662"</f>
        <v>38492022042709015340662</v>
      </c>
      <c r="C2702" s="8" t="s">
        <v>21</v>
      </c>
      <c r="D2702" s="8" t="str">
        <f>"梁秀英"</f>
        <v>梁秀英</v>
      </c>
      <c r="E2702" s="8" t="str">
        <f>"女"</f>
        <v>女</v>
      </c>
    </row>
    <row r="2703" spans="1:5" ht="30" customHeight="1">
      <c r="A2703" s="8">
        <v>2700</v>
      </c>
      <c r="B2703" s="8" t="str">
        <f>"38492022042709032840695"</f>
        <v>38492022042709032840695</v>
      </c>
      <c r="C2703" s="8" t="s">
        <v>21</v>
      </c>
      <c r="D2703" s="8" t="str">
        <f>"赵学伟"</f>
        <v>赵学伟</v>
      </c>
      <c r="E2703" s="8" t="str">
        <f t="shared" si="467"/>
        <v>男</v>
      </c>
    </row>
    <row r="2704" spans="1:5" ht="30" customHeight="1">
      <c r="A2704" s="8">
        <v>2701</v>
      </c>
      <c r="B2704" s="8" t="str">
        <f>"38492022042709172540897"</f>
        <v>38492022042709172540897</v>
      </c>
      <c r="C2704" s="8" t="s">
        <v>21</v>
      </c>
      <c r="D2704" s="8" t="str">
        <f>"何志君"</f>
        <v>何志君</v>
      </c>
      <c r="E2704" s="8" t="str">
        <f t="shared" si="467"/>
        <v>男</v>
      </c>
    </row>
    <row r="2705" spans="1:5" ht="30" customHeight="1">
      <c r="A2705" s="8">
        <v>2702</v>
      </c>
      <c r="B2705" s="8" t="str">
        <f>"38492022042709204840931"</f>
        <v>38492022042709204840931</v>
      </c>
      <c r="C2705" s="8" t="s">
        <v>21</v>
      </c>
      <c r="D2705" s="8" t="str">
        <f>"罗宇"</f>
        <v>罗宇</v>
      </c>
      <c r="E2705" s="8" t="str">
        <f t="shared" si="467"/>
        <v>男</v>
      </c>
    </row>
    <row r="2706" spans="1:5" ht="30" customHeight="1">
      <c r="A2706" s="8">
        <v>2703</v>
      </c>
      <c r="B2706" s="8" t="str">
        <f>"38492022042709422241232"</f>
        <v>38492022042709422241232</v>
      </c>
      <c r="C2706" s="8" t="s">
        <v>21</v>
      </c>
      <c r="D2706" s="8" t="str">
        <f>"王涛"</f>
        <v>王涛</v>
      </c>
      <c r="E2706" s="8" t="str">
        <f t="shared" si="467"/>
        <v>男</v>
      </c>
    </row>
    <row r="2707" spans="1:5" ht="30" customHeight="1">
      <c r="A2707" s="8">
        <v>2704</v>
      </c>
      <c r="B2707" s="8" t="str">
        <f>"38492022042709491141321"</f>
        <v>38492022042709491141321</v>
      </c>
      <c r="C2707" s="8" t="s">
        <v>21</v>
      </c>
      <c r="D2707" s="8" t="str">
        <f>"薛昱"</f>
        <v>薛昱</v>
      </c>
      <c r="E2707" s="8" t="str">
        <f aca="true" t="shared" si="468" ref="E2707:E2710">"女"</f>
        <v>女</v>
      </c>
    </row>
    <row r="2708" spans="1:5" ht="30" customHeight="1">
      <c r="A2708" s="8">
        <v>2705</v>
      </c>
      <c r="B2708" s="8" t="str">
        <f>"38492022042709493841332"</f>
        <v>38492022042709493841332</v>
      </c>
      <c r="C2708" s="8" t="s">
        <v>21</v>
      </c>
      <c r="D2708" s="8" t="str">
        <f>"林春耀"</f>
        <v>林春耀</v>
      </c>
      <c r="E2708" s="8" t="str">
        <f aca="true" t="shared" si="469" ref="E2708:E2714">"男"</f>
        <v>男</v>
      </c>
    </row>
    <row r="2709" spans="1:5" ht="30" customHeight="1">
      <c r="A2709" s="8">
        <v>2706</v>
      </c>
      <c r="B2709" s="8" t="str">
        <f>"38492022042709504441344"</f>
        <v>38492022042709504441344</v>
      </c>
      <c r="C2709" s="8" t="s">
        <v>21</v>
      </c>
      <c r="D2709" s="8" t="str">
        <f>"刘小盈"</f>
        <v>刘小盈</v>
      </c>
      <c r="E2709" s="8" t="str">
        <f t="shared" si="468"/>
        <v>女</v>
      </c>
    </row>
    <row r="2710" spans="1:5" ht="30" customHeight="1">
      <c r="A2710" s="8">
        <v>2707</v>
      </c>
      <c r="B2710" s="8" t="str">
        <f>"38492022042709560941410"</f>
        <v>38492022042709560941410</v>
      </c>
      <c r="C2710" s="8" t="s">
        <v>21</v>
      </c>
      <c r="D2710" s="8" t="str">
        <f>"王丽霞"</f>
        <v>王丽霞</v>
      </c>
      <c r="E2710" s="8" t="str">
        <f t="shared" si="468"/>
        <v>女</v>
      </c>
    </row>
    <row r="2711" spans="1:5" ht="30" customHeight="1">
      <c r="A2711" s="8">
        <v>2708</v>
      </c>
      <c r="B2711" s="8" t="str">
        <f>"38492022042709580541434"</f>
        <v>38492022042709580541434</v>
      </c>
      <c r="C2711" s="8" t="s">
        <v>21</v>
      </c>
      <c r="D2711" s="8" t="str">
        <f>"韦良宗"</f>
        <v>韦良宗</v>
      </c>
      <c r="E2711" s="8" t="str">
        <f t="shared" si="469"/>
        <v>男</v>
      </c>
    </row>
    <row r="2712" spans="1:5" ht="30" customHeight="1">
      <c r="A2712" s="8">
        <v>2709</v>
      </c>
      <c r="B2712" s="8" t="str">
        <f>"38492022042709584441437"</f>
        <v>38492022042709584441437</v>
      </c>
      <c r="C2712" s="8" t="s">
        <v>21</v>
      </c>
      <c r="D2712" s="8" t="str">
        <f>"陈月维"</f>
        <v>陈月维</v>
      </c>
      <c r="E2712" s="8" t="str">
        <f aca="true" t="shared" si="470" ref="E2712:E2717">"女"</f>
        <v>女</v>
      </c>
    </row>
    <row r="2713" spans="1:5" ht="30" customHeight="1">
      <c r="A2713" s="8">
        <v>2710</v>
      </c>
      <c r="B2713" s="8" t="str">
        <f>"38492022042710015641469"</f>
        <v>38492022042710015641469</v>
      </c>
      <c r="C2713" s="8" t="s">
        <v>21</v>
      </c>
      <c r="D2713" s="8" t="str">
        <f>"吴多举"</f>
        <v>吴多举</v>
      </c>
      <c r="E2713" s="8" t="str">
        <f t="shared" si="469"/>
        <v>男</v>
      </c>
    </row>
    <row r="2714" spans="1:5" ht="30" customHeight="1">
      <c r="A2714" s="8">
        <v>2711</v>
      </c>
      <c r="B2714" s="8" t="str">
        <f>"38492022042710023741475"</f>
        <v>38492022042710023741475</v>
      </c>
      <c r="C2714" s="8" t="s">
        <v>21</v>
      </c>
      <c r="D2714" s="8" t="str">
        <f>"王志达"</f>
        <v>王志达</v>
      </c>
      <c r="E2714" s="8" t="str">
        <f t="shared" si="469"/>
        <v>男</v>
      </c>
    </row>
    <row r="2715" spans="1:5" ht="30" customHeight="1">
      <c r="A2715" s="8">
        <v>2712</v>
      </c>
      <c r="B2715" s="8" t="str">
        <f>"38492022042710070341528"</f>
        <v>38492022042710070341528</v>
      </c>
      <c r="C2715" s="8" t="s">
        <v>21</v>
      </c>
      <c r="D2715" s="8" t="str">
        <f>"陈莹怡"</f>
        <v>陈莹怡</v>
      </c>
      <c r="E2715" s="8" t="str">
        <f t="shared" si="470"/>
        <v>女</v>
      </c>
    </row>
    <row r="2716" spans="1:5" ht="30" customHeight="1">
      <c r="A2716" s="8">
        <v>2713</v>
      </c>
      <c r="B2716" s="8" t="str">
        <f>"38492022042710073641537"</f>
        <v>38492022042710073641537</v>
      </c>
      <c r="C2716" s="8" t="s">
        <v>21</v>
      </c>
      <c r="D2716" s="8" t="str">
        <f>"刘仕杰"</f>
        <v>刘仕杰</v>
      </c>
      <c r="E2716" s="8" t="str">
        <f>"男"</f>
        <v>男</v>
      </c>
    </row>
    <row r="2717" spans="1:5" ht="30" customHeight="1">
      <c r="A2717" s="8">
        <v>2714</v>
      </c>
      <c r="B2717" s="8" t="str">
        <f>"38492022042710130341587"</f>
        <v>38492022042710130341587</v>
      </c>
      <c r="C2717" s="8" t="s">
        <v>21</v>
      </c>
      <c r="D2717" s="8" t="str">
        <f>"许艳婷"</f>
        <v>许艳婷</v>
      </c>
      <c r="E2717" s="8" t="str">
        <f t="shared" si="470"/>
        <v>女</v>
      </c>
    </row>
    <row r="2718" spans="1:5" ht="30" customHeight="1">
      <c r="A2718" s="8">
        <v>2715</v>
      </c>
      <c r="B2718" s="8" t="str">
        <f>"38492022042710133041591"</f>
        <v>38492022042710133041591</v>
      </c>
      <c r="C2718" s="8" t="s">
        <v>21</v>
      </c>
      <c r="D2718" s="8" t="str">
        <f>"曾佑斌"</f>
        <v>曾佑斌</v>
      </c>
      <c r="E2718" s="8" t="str">
        <f>"男"</f>
        <v>男</v>
      </c>
    </row>
    <row r="2719" spans="1:5" ht="30" customHeight="1">
      <c r="A2719" s="8">
        <v>2716</v>
      </c>
      <c r="B2719" s="8" t="str">
        <f>"38492022042710200141645"</f>
        <v>38492022042710200141645</v>
      </c>
      <c r="C2719" s="8" t="s">
        <v>21</v>
      </c>
      <c r="D2719" s="8" t="str">
        <f>"曾红"</f>
        <v>曾红</v>
      </c>
      <c r="E2719" s="8" t="str">
        <f aca="true" t="shared" si="471" ref="E2719:E2722">"女"</f>
        <v>女</v>
      </c>
    </row>
    <row r="2720" spans="1:5" ht="30" customHeight="1">
      <c r="A2720" s="8">
        <v>2717</v>
      </c>
      <c r="B2720" s="8" t="str">
        <f>"38492022042710275541730"</f>
        <v>38492022042710275541730</v>
      </c>
      <c r="C2720" s="8" t="s">
        <v>21</v>
      </c>
      <c r="D2720" s="8" t="str">
        <f>"洪月娇"</f>
        <v>洪月娇</v>
      </c>
      <c r="E2720" s="8" t="str">
        <f t="shared" si="471"/>
        <v>女</v>
      </c>
    </row>
    <row r="2721" spans="1:5" ht="30" customHeight="1">
      <c r="A2721" s="8">
        <v>2718</v>
      </c>
      <c r="B2721" s="8" t="str">
        <f>"38492022042710290341748"</f>
        <v>38492022042710290341748</v>
      </c>
      <c r="C2721" s="8" t="s">
        <v>21</v>
      </c>
      <c r="D2721" s="8" t="str">
        <f>"徐斯桦"</f>
        <v>徐斯桦</v>
      </c>
      <c r="E2721" s="8" t="str">
        <f t="shared" si="471"/>
        <v>女</v>
      </c>
    </row>
    <row r="2722" spans="1:5" ht="30" customHeight="1">
      <c r="A2722" s="8">
        <v>2719</v>
      </c>
      <c r="B2722" s="8" t="str">
        <f>"38492022042710314141777"</f>
        <v>38492022042710314141777</v>
      </c>
      <c r="C2722" s="8" t="s">
        <v>21</v>
      </c>
      <c r="D2722" s="8" t="str">
        <f>"李丽红"</f>
        <v>李丽红</v>
      </c>
      <c r="E2722" s="8" t="str">
        <f t="shared" si="471"/>
        <v>女</v>
      </c>
    </row>
    <row r="2723" spans="1:5" ht="30" customHeight="1">
      <c r="A2723" s="8">
        <v>2720</v>
      </c>
      <c r="B2723" s="8" t="str">
        <f>"38492022042710361141831"</f>
        <v>38492022042710361141831</v>
      </c>
      <c r="C2723" s="8" t="s">
        <v>21</v>
      </c>
      <c r="D2723" s="8" t="str">
        <f>"何早培"</f>
        <v>何早培</v>
      </c>
      <c r="E2723" s="8" t="str">
        <f aca="true" t="shared" si="472" ref="E2723:E2727">"男"</f>
        <v>男</v>
      </c>
    </row>
    <row r="2724" spans="1:5" ht="30" customHeight="1">
      <c r="A2724" s="8">
        <v>2721</v>
      </c>
      <c r="B2724" s="8" t="str">
        <f>"38492022042710424541913"</f>
        <v>38492022042710424541913</v>
      </c>
      <c r="C2724" s="8" t="s">
        <v>21</v>
      </c>
      <c r="D2724" s="8" t="str">
        <f>"李源"</f>
        <v>李源</v>
      </c>
      <c r="E2724" s="8" t="str">
        <f aca="true" t="shared" si="473" ref="E2724:E2731">"女"</f>
        <v>女</v>
      </c>
    </row>
    <row r="2725" spans="1:5" ht="30" customHeight="1">
      <c r="A2725" s="8">
        <v>2722</v>
      </c>
      <c r="B2725" s="8" t="str">
        <f>"38492022042710531342014"</f>
        <v>38492022042710531342014</v>
      </c>
      <c r="C2725" s="8" t="s">
        <v>21</v>
      </c>
      <c r="D2725" s="8" t="str">
        <f>"钟兴业"</f>
        <v>钟兴业</v>
      </c>
      <c r="E2725" s="8" t="str">
        <f t="shared" si="472"/>
        <v>男</v>
      </c>
    </row>
    <row r="2726" spans="1:5" ht="30" customHeight="1">
      <c r="A2726" s="8">
        <v>2723</v>
      </c>
      <c r="B2726" s="8" t="str">
        <f>"38492022042710543942031"</f>
        <v>38492022042710543942031</v>
      </c>
      <c r="C2726" s="8" t="s">
        <v>21</v>
      </c>
      <c r="D2726" s="8" t="str">
        <f>"张美莎"</f>
        <v>张美莎</v>
      </c>
      <c r="E2726" s="8" t="str">
        <f t="shared" si="473"/>
        <v>女</v>
      </c>
    </row>
    <row r="2727" spans="1:5" ht="30" customHeight="1">
      <c r="A2727" s="8">
        <v>2724</v>
      </c>
      <c r="B2727" s="8" t="str">
        <f>"38492022042710561642049"</f>
        <v>38492022042710561642049</v>
      </c>
      <c r="C2727" s="8" t="s">
        <v>21</v>
      </c>
      <c r="D2727" s="8" t="str">
        <f>"吴淑阳"</f>
        <v>吴淑阳</v>
      </c>
      <c r="E2727" s="8" t="str">
        <f t="shared" si="472"/>
        <v>男</v>
      </c>
    </row>
    <row r="2728" spans="1:5" ht="30" customHeight="1">
      <c r="A2728" s="8">
        <v>2725</v>
      </c>
      <c r="B2728" s="8" t="str">
        <f>"38492022042710573342059"</f>
        <v>38492022042710573342059</v>
      </c>
      <c r="C2728" s="8" t="s">
        <v>21</v>
      </c>
      <c r="D2728" s="8" t="str">
        <f>"黄露霞"</f>
        <v>黄露霞</v>
      </c>
      <c r="E2728" s="8" t="str">
        <f t="shared" si="473"/>
        <v>女</v>
      </c>
    </row>
    <row r="2729" spans="1:5" ht="30" customHeight="1">
      <c r="A2729" s="8">
        <v>2726</v>
      </c>
      <c r="B2729" s="8" t="str">
        <f>"38492022042711051842130"</f>
        <v>38492022042711051842130</v>
      </c>
      <c r="C2729" s="8" t="s">
        <v>21</v>
      </c>
      <c r="D2729" s="8" t="str">
        <f>"符绵菊"</f>
        <v>符绵菊</v>
      </c>
      <c r="E2729" s="8" t="str">
        <f t="shared" si="473"/>
        <v>女</v>
      </c>
    </row>
    <row r="2730" spans="1:5" ht="30" customHeight="1">
      <c r="A2730" s="8">
        <v>2727</v>
      </c>
      <c r="B2730" s="8" t="str">
        <f>"38492022042711153042223"</f>
        <v>38492022042711153042223</v>
      </c>
      <c r="C2730" s="8" t="s">
        <v>21</v>
      </c>
      <c r="D2730" s="8" t="str">
        <f>"符雪花"</f>
        <v>符雪花</v>
      </c>
      <c r="E2730" s="8" t="str">
        <f t="shared" si="473"/>
        <v>女</v>
      </c>
    </row>
    <row r="2731" spans="1:5" ht="30" customHeight="1">
      <c r="A2731" s="8">
        <v>2728</v>
      </c>
      <c r="B2731" s="8" t="str">
        <f>"38492022042711173542236"</f>
        <v>38492022042711173542236</v>
      </c>
      <c r="C2731" s="8" t="s">
        <v>21</v>
      </c>
      <c r="D2731" s="8" t="str">
        <f>"梁振华"</f>
        <v>梁振华</v>
      </c>
      <c r="E2731" s="8" t="str">
        <f t="shared" si="473"/>
        <v>女</v>
      </c>
    </row>
    <row r="2732" spans="1:5" ht="30" customHeight="1">
      <c r="A2732" s="8">
        <v>2729</v>
      </c>
      <c r="B2732" s="8" t="str">
        <f>"38492022042711232342282"</f>
        <v>38492022042711232342282</v>
      </c>
      <c r="C2732" s="8" t="s">
        <v>21</v>
      </c>
      <c r="D2732" s="8" t="str">
        <f>"林学晓"</f>
        <v>林学晓</v>
      </c>
      <c r="E2732" s="8" t="str">
        <f aca="true" t="shared" si="474" ref="E2732:E2737">"男"</f>
        <v>男</v>
      </c>
    </row>
    <row r="2733" spans="1:5" ht="30" customHeight="1">
      <c r="A2733" s="8">
        <v>2730</v>
      </c>
      <c r="B2733" s="8" t="str">
        <f>"38492022042711311142338"</f>
        <v>38492022042711311142338</v>
      </c>
      <c r="C2733" s="8" t="s">
        <v>21</v>
      </c>
      <c r="D2733" s="8" t="str">
        <f>"王雨婷"</f>
        <v>王雨婷</v>
      </c>
      <c r="E2733" s="8" t="str">
        <f aca="true" t="shared" si="475" ref="E2733:E2735">"女"</f>
        <v>女</v>
      </c>
    </row>
    <row r="2734" spans="1:5" ht="30" customHeight="1">
      <c r="A2734" s="8">
        <v>2731</v>
      </c>
      <c r="B2734" s="8" t="str">
        <f>"38492022042711420142411"</f>
        <v>38492022042711420142411</v>
      </c>
      <c r="C2734" s="8" t="s">
        <v>21</v>
      </c>
      <c r="D2734" s="8" t="str">
        <f>"黄德庄"</f>
        <v>黄德庄</v>
      </c>
      <c r="E2734" s="8" t="str">
        <f t="shared" si="475"/>
        <v>女</v>
      </c>
    </row>
    <row r="2735" spans="1:5" ht="30" customHeight="1">
      <c r="A2735" s="8">
        <v>2732</v>
      </c>
      <c r="B2735" s="8" t="str">
        <f>"38492022042711444042436"</f>
        <v>38492022042711444042436</v>
      </c>
      <c r="C2735" s="8" t="s">
        <v>21</v>
      </c>
      <c r="D2735" s="8" t="str">
        <f>"朱文秀"</f>
        <v>朱文秀</v>
      </c>
      <c r="E2735" s="8" t="str">
        <f t="shared" si="475"/>
        <v>女</v>
      </c>
    </row>
    <row r="2736" spans="1:5" ht="30" customHeight="1">
      <c r="A2736" s="8">
        <v>2733</v>
      </c>
      <c r="B2736" s="8" t="str">
        <f>"38492022042711474342451"</f>
        <v>38492022042711474342451</v>
      </c>
      <c r="C2736" s="8" t="s">
        <v>21</v>
      </c>
      <c r="D2736" s="8" t="str">
        <f>"黄梓"</f>
        <v>黄梓</v>
      </c>
      <c r="E2736" s="8" t="str">
        <f t="shared" si="474"/>
        <v>男</v>
      </c>
    </row>
    <row r="2737" spans="1:5" ht="30" customHeight="1">
      <c r="A2737" s="8">
        <v>2734</v>
      </c>
      <c r="B2737" s="8" t="str">
        <f>"38492022042711544242505"</f>
        <v>38492022042711544242505</v>
      </c>
      <c r="C2737" s="8" t="s">
        <v>21</v>
      </c>
      <c r="D2737" s="8" t="str">
        <f>"赵开源"</f>
        <v>赵开源</v>
      </c>
      <c r="E2737" s="8" t="str">
        <f t="shared" si="474"/>
        <v>男</v>
      </c>
    </row>
    <row r="2738" spans="1:5" ht="30" customHeight="1">
      <c r="A2738" s="8">
        <v>2735</v>
      </c>
      <c r="B2738" s="8" t="str">
        <f>"38492022042711582142537"</f>
        <v>38492022042711582142537</v>
      </c>
      <c r="C2738" s="8" t="s">
        <v>21</v>
      </c>
      <c r="D2738" s="8" t="str">
        <f>"黄玉娟"</f>
        <v>黄玉娟</v>
      </c>
      <c r="E2738" s="8" t="str">
        <f aca="true" t="shared" si="476" ref="E2738:E2740">"女"</f>
        <v>女</v>
      </c>
    </row>
    <row r="2739" spans="1:5" ht="30" customHeight="1">
      <c r="A2739" s="8">
        <v>2736</v>
      </c>
      <c r="B2739" s="8" t="str">
        <f>"38492022042712061242574"</f>
        <v>38492022042712061242574</v>
      </c>
      <c r="C2739" s="8" t="s">
        <v>21</v>
      </c>
      <c r="D2739" s="8" t="str">
        <f>"郑冬容"</f>
        <v>郑冬容</v>
      </c>
      <c r="E2739" s="8" t="str">
        <f t="shared" si="476"/>
        <v>女</v>
      </c>
    </row>
    <row r="2740" spans="1:5" ht="30" customHeight="1">
      <c r="A2740" s="8">
        <v>2737</v>
      </c>
      <c r="B2740" s="8" t="str">
        <f>"38492022042712184942651"</f>
        <v>38492022042712184942651</v>
      </c>
      <c r="C2740" s="8" t="s">
        <v>21</v>
      </c>
      <c r="D2740" s="8" t="str">
        <f>"韦晶晶"</f>
        <v>韦晶晶</v>
      </c>
      <c r="E2740" s="8" t="str">
        <f t="shared" si="476"/>
        <v>女</v>
      </c>
    </row>
    <row r="2741" spans="1:5" ht="30" customHeight="1">
      <c r="A2741" s="8">
        <v>2738</v>
      </c>
      <c r="B2741" s="8" t="str">
        <f>"38492022042712195542657"</f>
        <v>38492022042712195542657</v>
      </c>
      <c r="C2741" s="8" t="s">
        <v>21</v>
      </c>
      <c r="D2741" s="8" t="str">
        <f>"陈强"</f>
        <v>陈强</v>
      </c>
      <c r="E2741" s="8" t="str">
        <f>"男"</f>
        <v>男</v>
      </c>
    </row>
    <row r="2742" spans="1:5" ht="30" customHeight="1">
      <c r="A2742" s="8">
        <v>2739</v>
      </c>
      <c r="B2742" s="8" t="str">
        <f>"38492022042712210942662"</f>
        <v>38492022042712210942662</v>
      </c>
      <c r="C2742" s="8" t="s">
        <v>21</v>
      </c>
      <c r="D2742" s="8" t="str">
        <f>"王菲"</f>
        <v>王菲</v>
      </c>
      <c r="E2742" s="8" t="str">
        <f aca="true" t="shared" si="477" ref="E2742:E2744">"女"</f>
        <v>女</v>
      </c>
    </row>
    <row r="2743" spans="1:5" ht="30" customHeight="1">
      <c r="A2743" s="8">
        <v>2740</v>
      </c>
      <c r="B2743" s="8" t="str">
        <f>"38492022042712211142663"</f>
        <v>38492022042712211142663</v>
      </c>
      <c r="C2743" s="8" t="s">
        <v>21</v>
      </c>
      <c r="D2743" s="8" t="str">
        <f>"胡春秋"</f>
        <v>胡春秋</v>
      </c>
      <c r="E2743" s="8" t="str">
        <f t="shared" si="477"/>
        <v>女</v>
      </c>
    </row>
    <row r="2744" spans="1:5" ht="30" customHeight="1">
      <c r="A2744" s="8">
        <v>2741</v>
      </c>
      <c r="B2744" s="8" t="str">
        <f>"38492022042712253142694"</f>
        <v>38492022042712253142694</v>
      </c>
      <c r="C2744" s="8" t="s">
        <v>21</v>
      </c>
      <c r="D2744" s="8" t="str">
        <f>"王晓萍"</f>
        <v>王晓萍</v>
      </c>
      <c r="E2744" s="8" t="str">
        <f t="shared" si="477"/>
        <v>女</v>
      </c>
    </row>
    <row r="2745" spans="1:5" ht="30" customHeight="1">
      <c r="A2745" s="8">
        <v>2742</v>
      </c>
      <c r="B2745" s="8" t="str">
        <f>"38492022042712305942730"</f>
        <v>38492022042712305942730</v>
      </c>
      <c r="C2745" s="8" t="s">
        <v>21</v>
      </c>
      <c r="D2745" s="8" t="str">
        <f>"文晓雄"</f>
        <v>文晓雄</v>
      </c>
      <c r="E2745" s="8" t="str">
        <f>"男"</f>
        <v>男</v>
      </c>
    </row>
    <row r="2746" spans="1:5" ht="30" customHeight="1">
      <c r="A2746" s="8">
        <v>2743</v>
      </c>
      <c r="B2746" s="8" t="str">
        <f>"38492022042712413542794"</f>
        <v>38492022042712413542794</v>
      </c>
      <c r="C2746" s="8" t="s">
        <v>21</v>
      </c>
      <c r="D2746" s="8" t="str">
        <f>"林梅珠"</f>
        <v>林梅珠</v>
      </c>
      <c r="E2746" s="8" t="str">
        <f aca="true" t="shared" si="478" ref="E2746:E2748">"女"</f>
        <v>女</v>
      </c>
    </row>
    <row r="2747" spans="1:5" ht="30" customHeight="1">
      <c r="A2747" s="8">
        <v>2744</v>
      </c>
      <c r="B2747" s="8" t="str">
        <f>"38492022042712415642800"</f>
        <v>38492022042712415642800</v>
      </c>
      <c r="C2747" s="8" t="s">
        <v>21</v>
      </c>
      <c r="D2747" s="8" t="str">
        <f>"陈秋菊"</f>
        <v>陈秋菊</v>
      </c>
      <c r="E2747" s="8" t="str">
        <f t="shared" si="478"/>
        <v>女</v>
      </c>
    </row>
    <row r="2748" spans="1:5" ht="30" customHeight="1">
      <c r="A2748" s="8">
        <v>2745</v>
      </c>
      <c r="B2748" s="8" t="str">
        <f>"38492022042712492542851"</f>
        <v>38492022042712492542851</v>
      </c>
      <c r="C2748" s="8" t="s">
        <v>21</v>
      </c>
      <c r="D2748" s="8" t="str">
        <f>"曾灿灿"</f>
        <v>曾灿灿</v>
      </c>
      <c r="E2748" s="8" t="str">
        <f t="shared" si="478"/>
        <v>女</v>
      </c>
    </row>
    <row r="2749" spans="1:5" ht="30" customHeight="1">
      <c r="A2749" s="8">
        <v>2746</v>
      </c>
      <c r="B2749" s="8" t="str">
        <f>"38492022042713201943063"</f>
        <v>38492022042713201943063</v>
      </c>
      <c r="C2749" s="8" t="s">
        <v>21</v>
      </c>
      <c r="D2749" s="8" t="str">
        <f>"陈永锋"</f>
        <v>陈永锋</v>
      </c>
      <c r="E2749" s="8" t="str">
        <f>"男"</f>
        <v>男</v>
      </c>
    </row>
    <row r="2750" spans="1:5" ht="30" customHeight="1">
      <c r="A2750" s="8">
        <v>2747</v>
      </c>
      <c r="B2750" s="8" t="str">
        <f>"38492022042713213443066"</f>
        <v>38492022042713213443066</v>
      </c>
      <c r="C2750" s="8" t="s">
        <v>21</v>
      </c>
      <c r="D2750" s="8" t="str">
        <f>"陆雪晶"</f>
        <v>陆雪晶</v>
      </c>
      <c r="E2750" s="8" t="str">
        <f aca="true" t="shared" si="479" ref="E2750:E2754">"女"</f>
        <v>女</v>
      </c>
    </row>
    <row r="2751" spans="1:5" ht="30" customHeight="1">
      <c r="A2751" s="8">
        <v>2748</v>
      </c>
      <c r="B2751" s="8" t="str">
        <f>"38492022042713250543086"</f>
        <v>38492022042713250543086</v>
      </c>
      <c r="C2751" s="8" t="s">
        <v>21</v>
      </c>
      <c r="D2751" s="8" t="str">
        <f>"陈有宝"</f>
        <v>陈有宝</v>
      </c>
      <c r="E2751" s="8" t="str">
        <f>"男"</f>
        <v>男</v>
      </c>
    </row>
    <row r="2752" spans="1:5" ht="30" customHeight="1">
      <c r="A2752" s="8">
        <v>2749</v>
      </c>
      <c r="B2752" s="8" t="str">
        <f>"38492022042713280343104"</f>
        <v>38492022042713280343104</v>
      </c>
      <c r="C2752" s="8" t="s">
        <v>21</v>
      </c>
      <c r="D2752" s="8" t="str">
        <f>"符珮文"</f>
        <v>符珮文</v>
      </c>
      <c r="E2752" s="8" t="str">
        <f t="shared" si="479"/>
        <v>女</v>
      </c>
    </row>
    <row r="2753" spans="1:5" ht="30" customHeight="1">
      <c r="A2753" s="8">
        <v>2750</v>
      </c>
      <c r="B2753" s="8" t="str">
        <f>"38492022042713334343137"</f>
        <v>38492022042713334343137</v>
      </c>
      <c r="C2753" s="8" t="s">
        <v>21</v>
      </c>
      <c r="D2753" s="8" t="str">
        <f>"柳小英"</f>
        <v>柳小英</v>
      </c>
      <c r="E2753" s="8" t="str">
        <f t="shared" si="479"/>
        <v>女</v>
      </c>
    </row>
    <row r="2754" spans="1:5" ht="30" customHeight="1">
      <c r="A2754" s="8">
        <v>2751</v>
      </c>
      <c r="B2754" s="8" t="str">
        <f>"38492022042713353743144"</f>
        <v>38492022042713353743144</v>
      </c>
      <c r="C2754" s="8" t="s">
        <v>21</v>
      </c>
      <c r="D2754" s="8" t="str">
        <f>"黄任晓"</f>
        <v>黄任晓</v>
      </c>
      <c r="E2754" s="8" t="str">
        <f t="shared" si="479"/>
        <v>女</v>
      </c>
    </row>
    <row r="2755" spans="1:5" ht="30" customHeight="1">
      <c r="A2755" s="8">
        <v>2752</v>
      </c>
      <c r="B2755" s="8" t="str">
        <f>"38492022042713473643215"</f>
        <v>38492022042713473643215</v>
      </c>
      <c r="C2755" s="8" t="s">
        <v>21</v>
      </c>
      <c r="D2755" s="8" t="str">
        <f>"黄垂干"</f>
        <v>黄垂干</v>
      </c>
      <c r="E2755" s="8" t="str">
        <f>"男"</f>
        <v>男</v>
      </c>
    </row>
    <row r="2756" spans="1:5" ht="30" customHeight="1">
      <c r="A2756" s="8">
        <v>2753</v>
      </c>
      <c r="B2756" s="8" t="str">
        <f>"38492022042713484543221"</f>
        <v>38492022042713484543221</v>
      </c>
      <c r="C2756" s="8" t="s">
        <v>21</v>
      </c>
      <c r="D2756" s="8" t="str">
        <f>"岑红亮"</f>
        <v>岑红亮</v>
      </c>
      <c r="E2756" s="8" t="str">
        <f aca="true" t="shared" si="480" ref="E2756:E2762">"女"</f>
        <v>女</v>
      </c>
    </row>
    <row r="2757" spans="1:5" ht="30" customHeight="1">
      <c r="A2757" s="8">
        <v>2754</v>
      </c>
      <c r="B2757" s="8" t="str">
        <f>"38492022042713493743229"</f>
        <v>38492022042713493743229</v>
      </c>
      <c r="C2757" s="8" t="s">
        <v>21</v>
      </c>
      <c r="D2757" s="8" t="str">
        <f>"何健"</f>
        <v>何健</v>
      </c>
      <c r="E2757" s="8" t="str">
        <f>"男"</f>
        <v>男</v>
      </c>
    </row>
    <row r="2758" spans="1:5" ht="30" customHeight="1">
      <c r="A2758" s="8">
        <v>2755</v>
      </c>
      <c r="B2758" s="8" t="str">
        <f>"38492022042713595543277"</f>
        <v>38492022042713595543277</v>
      </c>
      <c r="C2758" s="8" t="s">
        <v>21</v>
      </c>
      <c r="D2758" s="8" t="str">
        <f>"卓冬萍"</f>
        <v>卓冬萍</v>
      </c>
      <c r="E2758" s="8" t="str">
        <f t="shared" si="480"/>
        <v>女</v>
      </c>
    </row>
    <row r="2759" spans="1:5" ht="30" customHeight="1">
      <c r="A2759" s="8">
        <v>2756</v>
      </c>
      <c r="B2759" s="8" t="str">
        <f>"38492022042714130143347"</f>
        <v>38492022042714130143347</v>
      </c>
      <c r="C2759" s="8" t="s">
        <v>21</v>
      </c>
      <c r="D2759" s="8" t="str">
        <f>"罗翔月"</f>
        <v>罗翔月</v>
      </c>
      <c r="E2759" s="8" t="str">
        <f t="shared" si="480"/>
        <v>女</v>
      </c>
    </row>
    <row r="2760" spans="1:5" ht="30" customHeight="1">
      <c r="A2760" s="8">
        <v>2757</v>
      </c>
      <c r="B2760" s="8" t="str">
        <f>"38492022042714160243357"</f>
        <v>38492022042714160243357</v>
      </c>
      <c r="C2760" s="8" t="s">
        <v>21</v>
      </c>
      <c r="D2760" s="8" t="str">
        <f>"符远坤"</f>
        <v>符远坤</v>
      </c>
      <c r="E2760" s="8" t="str">
        <f t="shared" si="480"/>
        <v>女</v>
      </c>
    </row>
    <row r="2761" spans="1:5" ht="30" customHeight="1">
      <c r="A2761" s="8">
        <v>2758</v>
      </c>
      <c r="B2761" s="8" t="str">
        <f>"38492022042714160843359"</f>
        <v>38492022042714160843359</v>
      </c>
      <c r="C2761" s="8" t="s">
        <v>21</v>
      </c>
      <c r="D2761" s="8" t="str">
        <f>"刘权庆"</f>
        <v>刘权庆</v>
      </c>
      <c r="E2761" s="8" t="str">
        <f t="shared" si="480"/>
        <v>女</v>
      </c>
    </row>
    <row r="2762" spans="1:5" ht="30" customHeight="1">
      <c r="A2762" s="8">
        <v>2759</v>
      </c>
      <c r="B2762" s="8" t="str">
        <f>"38492022042714192843381"</f>
        <v>38492022042714192843381</v>
      </c>
      <c r="C2762" s="8" t="s">
        <v>21</v>
      </c>
      <c r="D2762" s="8" t="str">
        <f>"毛琬璆"</f>
        <v>毛琬璆</v>
      </c>
      <c r="E2762" s="8" t="str">
        <f t="shared" si="480"/>
        <v>女</v>
      </c>
    </row>
    <row r="2763" spans="1:5" ht="30" customHeight="1">
      <c r="A2763" s="8">
        <v>2760</v>
      </c>
      <c r="B2763" s="8" t="str">
        <f>"38492022042714230243399"</f>
        <v>38492022042714230243399</v>
      </c>
      <c r="C2763" s="8" t="s">
        <v>21</v>
      </c>
      <c r="D2763" s="8" t="str">
        <f>"符传旺"</f>
        <v>符传旺</v>
      </c>
      <c r="E2763" s="8" t="str">
        <f>"男"</f>
        <v>男</v>
      </c>
    </row>
    <row r="2764" spans="1:5" ht="30" customHeight="1">
      <c r="A2764" s="8">
        <v>2761</v>
      </c>
      <c r="B2764" s="8" t="str">
        <f>"38492022042714253143420"</f>
        <v>38492022042714253143420</v>
      </c>
      <c r="C2764" s="8" t="s">
        <v>21</v>
      </c>
      <c r="D2764" s="8" t="str">
        <f>"陈小短"</f>
        <v>陈小短</v>
      </c>
      <c r="E2764" s="8" t="str">
        <f aca="true" t="shared" si="481" ref="E2764:E2768">"女"</f>
        <v>女</v>
      </c>
    </row>
    <row r="2765" spans="1:5" ht="30" customHeight="1">
      <c r="A2765" s="8">
        <v>2762</v>
      </c>
      <c r="B2765" s="8" t="str">
        <f>"38492022042714330143474"</f>
        <v>38492022042714330143474</v>
      </c>
      <c r="C2765" s="8" t="s">
        <v>21</v>
      </c>
      <c r="D2765" s="8" t="str">
        <f>"陈泽荷"</f>
        <v>陈泽荷</v>
      </c>
      <c r="E2765" s="8" t="str">
        <f t="shared" si="481"/>
        <v>女</v>
      </c>
    </row>
    <row r="2766" spans="1:5" ht="30" customHeight="1">
      <c r="A2766" s="8">
        <v>2763</v>
      </c>
      <c r="B2766" s="8" t="str">
        <f>"38492022042714344143483"</f>
        <v>38492022042714344143483</v>
      </c>
      <c r="C2766" s="8" t="s">
        <v>21</v>
      </c>
      <c r="D2766" s="8" t="str">
        <f>"李姗姗"</f>
        <v>李姗姗</v>
      </c>
      <c r="E2766" s="8" t="str">
        <f t="shared" si="481"/>
        <v>女</v>
      </c>
    </row>
    <row r="2767" spans="1:5" ht="30" customHeight="1">
      <c r="A2767" s="8">
        <v>2764</v>
      </c>
      <c r="B2767" s="8" t="str">
        <f>"38492022042714425243536"</f>
        <v>38492022042714425243536</v>
      </c>
      <c r="C2767" s="8" t="s">
        <v>21</v>
      </c>
      <c r="D2767" s="8" t="str">
        <f>"薛月柳"</f>
        <v>薛月柳</v>
      </c>
      <c r="E2767" s="8" t="str">
        <f t="shared" si="481"/>
        <v>女</v>
      </c>
    </row>
    <row r="2768" spans="1:5" ht="30" customHeight="1">
      <c r="A2768" s="8">
        <v>2765</v>
      </c>
      <c r="B2768" s="8" t="str">
        <f>"38492022042714471943568"</f>
        <v>38492022042714471943568</v>
      </c>
      <c r="C2768" s="8" t="s">
        <v>21</v>
      </c>
      <c r="D2768" s="8" t="str">
        <f>"吴金兰"</f>
        <v>吴金兰</v>
      </c>
      <c r="E2768" s="8" t="str">
        <f t="shared" si="481"/>
        <v>女</v>
      </c>
    </row>
    <row r="2769" spans="1:5" ht="30" customHeight="1">
      <c r="A2769" s="8">
        <v>2766</v>
      </c>
      <c r="B2769" s="8" t="str">
        <f>"38492022042714535643603"</f>
        <v>38492022042714535643603</v>
      </c>
      <c r="C2769" s="8" t="s">
        <v>21</v>
      </c>
      <c r="D2769" s="8" t="str">
        <f>"吴开发"</f>
        <v>吴开发</v>
      </c>
      <c r="E2769" s="8" t="str">
        <f>"男"</f>
        <v>男</v>
      </c>
    </row>
    <row r="2770" spans="1:5" ht="30" customHeight="1">
      <c r="A2770" s="8">
        <v>2767</v>
      </c>
      <c r="B2770" s="8" t="str">
        <f>"38492022042714542543604"</f>
        <v>38492022042714542543604</v>
      </c>
      <c r="C2770" s="8" t="s">
        <v>21</v>
      </c>
      <c r="D2770" s="8" t="str">
        <f>"张朝金"</f>
        <v>张朝金</v>
      </c>
      <c r="E2770" s="8" t="str">
        <f aca="true" t="shared" si="482" ref="E2770:E2775">"女"</f>
        <v>女</v>
      </c>
    </row>
    <row r="2771" spans="1:5" ht="30" customHeight="1">
      <c r="A2771" s="8">
        <v>2768</v>
      </c>
      <c r="B2771" s="8" t="str">
        <f>"38492022042714560643615"</f>
        <v>38492022042714560643615</v>
      </c>
      <c r="C2771" s="8" t="s">
        <v>21</v>
      </c>
      <c r="D2771" s="8" t="str">
        <f>"贺姿璇"</f>
        <v>贺姿璇</v>
      </c>
      <c r="E2771" s="8" t="str">
        <f t="shared" si="482"/>
        <v>女</v>
      </c>
    </row>
    <row r="2772" spans="1:5" ht="30" customHeight="1">
      <c r="A2772" s="8">
        <v>2769</v>
      </c>
      <c r="B2772" s="8" t="str">
        <f>"38492022042714563343619"</f>
        <v>38492022042714563343619</v>
      </c>
      <c r="C2772" s="8" t="s">
        <v>21</v>
      </c>
      <c r="D2772" s="8" t="str">
        <f>"卢丹玲"</f>
        <v>卢丹玲</v>
      </c>
      <c r="E2772" s="8" t="str">
        <f t="shared" si="482"/>
        <v>女</v>
      </c>
    </row>
    <row r="2773" spans="1:5" ht="30" customHeight="1">
      <c r="A2773" s="8">
        <v>2770</v>
      </c>
      <c r="B2773" s="8" t="str">
        <f>"38492022042714574743628"</f>
        <v>38492022042714574743628</v>
      </c>
      <c r="C2773" s="8" t="s">
        <v>21</v>
      </c>
      <c r="D2773" s="8" t="str">
        <f>"黄和蕾"</f>
        <v>黄和蕾</v>
      </c>
      <c r="E2773" s="8" t="str">
        <f t="shared" si="482"/>
        <v>女</v>
      </c>
    </row>
    <row r="2774" spans="1:5" ht="30" customHeight="1">
      <c r="A2774" s="8">
        <v>2771</v>
      </c>
      <c r="B2774" s="8" t="str">
        <f>"38492022042715055443682"</f>
        <v>38492022042715055443682</v>
      </c>
      <c r="C2774" s="8" t="s">
        <v>21</v>
      </c>
      <c r="D2774" s="8" t="str">
        <f>"符晓思"</f>
        <v>符晓思</v>
      </c>
      <c r="E2774" s="8" t="str">
        <f t="shared" si="482"/>
        <v>女</v>
      </c>
    </row>
    <row r="2775" spans="1:5" ht="30" customHeight="1">
      <c r="A2775" s="8">
        <v>2772</v>
      </c>
      <c r="B2775" s="8" t="str">
        <f>"38492022042715115043720"</f>
        <v>38492022042715115043720</v>
      </c>
      <c r="C2775" s="8" t="s">
        <v>21</v>
      </c>
      <c r="D2775" s="8" t="str">
        <f>"周月"</f>
        <v>周月</v>
      </c>
      <c r="E2775" s="8" t="str">
        <f t="shared" si="482"/>
        <v>女</v>
      </c>
    </row>
    <row r="2776" spans="1:5" ht="30" customHeight="1">
      <c r="A2776" s="8">
        <v>2773</v>
      </c>
      <c r="B2776" s="8" t="str">
        <f>"38492022042715174743754"</f>
        <v>38492022042715174743754</v>
      </c>
      <c r="C2776" s="8" t="s">
        <v>21</v>
      </c>
      <c r="D2776" s="8" t="str">
        <f>"王良"</f>
        <v>王良</v>
      </c>
      <c r="E2776" s="8" t="str">
        <f aca="true" t="shared" si="483" ref="E2776:E2781">"男"</f>
        <v>男</v>
      </c>
    </row>
    <row r="2777" spans="1:5" ht="30" customHeight="1">
      <c r="A2777" s="8">
        <v>2774</v>
      </c>
      <c r="B2777" s="8" t="str">
        <f>"38492022042715182343761"</f>
        <v>38492022042715182343761</v>
      </c>
      <c r="C2777" s="8" t="s">
        <v>21</v>
      </c>
      <c r="D2777" s="8" t="str">
        <f>"吴丹秋"</f>
        <v>吴丹秋</v>
      </c>
      <c r="E2777" s="8" t="str">
        <f aca="true" t="shared" si="484" ref="E2777:E2780">"女"</f>
        <v>女</v>
      </c>
    </row>
    <row r="2778" spans="1:5" ht="30" customHeight="1">
      <c r="A2778" s="8">
        <v>2775</v>
      </c>
      <c r="B2778" s="8" t="str">
        <f>"38492022042715373543880"</f>
        <v>38492022042715373543880</v>
      </c>
      <c r="C2778" s="8" t="s">
        <v>21</v>
      </c>
      <c r="D2778" s="8" t="str">
        <f>"陈绵琛"</f>
        <v>陈绵琛</v>
      </c>
      <c r="E2778" s="8" t="str">
        <f t="shared" si="483"/>
        <v>男</v>
      </c>
    </row>
    <row r="2779" spans="1:5" ht="30" customHeight="1">
      <c r="A2779" s="8">
        <v>2776</v>
      </c>
      <c r="B2779" s="8" t="str">
        <f>"38492022042715383843886"</f>
        <v>38492022042715383843886</v>
      </c>
      <c r="C2779" s="8" t="s">
        <v>21</v>
      </c>
      <c r="D2779" s="8" t="str">
        <f>"符小桂"</f>
        <v>符小桂</v>
      </c>
      <c r="E2779" s="8" t="str">
        <f t="shared" si="484"/>
        <v>女</v>
      </c>
    </row>
    <row r="2780" spans="1:5" ht="30" customHeight="1">
      <c r="A2780" s="8">
        <v>2777</v>
      </c>
      <c r="B2780" s="8" t="str">
        <f>"38492022042715385443890"</f>
        <v>38492022042715385443890</v>
      </c>
      <c r="C2780" s="8" t="s">
        <v>21</v>
      </c>
      <c r="D2780" s="8" t="str">
        <f>"吴京娜"</f>
        <v>吴京娜</v>
      </c>
      <c r="E2780" s="8" t="str">
        <f t="shared" si="484"/>
        <v>女</v>
      </c>
    </row>
    <row r="2781" spans="1:5" ht="30" customHeight="1">
      <c r="A2781" s="8">
        <v>2778</v>
      </c>
      <c r="B2781" s="8" t="str">
        <f>"38492022042715394343892"</f>
        <v>38492022042715394343892</v>
      </c>
      <c r="C2781" s="8" t="s">
        <v>21</v>
      </c>
      <c r="D2781" s="8" t="str">
        <f>"杨泽栋"</f>
        <v>杨泽栋</v>
      </c>
      <c r="E2781" s="8" t="str">
        <f t="shared" si="483"/>
        <v>男</v>
      </c>
    </row>
    <row r="2782" spans="1:5" ht="30" customHeight="1">
      <c r="A2782" s="8">
        <v>2779</v>
      </c>
      <c r="B2782" s="8" t="str">
        <f>"38492022042715424243912"</f>
        <v>38492022042715424243912</v>
      </c>
      <c r="C2782" s="8" t="s">
        <v>21</v>
      </c>
      <c r="D2782" s="8" t="str">
        <f>"郑轩媚"</f>
        <v>郑轩媚</v>
      </c>
      <c r="E2782" s="8" t="str">
        <f aca="true" t="shared" si="485" ref="E2782:E2784">"女"</f>
        <v>女</v>
      </c>
    </row>
    <row r="2783" spans="1:5" ht="30" customHeight="1">
      <c r="A2783" s="8">
        <v>2780</v>
      </c>
      <c r="B2783" s="8" t="str">
        <f>"38492022042715462143935"</f>
        <v>38492022042715462143935</v>
      </c>
      <c r="C2783" s="8" t="s">
        <v>21</v>
      </c>
      <c r="D2783" s="8" t="str">
        <f>"陈碧娇"</f>
        <v>陈碧娇</v>
      </c>
      <c r="E2783" s="8" t="str">
        <f t="shared" si="485"/>
        <v>女</v>
      </c>
    </row>
    <row r="2784" spans="1:5" ht="30" customHeight="1">
      <c r="A2784" s="8">
        <v>2781</v>
      </c>
      <c r="B2784" s="8" t="str">
        <f>"38492022042715532243982"</f>
        <v>38492022042715532243982</v>
      </c>
      <c r="C2784" s="8" t="s">
        <v>21</v>
      </c>
      <c r="D2784" s="8" t="str">
        <f>"王鲜"</f>
        <v>王鲜</v>
      </c>
      <c r="E2784" s="8" t="str">
        <f t="shared" si="485"/>
        <v>女</v>
      </c>
    </row>
    <row r="2785" spans="1:5" ht="30" customHeight="1">
      <c r="A2785" s="8">
        <v>2782</v>
      </c>
      <c r="B2785" s="8" t="str">
        <f>"38492022042715553344003"</f>
        <v>38492022042715553344003</v>
      </c>
      <c r="C2785" s="8" t="s">
        <v>21</v>
      </c>
      <c r="D2785" s="8" t="str">
        <f>"王书"</f>
        <v>王书</v>
      </c>
      <c r="E2785" s="8" t="str">
        <f aca="true" t="shared" si="486" ref="E2785:E2791">"男"</f>
        <v>男</v>
      </c>
    </row>
    <row r="2786" spans="1:5" ht="30" customHeight="1">
      <c r="A2786" s="8">
        <v>2783</v>
      </c>
      <c r="B2786" s="8" t="str">
        <f>"38492022042716005944032"</f>
        <v>38492022042716005944032</v>
      </c>
      <c r="C2786" s="8" t="s">
        <v>21</v>
      </c>
      <c r="D2786" s="8" t="str">
        <f>"杜蕾"</f>
        <v>杜蕾</v>
      </c>
      <c r="E2786" s="8" t="str">
        <f>"女"</f>
        <v>女</v>
      </c>
    </row>
    <row r="2787" spans="1:5" ht="30" customHeight="1">
      <c r="A2787" s="8">
        <v>2784</v>
      </c>
      <c r="B2787" s="8" t="str">
        <f>"38492022042716025944047"</f>
        <v>38492022042716025944047</v>
      </c>
      <c r="C2787" s="8" t="s">
        <v>21</v>
      </c>
      <c r="D2787" s="8" t="str">
        <f>"王泰业"</f>
        <v>王泰业</v>
      </c>
      <c r="E2787" s="8" t="str">
        <f t="shared" si="486"/>
        <v>男</v>
      </c>
    </row>
    <row r="2788" spans="1:5" ht="30" customHeight="1">
      <c r="A2788" s="8">
        <v>2785</v>
      </c>
      <c r="B2788" s="8" t="str">
        <f>"38492022042716072144065"</f>
        <v>38492022042716072144065</v>
      </c>
      <c r="C2788" s="8" t="s">
        <v>21</v>
      </c>
      <c r="D2788" s="8" t="str">
        <f>"张欣欣"</f>
        <v>张欣欣</v>
      </c>
      <c r="E2788" s="8" t="str">
        <f>"女"</f>
        <v>女</v>
      </c>
    </row>
    <row r="2789" spans="1:5" ht="30" customHeight="1">
      <c r="A2789" s="8">
        <v>2786</v>
      </c>
      <c r="B2789" s="8" t="str">
        <f>"38492022042716081944071"</f>
        <v>38492022042716081944071</v>
      </c>
      <c r="C2789" s="8" t="s">
        <v>21</v>
      </c>
      <c r="D2789" s="8" t="str">
        <f>"黄世雄"</f>
        <v>黄世雄</v>
      </c>
      <c r="E2789" s="8" t="str">
        <f t="shared" si="486"/>
        <v>男</v>
      </c>
    </row>
    <row r="2790" spans="1:5" ht="30" customHeight="1">
      <c r="A2790" s="8">
        <v>2787</v>
      </c>
      <c r="B2790" s="8" t="str">
        <f>"38492022042716110444089"</f>
        <v>38492022042716110444089</v>
      </c>
      <c r="C2790" s="8" t="s">
        <v>21</v>
      </c>
      <c r="D2790" s="8" t="str">
        <f>"陈良刚"</f>
        <v>陈良刚</v>
      </c>
      <c r="E2790" s="8" t="str">
        <f t="shared" si="486"/>
        <v>男</v>
      </c>
    </row>
    <row r="2791" spans="1:5" ht="30" customHeight="1">
      <c r="A2791" s="8">
        <v>2788</v>
      </c>
      <c r="B2791" s="8" t="str">
        <f>"38492022042716172244113"</f>
        <v>38492022042716172244113</v>
      </c>
      <c r="C2791" s="8" t="s">
        <v>21</v>
      </c>
      <c r="D2791" s="8" t="str">
        <f>"易书弘"</f>
        <v>易书弘</v>
      </c>
      <c r="E2791" s="8" t="str">
        <f t="shared" si="486"/>
        <v>男</v>
      </c>
    </row>
    <row r="2792" spans="1:5" ht="30" customHeight="1">
      <c r="A2792" s="8">
        <v>2789</v>
      </c>
      <c r="B2792" s="8" t="str">
        <f>"38492022042716173144115"</f>
        <v>38492022042716173144115</v>
      </c>
      <c r="C2792" s="8" t="s">
        <v>21</v>
      </c>
      <c r="D2792" s="8" t="str">
        <f>"陈太庭"</f>
        <v>陈太庭</v>
      </c>
      <c r="E2792" s="8" t="str">
        <f aca="true" t="shared" si="487" ref="E2792:E2804">"女"</f>
        <v>女</v>
      </c>
    </row>
    <row r="2793" spans="1:5" ht="30" customHeight="1">
      <c r="A2793" s="8">
        <v>2790</v>
      </c>
      <c r="B2793" s="8" t="str">
        <f>"38492022042716191344126"</f>
        <v>38492022042716191344126</v>
      </c>
      <c r="C2793" s="8" t="s">
        <v>21</v>
      </c>
      <c r="D2793" s="8" t="str">
        <f>"杨献飞"</f>
        <v>杨献飞</v>
      </c>
      <c r="E2793" s="8" t="str">
        <f>"男"</f>
        <v>男</v>
      </c>
    </row>
    <row r="2794" spans="1:5" ht="30" customHeight="1">
      <c r="A2794" s="8">
        <v>2791</v>
      </c>
      <c r="B2794" s="8" t="str">
        <f>"38492022042716203744134"</f>
        <v>38492022042716203744134</v>
      </c>
      <c r="C2794" s="8" t="s">
        <v>21</v>
      </c>
      <c r="D2794" s="8" t="str">
        <f>"赵天舸"</f>
        <v>赵天舸</v>
      </c>
      <c r="E2794" s="8" t="str">
        <f>"男"</f>
        <v>男</v>
      </c>
    </row>
    <row r="2795" spans="1:5" ht="30" customHeight="1">
      <c r="A2795" s="8">
        <v>2792</v>
      </c>
      <c r="B2795" s="8" t="str">
        <f>"38492022042716304944185"</f>
        <v>38492022042716304944185</v>
      </c>
      <c r="C2795" s="8" t="s">
        <v>21</v>
      </c>
      <c r="D2795" s="8" t="str">
        <f>"农丽圆"</f>
        <v>农丽圆</v>
      </c>
      <c r="E2795" s="8" t="str">
        <f t="shared" si="487"/>
        <v>女</v>
      </c>
    </row>
    <row r="2796" spans="1:5" ht="30" customHeight="1">
      <c r="A2796" s="8">
        <v>2793</v>
      </c>
      <c r="B2796" s="8" t="str">
        <f>"38492022042716322044194"</f>
        <v>38492022042716322044194</v>
      </c>
      <c r="C2796" s="8" t="s">
        <v>21</v>
      </c>
      <c r="D2796" s="8" t="str">
        <f>"孙少娜"</f>
        <v>孙少娜</v>
      </c>
      <c r="E2796" s="8" t="str">
        <f t="shared" si="487"/>
        <v>女</v>
      </c>
    </row>
    <row r="2797" spans="1:5" ht="30" customHeight="1">
      <c r="A2797" s="8">
        <v>2794</v>
      </c>
      <c r="B2797" s="8" t="str">
        <f>"38492022042716392544236"</f>
        <v>38492022042716392544236</v>
      </c>
      <c r="C2797" s="8" t="s">
        <v>21</v>
      </c>
      <c r="D2797" s="8" t="str">
        <f>"符刘廷"</f>
        <v>符刘廷</v>
      </c>
      <c r="E2797" s="8" t="str">
        <f t="shared" si="487"/>
        <v>女</v>
      </c>
    </row>
    <row r="2798" spans="1:5" ht="30" customHeight="1">
      <c r="A2798" s="8">
        <v>2795</v>
      </c>
      <c r="B2798" s="8" t="str">
        <f>"38492022042109102825012"</f>
        <v>38492022042109102825012</v>
      </c>
      <c r="C2798" s="8" t="s">
        <v>22</v>
      </c>
      <c r="D2798" s="8" t="str">
        <f>"邢文悦"</f>
        <v>邢文悦</v>
      </c>
      <c r="E2798" s="8" t="str">
        <f t="shared" si="487"/>
        <v>女</v>
      </c>
    </row>
    <row r="2799" spans="1:5" ht="30" customHeight="1">
      <c r="A2799" s="8">
        <v>2796</v>
      </c>
      <c r="B2799" s="8" t="str">
        <f>"38492022042109102925013"</f>
        <v>38492022042109102925013</v>
      </c>
      <c r="C2799" s="8" t="s">
        <v>22</v>
      </c>
      <c r="D2799" s="8" t="str">
        <f>"赵永祎"</f>
        <v>赵永祎</v>
      </c>
      <c r="E2799" s="8" t="str">
        <f t="shared" si="487"/>
        <v>女</v>
      </c>
    </row>
    <row r="2800" spans="1:5" ht="30" customHeight="1">
      <c r="A2800" s="8">
        <v>2797</v>
      </c>
      <c r="B2800" s="8" t="str">
        <f>"38492022042109590525621"</f>
        <v>38492022042109590525621</v>
      </c>
      <c r="C2800" s="8" t="s">
        <v>22</v>
      </c>
      <c r="D2800" s="8" t="str">
        <f>"周兵"</f>
        <v>周兵</v>
      </c>
      <c r="E2800" s="8" t="str">
        <f t="shared" si="487"/>
        <v>女</v>
      </c>
    </row>
    <row r="2801" spans="1:5" ht="30" customHeight="1">
      <c r="A2801" s="8">
        <v>2798</v>
      </c>
      <c r="B2801" s="8" t="str">
        <f>"38492022042110150525815"</f>
        <v>38492022042110150525815</v>
      </c>
      <c r="C2801" s="8" t="s">
        <v>22</v>
      </c>
      <c r="D2801" s="8" t="str">
        <f>"王清香"</f>
        <v>王清香</v>
      </c>
      <c r="E2801" s="8" t="str">
        <f t="shared" si="487"/>
        <v>女</v>
      </c>
    </row>
    <row r="2802" spans="1:5" ht="30" customHeight="1">
      <c r="A2802" s="8">
        <v>2799</v>
      </c>
      <c r="B2802" s="8" t="str">
        <f>"38492022042110360026083"</f>
        <v>38492022042110360026083</v>
      </c>
      <c r="C2802" s="8" t="s">
        <v>22</v>
      </c>
      <c r="D2802" s="8" t="str">
        <f>"吴明"</f>
        <v>吴明</v>
      </c>
      <c r="E2802" s="8" t="str">
        <f t="shared" si="487"/>
        <v>女</v>
      </c>
    </row>
    <row r="2803" spans="1:5" ht="30" customHeight="1">
      <c r="A2803" s="8">
        <v>2800</v>
      </c>
      <c r="B2803" s="8" t="str">
        <f>"38492022042110375326109"</f>
        <v>38492022042110375326109</v>
      </c>
      <c r="C2803" s="8" t="s">
        <v>22</v>
      </c>
      <c r="D2803" s="8" t="str">
        <f>"王小骄"</f>
        <v>王小骄</v>
      </c>
      <c r="E2803" s="8" t="str">
        <f t="shared" si="487"/>
        <v>女</v>
      </c>
    </row>
    <row r="2804" spans="1:5" ht="30" customHeight="1">
      <c r="A2804" s="8">
        <v>2801</v>
      </c>
      <c r="B2804" s="8" t="str">
        <f>"38492022042111004126377"</f>
        <v>38492022042111004126377</v>
      </c>
      <c r="C2804" s="8" t="s">
        <v>22</v>
      </c>
      <c r="D2804" s="8" t="str">
        <f>"邢洁雅"</f>
        <v>邢洁雅</v>
      </c>
      <c r="E2804" s="8" t="str">
        <f t="shared" si="487"/>
        <v>女</v>
      </c>
    </row>
    <row r="2805" spans="1:5" ht="30" customHeight="1">
      <c r="A2805" s="8">
        <v>2802</v>
      </c>
      <c r="B2805" s="8" t="str">
        <f>"38492022042111273826613"</f>
        <v>38492022042111273826613</v>
      </c>
      <c r="C2805" s="8" t="s">
        <v>22</v>
      </c>
      <c r="D2805" s="8" t="str">
        <f>"吴树民"</f>
        <v>吴树民</v>
      </c>
      <c r="E2805" s="8" t="str">
        <f aca="true" t="shared" si="488" ref="E2805:E2810">"男"</f>
        <v>男</v>
      </c>
    </row>
    <row r="2806" spans="1:5" ht="30" customHeight="1">
      <c r="A2806" s="8">
        <v>2803</v>
      </c>
      <c r="B2806" s="8" t="str">
        <f>"38492022042111380926722"</f>
        <v>38492022042111380926722</v>
      </c>
      <c r="C2806" s="8" t="s">
        <v>22</v>
      </c>
      <c r="D2806" s="8" t="str">
        <f>"杨馥源"</f>
        <v>杨馥源</v>
      </c>
      <c r="E2806" s="8" t="str">
        <f aca="true" t="shared" si="489" ref="E2806:E2809">"女"</f>
        <v>女</v>
      </c>
    </row>
    <row r="2807" spans="1:5" ht="30" customHeight="1">
      <c r="A2807" s="8">
        <v>2804</v>
      </c>
      <c r="B2807" s="8" t="str">
        <f>"38492022042111415026761"</f>
        <v>38492022042111415026761</v>
      </c>
      <c r="C2807" s="8" t="s">
        <v>22</v>
      </c>
      <c r="D2807" s="8" t="str">
        <f>"谢秀丽"</f>
        <v>谢秀丽</v>
      </c>
      <c r="E2807" s="8" t="str">
        <f t="shared" si="489"/>
        <v>女</v>
      </c>
    </row>
    <row r="2808" spans="1:5" ht="30" customHeight="1">
      <c r="A2808" s="8">
        <v>2805</v>
      </c>
      <c r="B2808" s="8" t="str">
        <f>"38492022042114473827852"</f>
        <v>38492022042114473827852</v>
      </c>
      <c r="C2808" s="8" t="s">
        <v>22</v>
      </c>
      <c r="D2808" s="8" t="str">
        <f>"吴克京"</f>
        <v>吴克京</v>
      </c>
      <c r="E2808" s="8" t="str">
        <f t="shared" si="488"/>
        <v>男</v>
      </c>
    </row>
    <row r="2809" spans="1:5" ht="30" customHeight="1">
      <c r="A2809" s="8">
        <v>2806</v>
      </c>
      <c r="B2809" s="8" t="str">
        <f>"38492022042115182128134"</f>
        <v>38492022042115182128134</v>
      </c>
      <c r="C2809" s="8" t="s">
        <v>22</v>
      </c>
      <c r="D2809" s="8" t="str">
        <f>"刘增茹"</f>
        <v>刘增茹</v>
      </c>
      <c r="E2809" s="8" t="str">
        <f t="shared" si="489"/>
        <v>女</v>
      </c>
    </row>
    <row r="2810" spans="1:5" ht="30" customHeight="1">
      <c r="A2810" s="8">
        <v>2807</v>
      </c>
      <c r="B2810" s="8" t="str">
        <f>"38492022042116345728688"</f>
        <v>38492022042116345728688</v>
      </c>
      <c r="C2810" s="8" t="s">
        <v>22</v>
      </c>
      <c r="D2810" s="8" t="str">
        <f>"邓人榛"</f>
        <v>邓人榛</v>
      </c>
      <c r="E2810" s="8" t="str">
        <f t="shared" si="488"/>
        <v>男</v>
      </c>
    </row>
    <row r="2811" spans="1:5" ht="30" customHeight="1">
      <c r="A2811" s="8">
        <v>2808</v>
      </c>
      <c r="B2811" s="8" t="str">
        <f>"38492022042116442328750"</f>
        <v>38492022042116442328750</v>
      </c>
      <c r="C2811" s="8" t="s">
        <v>22</v>
      </c>
      <c r="D2811" s="8" t="str">
        <f>"吉师墨"</f>
        <v>吉师墨</v>
      </c>
      <c r="E2811" s="8" t="str">
        <f aca="true" t="shared" si="490" ref="E2811:E2814">"女"</f>
        <v>女</v>
      </c>
    </row>
    <row r="2812" spans="1:5" ht="30" customHeight="1">
      <c r="A2812" s="8">
        <v>2809</v>
      </c>
      <c r="B2812" s="8" t="str">
        <f>"38492022042117003728854"</f>
        <v>38492022042117003728854</v>
      </c>
      <c r="C2812" s="8" t="s">
        <v>22</v>
      </c>
      <c r="D2812" s="8" t="str">
        <f>"林燕妮"</f>
        <v>林燕妮</v>
      </c>
      <c r="E2812" s="8" t="str">
        <f t="shared" si="490"/>
        <v>女</v>
      </c>
    </row>
    <row r="2813" spans="1:5" ht="30" customHeight="1">
      <c r="A2813" s="8">
        <v>2810</v>
      </c>
      <c r="B2813" s="8" t="str">
        <f>"38492022042117372729087"</f>
        <v>38492022042117372729087</v>
      </c>
      <c r="C2813" s="8" t="s">
        <v>22</v>
      </c>
      <c r="D2813" s="8" t="str">
        <f>"邝自强"</f>
        <v>邝自强</v>
      </c>
      <c r="E2813" s="8" t="str">
        <f>"男"</f>
        <v>男</v>
      </c>
    </row>
    <row r="2814" spans="1:5" ht="30" customHeight="1">
      <c r="A2814" s="8">
        <v>2811</v>
      </c>
      <c r="B2814" s="8" t="str">
        <f>"38492022042120301329868"</f>
        <v>38492022042120301329868</v>
      </c>
      <c r="C2814" s="8" t="s">
        <v>22</v>
      </c>
      <c r="D2814" s="8" t="str">
        <f>"羊顺玲"</f>
        <v>羊顺玲</v>
      </c>
      <c r="E2814" s="8" t="str">
        <f t="shared" si="490"/>
        <v>女</v>
      </c>
    </row>
    <row r="2815" spans="1:5" ht="30" customHeight="1">
      <c r="A2815" s="8">
        <v>2812</v>
      </c>
      <c r="B2815" s="8" t="str">
        <f>"38492022042122063930404"</f>
        <v>38492022042122063930404</v>
      </c>
      <c r="C2815" s="8" t="s">
        <v>22</v>
      </c>
      <c r="D2815" s="8" t="str">
        <f>"罗旭"</f>
        <v>罗旭</v>
      </c>
      <c r="E2815" s="8" t="str">
        <f>"男"</f>
        <v>男</v>
      </c>
    </row>
    <row r="2816" spans="1:5" ht="30" customHeight="1">
      <c r="A2816" s="8">
        <v>2813</v>
      </c>
      <c r="B2816" s="8" t="str">
        <f>"38492022042123001530629"</f>
        <v>38492022042123001530629</v>
      </c>
      <c r="C2816" s="8" t="s">
        <v>22</v>
      </c>
      <c r="D2816" s="8" t="str">
        <f>"陈俏华"</f>
        <v>陈俏华</v>
      </c>
      <c r="E2816" s="8" t="str">
        <f aca="true" t="shared" si="491" ref="E2816:E2821">"女"</f>
        <v>女</v>
      </c>
    </row>
    <row r="2817" spans="1:5" ht="30" customHeight="1">
      <c r="A2817" s="8">
        <v>2814</v>
      </c>
      <c r="B2817" s="8" t="str">
        <f>"38492022042211052931840"</f>
        <v>38492022042211052931840</v>
      </c>
      <c r="C2817" s="8" t="s">
        <v>22</v>
      </c>
      <c r="D2817" s="8" t="str">
        <f>"蒙文超"</f>
        <v>蒙文超</v>
      </c>
      <c r="E2817" s="8" t="str">
        <f t="shared" si="491"/>
        <v>女</v>
      </c>
    </row>
    <row r="2818" spans="1:5" ht="30" customHeight="1">
      <c r="A2818" s="8">
        <v>2815</v>
      </c>
      <c r="B2818" s="8" t="str">
        <f>"38492022042212024432458"</f>
        <v>38492022042212024432458</v>
      </c>
      <c r="C2818" s="8" t="s">
        <v>22</v>
      </c>
      <c r="D2818" s="8" t="str">
        <f>"吴滨如"</f>
        <v>吴滨如</v>
      </c>
      <c r="E2818" s="8" t="str">
        <f t="shared" si="491"/>
        <v>女</v>
      </c>
    </row>
    <row r="2819" spans="1:5" ht="30" customHeight="1">
      <c r="A2819" s="8">
        <v>2816</v>
      </c>
      <c r="B2819" s="8" t="str">
        <f>"38492022042215284633338"</f>
        <v>38492022042215284633338</v>
      </c>
      <c r="C2819" s="8" t="s">
        <v>22</v>
      </c>
      <c r="D2819" s="8" t="str">
        <f>"符武月"</f>
        <v>符武月</v>
      </c>
      <c r="E2819" s="8" t="str">
        <f t="shared" si="491"/>
        <v>女</v>
      </c>
    </row>
    <row r="2820" spans="1:5" ht="30" customHeight="1">
      <c r="A2820" s="8">
        <v>2817</v>
      </c>
      <c r="B2820" s="8" t="str">
        <f>"38492022042216040633564"</f>
        <v>38492022042216040633564</v>
      </c>
      <c r="C2820" s="8" t="s">
        <v>22</v>
      </c>
      <c r="D2820" s="8" t="str">
        <f>"苏柳清"</f>
        <v>苏柳清</v>
      </c>
      <c r="E2820" s="8" t="str">
        <f t="shared" si="491"/>
        <v>女</v>
      </c>
    </row>
    <row r="2821" spans="1:5" ht="30" customHeight="1">
      <c r="A2821" s="8">
        <v>2818</v>
      </c>
      <c r="B2821" s="8" t="str">
        <f>"38492022042218410034307"</f>
        <v>38492022042218410034307</v>
      </c>
      <c r="C2821" s="8" t="s">
        <v>22</v>
      </c>
      <c r="D2821" s="8" t="str">
        <f>"蔡彧"</f>
        <v>蔡彧</v>
      </c>
      <c r="E2821" s="8" t="str">
        <f t="shared" si="491"/>
        <v>女</v>
      </c>
    </row>
    <row r="2822" spans="1:5" ht="30" customHeight="1">
      <c r="A2822" s="8">
        <v>2819</v>
      </c>
      <c r="B2822" s="8" t="str">
        <f>"38492022042220464934554"</f>
        <v>38492022042220464934554</v>
      </c>
      <c r="C2822" s="8" t="s">
        <v>22</v>
      </c>
      <c r="D2822" s="8" t="str">
        <f>"陈运"</f>
        <v>陈运</v>
      </c>
      <c r="E2822" s="8" t="str">
        <f>"男"</f>
        <v>男</v>
      </c>
    </row>
    <row r="2823" spans="1:5" ht="30" customHeight="1">
      <c r="A2823" s="8">
        <v>2820</v>
      </c>
      <c r="B2823" s="8" t="str">
        <f>"38492022042314365535355"</f>
        <v>38492022042314365535355</v>
      </c>
      <c r="C2823" s="8" t="s">
        <v>22</v>
      </c>
      <c r="D2823" s="8" t="str">
        <f>"孙悦"</f>
        <v>孙悦</v>
      </c>
      <c r="E2823" s="8" t="str">
        <f aca="true" t="shared" si="492" ref="E2823:E2826">"女"</f>
        <v>女</v>
      </c>
    </row>
    <row r="2824" spans="1:5" ht="30" customHeight="1">
      <c r="A2824" s="8">
        <v>2821</v>
      </c>
      <c r="B2824" s="8" t="str">
        <f>"38492022042320290835782"</f>
        <v>38492022042320290835782</v>
      </c>
      <c r="C2824" s="8" t="s">
        <v>22</v>
      </c>
      <c r="D2824" s="8" t="str">
        <f>"曾巧凌"</f>
        <v>曾巧凌</v>
      </c>
      <c r="E2824" s="8" t="str">
        <f t="shared" si="492"/>
        <v>女</v>
      </c>
    </row>
    <row r="2825" spans="1:5" ht="30" customHeight="1">
      <c r="A2825" s="8">
        <v>2822</v>
      </c>
      <c r="B2825" s="8" t="str">
        <f>"38492022042322344735996"</f>
        <v>38492022042322344735996</v>
      </c>
      <c r="C2825" s="8" t="s">
        <v>22</v>
      </c>
      <c r="D2825" s="8" t="str">
        <f>"李宗清"</f>
        <v>李宗清</v>
      </c>
      <c r="E2825" s="8" t="str">
        <f t="shared" si="492"/>
        <v>女</v>
      </c>
    </row>
    <row r="2826" spans="1:5" ht="30" customHeight="1">
      <c r="A2826" s="8">
        <v>2823</v>
      </c>
      <c r="B2826" s="8" t="str">
        <f>"38492022042400034936111"</f>
        <v>38492022042400034936111</v>
      </c>
      <c r="C2826" s="8" t="s">
        <v>22</v>
      </c>
      <c r="D2826" s="8" t="str">
        <f>"余伟娴"</f>
        <v>余伟娴</v>
      </c>
      <c r="E2826" s="8" t="str">
        <f t="shared" si="492"/>
        <v>女</v>
      </c>
    </row>
    <row r="2827" spans="1:5" ht="30" customHeight="1">
      <c r="A2827" s="8">
        <v>2824</v>
      </c>
      <c r="B2827" s="8" t="str">
        <f>"38492022042408570736234"</f>
        <v>38492022042408570736234</v>
      </c>
      <c r="C2827" s="8" t="s">
        <v>22</v>
      </c>
      <c r="D2827" s="8" t="str">
        <f>"王国立"</f>
        <v>王国立</v>
      </c>
      <c r="E2827" s="8" t="str">
        <f aca="true" t="shared" si="493" ref="E2827:E2829">"男"</f>
        <v>男</v>
      </c>
    </row>
    <row r="2828" spans="1:5" ht="30" customHeight="1">
      <c r="A2828" s="8">
        <v>2825</v>
      </c>
      <c r="B2828" s="8" t="str">
        <f>"38492022042409333136316"</f>
        <v>38492022042409333136316</v>
      </c>
      <c r="C2828" s="8" t="s">
        <v>22</v>
      </c>
      <c r="D2828" s="8" t="str">
        <f>"官宏朝"</f>
        <v>官宏朝</v>
      </c>
      <c r="E2828" s="8" t="str">
        <f t="shared" si="493"/>
        <v>男</v>
      </c>
    </row>
    <row r="2829" spans="1:5" ht="30" customHeight="1">
      <c r="A2829" s="8">
        <v>2826</v>
      </c>
      <c r="B2829" s="8" t="str">
        <f>"38492022042409583136365"</f>
        <v>38492022042409583136365</v>
      </c>
      <c r="C2829" s="8" t="s">
        <v>22</v>
      </c>
      <c r="D2829" s="8" t="str">
        <f>"林师海"</f>
        <v>林师海</v>
      </c>
      <c r="E2829" s="8" t="str">
        <f t="shared" si="493"/>
        <v>男</v>
      </c>
    </row>
    <row r="2830" spans="1:5" ht="30" customHeight="1">
      <c r="A2830" s="8">
        <v>2827</v>
      </c>
      <c r="B2830" s="8" t="str">
        <f>"38492022042414374436815"</f>
        <v>38492022042414374436815</v>
      </c>
      <c r="C2830" s="8" t="s">
        <v>22</v>
      </c>
      <c r="D2830" s="8" t="str">
        <f>"骆菁菁"</f>
        <v>骆菁菁</v>
      </c>
      <c r="E2830" s="8" t="str">
        <f aca="true" t="shared" si="494" ref="E2830:E2835">"女"</f>
        <v>女</v>
      </c>
    </row>
    <row r="2831" spans="1:5" ht="30" customHeight="1">
      <c r="A2831" s="8">
        <v>2828</v>
      </c>
      <c r="B2831" s="8" t="str">
        <f>"38492022042415505836976"</f>
        <v>38492022042415505836976</v>
      </c>
      <c r="C2831" s="8" t="s">
        <v>22</v>
      </c>
      <c r="D2831" s="8" t="str">
        <f>"宋椰翔"</f>
        <v>宋椰翔</v>
      </c>
      <c r="E2831" s="8" t="str">
        <f aca="true" t="shared" si="495" ref="E2831:E2838">"男"</f>
        <v>男</v>
      </c>
    </row>
    <row r="2832" spans="1:5" ht="30" customHeight="1">
      <c r="A2832" s="8">
        <v>2829</v>
      </c>
      <c r="B2832" s="8" t="str">
        <f>"38492022042417541537220"</f>
        <v>38492022042417541537220</v>
      </c>
      <c r="C2832" s="8" t="s">
        <v>22</v>
      </c>
      <c r="D2832" s="8" t="str">
        <f>"符秀玲"</f>
        <v>符秀玲</v>
      </c>
      <c r="E2832" s="8" t="str">
        <f t="shared" si="494"/>
        <v>女</v>
      </c>
    </row>
    <row r="2833" spans="1:5" ht="30" customHeight="1">
      <c r="A2833" s="8">
        <v>2830</v>
      </c>
      <c r="B2833" s="8" t="str">
        <f>"38492022042418322637279"</f>
        <v>38492022042418322637279</v>
      </c>
      <c r="C2833" s="8" t="s">
        <v>22</v>
      </c>
      <c r="D2833" s="8" t="str">
        <f>"邓献梓"</f>
        <v>邓献梓</v>
      </c>
      <c r="E2833" s="8" t="str">
        <f t="shared" si="495"/>
        <v>男</v>
      </c>
    </row>
    <row r="2834" spans="1:5" ht="30" customHeight="1">
      <c r="A2834" s="8">
        <v>2831</v>
      </c>
      <c r="B2834" s="8" t="str">
        <f>"38492022042418475737305"</f>
        <v>38492022042418475737305</v>
      </c>
      <c r="C2834" s="8" t="s">
        <v>22</v>
      </c>
      <c r="D2834" s="8" t="str">
        <f>"黄亦皇黄"</f>
        <v>黄亦皇黄</v>
      </c>
      <c r="E2834" s="8" t="str">
        <f t="shared" si="494"/>
        <v>女</v>
      </c>
    </row>
    <row r="2835" spans="1:5" ht="30" customHeight="1">
      <c r="A2835" s="8">
        <v>2832</v>
      </c>
      <c r="B2835" s="8" t="str">
        <f>"38492022042421005637502"</f>
        <v>38492022042421005637502</v>
      </c>
      <c r="C2835" s="8" t="s">
        <v>22</v>
      </c>
      <c r="D2835" s="8" t="str">
        <f>"万志雪"</f>
        <v>万志雪</v>
      </c>
      <c r="E2835" s="8" t="str">
        <f t="shared" si="494"/>
        <v>女</v>
      </c>
    </row>
    <row r="2836" spans="1:5" ht="30" customHeight="1">
      <c r="A2836" s="8">
        <v>2833</v>
      </c>
      <c r="B2836" s="8" t="str">
        <f>"38492022042422374037656"</f>
        <v>38492022042422374037656</v>
      </c>
      <c r="C2836" s="8" t="s">
        <v>22</v>
      </c>
      <c r="D2836" s="8" t="str">
        <f>"王后锦"</f>
        <v>王后锦</v>
      </c>
      <c r="E2836" s="8" t="str">
        <f t="shared" si="495"/>
        <v>男</v>
      </c>
    </row>
    <row r="2837" spans="1:5" ht="30" customHeight="1">
      <c r="A2837" s="8">
        <v>2834</v>
      </c>
      <c r="B2837" s="8" t="str">
        <f>"38492022042422563237685"</f>
        <v>38492022042422563237685</v>
      </c>
      <c r="C2837" s="8" t="s">
        <v>22</v>
      </c>
      <c r="D2837" s="8" t="str">
        <f>"包青旺"</f>
        <v>包青旺</v>
      </c>
      <c r="E2837" s="8" t="str">
        <f t="shared" si="495"/>
        <v>男</v>
      </c>
    </row>
    <row r="2838" spans="1:5" ht="30" customHeight="1">
      <c r="A2838" s="8">
        <v>2835</v>
      </c>
      <c r="B2838" s="8" t="str">
        <f>"38492022042422595437697"</f>
        <v>38492022042422595437697</v>
      </c>
      <c r="C2838" s="8" t="s">
        <v>22</v>
      </c>
      <c r="D2838" s="8" t="str">
        <f>"吴祖梁"</f>
        <v>吴祖梁</v>
      </c>
      <c r="E2838" s="8" t="str">
        <f t="shared" si="495"/>
        <v>男</v>
      </c>
    </row>
    <row r="2839" spans="1:5" ht="30" customHeight="1">
      <c r="A2839" s="8">
        <v>2836</v>
      </c>
      <c r="B2839" s="8" t="str">
        <f>"38492022042423073437705"</f>
        <v>38492022042423073437705</v>
      </c>
      <c r="C2839" s="8" t="s">
        <v>22</v>
      </c>
      <c r="D2839" s="8" t="str">
        <f>"张竹喧"</f>
        <v>张竹喧</v>
      </c>
      <c r="E2839" s="8" t="str">
        <f aca="true" t="shared" si="496" ref="E2839:E2843">"女"</f>
        <v>女</v>
      </c>
    </row>
    <row r="2840" spans="1:5" ht="30" customHeight="1">
      <c r="A2840" s="8">
        <v>2837</v>
      </c>
      <c r="B2840" s="8" t="str">
        <f>"38492022042502172837781"</f>
        <v>38492022042502172837781</v>
      </c>
      <c r="C2840" s="8" t="s">
        <v>22</v>
      </c>
      <c r="D2840" s="8" t="str">
        <f>"王夏颖"</f>
        <v>王夏颖</v>
      </c>
      <c r="E2840" s="8" t="str">
        <f t="shared" si="496"/>
        <v>女</v>
      </c>
    </row>
    <row r="2841" spans="1:5" ht="30" customHeight="1">
      <c r="A2841" s="8">
        <v>2838</v>
      </c>
      <c r="B2841" s="8" t="str">
        <f>"38492022042508582137842"</f>
        <v>38492022042508582137842</v>
      </c>
      <c r="C2841" s="8" t="s">
        <v>22</v>
      </c>
      <c r="D2841" s="8" t="str">
        <f>"符桃心"</f>
        <v>符桃心</v>
      </c>
      <c r="E2841" s="8" t="str">
        <f t="shared" si="496"/>
        <v>女</v>
      </c>
    </row>
    <row r="2842" spans="1:5" ht="30" customHeight="1">
      <c r="A2842" s="8">
        <v>2839</v>
      </c>
      <c r="B2842" s="8" t="str">
        <f>"38492022042511334838124"</f>
        <v>38492022042511334838124</v>
      </c>
      <c r="C2842" s="8" t="s">
        <v>22</v>
      </c>
      <c r="D2842" s="8" t="str">
        <f>"薛妹丹"</f>
        <v>薛妹丹</v>
      </c>
      <c r="E2842" s="8" t="str">
        <f t="shared" si="496"/>
        <v>女</v>
      </c>
    </row>
    <row r="2843" spans="1:5" ht="30" customHeight="1">
      <c r="A2843" s="8">
        <v>2840</v>
      </c>
      <c r="B2843" s="8" t="str">
        <f>"38492022042515393138406"</f>
        <v>38492022042515393138406</v>
      </c>
      <c r="C2843" s="8" t="s">
        <v>22</v>
      </c>
      <c r="D2843" s="8" t="str">
        <f>"王小月"</f>
        <v>王小月</v>
      </c>
      <c r="E2843" s="8" t="str">
        <f t="shared" si="496"/>
        <v>女</v>
      </c>
    </row>
    <row r="2844" spans="1:5" ht="30" customHeight="1">
      <c r="A2844" s="8">
        <v>2841</v>
      </c>
      <c r="B2844" s="8" t="str">
        <f>"38492022042519025238688"</f>
        <v>38492022042519025238688</v>
      </c>
      <c r="C2844" s="8" t="s">
        <v>22</v>
      </c>
      <c r="D2844" s="8" t="str">
        <f>"王锐"</f>
        <v>王锐</v>
      </c>
      <c r="E2844" s="8" t="str">
        <f>"男"</f>
        <v>男</v>
      </c>
    </row>
    <row r="2845" spans="1:5" ht="30" customHeight="1">
      <c r="A2845" s="8">
        <v>2842</v>
      </c>
      <c r="B2845" s="8" t="str">
        <f>"38492022042522451138971"</f>
        <v>38492022042522451138971</v>
      </c>
      <c r="C2845" s="8" t="s">
        <v>22</v>
      </c>
      <c r="D2845" s="8" t="str">
        <f>"符丽雯"</f>
        <v>符丽雯</v>
      </c>
      <c r="E2845" s="8" t="str">
        <f aca="true" t="shared" si="497" ref="E2845:E2859">"女"</f>
        <v>女</v>
      </c>
    </row>
    <row r="2846" spans="1:5" ht="30" customHeight="1">
      <c r="A2846" s="8">
        <v>2843</v>
      </c>
      <c r="B2846" s="8" t="str">
        <f>"38492022042600531839082"</f>
        <v>38492022042600531839082</v>
      </c>
      <c r="C2846" s="8" t="s">
        <v>22</v>
      </c>
      <c r="D2846" s="8" t="str">
        <f>"黄秋平"</f>
        <v>黄秋平</v>
      </c>
      <c r="E2846" s="8" t="str">
        <f t="shared" si="497"/>
        <v>女</v>
      </c>
    </row>
    <row r="2847" spans="1:5" ht="30" customHeight="1">
      <c r="A2847" s="8">
        <v>2844</v>
      </c>
      <c r="B2847" s="8" t="str">
        <f>"38492022042612382139487"</f>
        <v>38492022042612382139487</v>
      </c>
      <c r="C2847" s="8" t="s">
        <v>22</v>
      </c>
      <c r="D2847" s="8" t="str">
        <f>"王晓宇"</f>
        <v>王晓宇</v>
      </c>
      <c r="E2847" s="8" t="str">
        <f>"男"</f>
        <v>男</v>
      </c>
    </row>
    <row r="2848" spans="1:5" ht="30" customHeight="1">
      <c r="A2848" s="8">
        <v>2845</v>
      </c>
      <c r="B2848" s="8" t="str">
        <f>"38492022042615015339632"</f>
        <v>38492022042615015339632</v>
      </c>
      <c r="C2848" s="8" t="s">
        <v>22</v>
      </c>
      <c r="D2848" s="8" t="str">
        <f>"韩丽洁"</f>
        <v>韩丽洁</v>
      </c>
      <c r="E2848" s="8" t="str">
        <f t="shared" si="497"/>
        <v>女</v>
      </c>
    </row>
    <row r="2849" spans="1:5" ht="30" customHeight="1">
      <c r="A2849" s="8">
        <v>2846</v>
      </c>
      <c r="B2849" s="8" t="str">
        <f>"38492022042615071139645"</f>
        <v>38492022042615071139645</v>
      </c>
      <c r="C2849" s="8" t="s">
        <v>22</v>
      </c>
      <c r="D2849" s="8" t="str">
        <f>"陈焜"</f>
        <v>陈焜</v>
      </c>
      <c r="E2849" s="8" t="str">
        <f t="shared" si="497"/>
        <v>女</v>
      </c>
    </row>
    <row r="2850" spans="1:5" ht="30" customHeight="1">
      <c r="A2850" s="8">
        <v>2847</v>
      </c>
      <c r="B2850" s="8" t="str">
        <f>"38492022042616212639790"</f>
        <v>38492022042616212639790</v>
      </c>
      <c r="C2850" s="8" t="s">
        <v>22</v>
      </c>
      <c r="D2850" s="8" t="str">
        <f>"唐日丽"</f>
        <v>唐日丽</v>
      </c>
      <c r="E2850" s="8" t="str">
        <f t="shared" si="497"/>
        <v>女</v>
      </c>
    </row>
    <row r="2851" spans="1:5" ht="30" customHeight="1">
      <c r="A2851" s="8">
        <v>2848</v>
      </c>
      <c r="B2851" s="8" t="str">
        <f>"38492022042618141339967"</f>
        <v>38492022042618141339967</v>
      </c>
      <c r="C2851" s="8" t="s">
        <v>22</v>
      </c>
      <c r="D2851" s="8" t="str">
        <f>"张小微"</f>
        <v>张小微</v>
      </c>
      <c r="E2851" s="8" t="str">
        <f t="shared" si="497"/>
        <v>女</v>
      </c>
    </row>
    <row r="2852" spans="1:5" ht="30" customHeight="1">
      <c r="A2852" s="8">
        <v>2849</v>
      </c>
      <c r="B2852" s="8" t="str">
        <f>"38492022042621572540286"</f>
        <v>38492022042621572540286</v>
      </c>
      <c r="C2852" s="8" t="s">
        <v>22</v>
      </c>
      <c r="D2852" s="8" t="str">
        <f>"田野"</f>
        <v>田野</v>
      </c>
      <c r="E2852" s="8" t="str">
        <f t="shared" si="497"/>
        <v>女</v>
      </c>
    </row>
    <row r="2853" spans="1:5" ht="30" customHeight="1">
      <c r="A2853" s="8">
        <v>2850</v>
      </c>
      <c r="B2853" s="8" t="str">
        <f>"38492022042622410840361"</f>
        <v>38492022042622410840361</v>
      </c>
      <c r="C2853" s="8" t="s">
        <v>22</v>
      </c>
      <c r="D2853" s="8" t="str">
        <f>"李丹桂"</f>
        <v>李丹桂</v>
      </c>
      <c r="E2853" s="8" t="str">
        <f t="shared" si="497"/>
        <v>女</v>
      </c>
    </row>
    <row r="2854" spans="1:5" ht="30" customHeight="1">
      <c r="A2854" s="8">
        <v>2851</v>
      </c>
      <c r="B2854" s="8" t="str">
        <f>"38492022042709141740860"</f>
        <v>38492022042709141740860</v>
      </c>
      <c r="C2854" s="8" t="s">
        <v>22</v>
      </c>
      <c r="D2854" s="8" t="str">
        <f>"洪文妍"</f>
        <v>洪文妍</v>
      </c>
      <c r="E2854" s="8" t="str">
        <f t="shared" si="497"/>
        <v>女</v>
      </c>
    </row>
    <row r="2855" spans="1:5" ht="30" customHeight="1">
      <c r="A2855" s="8">
        <v>2852</v>
      </c>
      <c r="B2855" s="8" t="str">
        <f>"38492022042710272241721"</f>
        <v>38492022042710272241721</v>
      </c>
      <c r="C2855" s="8" t="s">
        <v>22</v>
      </c>
      <c r="D2855" s="8" t="str">
        <f>"黄紫玉"</f>
        <v>黄紫玉</v>
      </c>
      <c r="E2855" s="8" t="str">
        <f t="shared" si="497"/>
        <v>女</v>
      </c>
    </row>
    <row r="2856" spans="1:5" ht="30" customHeight="1">
      <c r="A2856" s="8">
        <v>2853</v>
      </c>
      <c r="B2856" s="8" t="str">
        <f>"38492022042710350041815"</f>
        <v>38492022042710350041815</v>
      </c>
      <c r="C2856" s="8" t="s">
        <v>22</v>
      </c>
      <c r="D2856" s="8" t="str">
        <f>"陈丽艳"</f>
        <v>陈丽艳</v>
      </c>
      <c r="E2856" s="8" t="str">
        <f t="shared" si="497"/>
        <v>女</v>
      </c>
    </row>
    <row r="2857" spans="1:5" ht="30" customHeight="1">
      <c r="A2857" s="8">
        <v>2854</v>
      </c>
      <c r="B2857" s="8" t="str">
        <f>"38492022042711150142215"</f>
        <v>38492022042711150142215</v>
      </c>
      <c r="C2857" s="8" t="s">
        <v>22</v>
      </c>
      <c r="D2857" s="8" t="str">
        <f>"蔡冠逢"</f>
        <v>蔡冠逢</v>
      </c>
      <c r="E2857" s="8" t="str">
        <f t="shared" si="497"/>
        <v>女</v>
      </c>
    </row>
    <row r="2858" spans="1:5" ht="30" customHeight="1">
      <c r="A2858" s="8">
        <v>2855</v>
      </c>
      <c r="B2858" s="8" t="str">
        <f>"38492022042711524942489"</f>
        <v>38492022042711524942489</v>
      </c>
      <c r="C2858" s="8" t="s">
        <v>22</v>
      </c>
      <c r="D2858" s="8" t="str">
        <f>"王宝莲"</f>
        <v>王宝莲</v>
      </c>
      <c r="E2858" s="8" t="str">
        <f t="shared" si="497"/>
        <v>女</v>
      </c>
    </row>
    <row r="2859" spans="1:5" ht="30" customHeight="1">
      <c r="A2859" s="8">
        <v>2856</v>
      </c>
      <c r="B2859" s="8" t="str">
        <f>"38492022042712400342788"</f>
        <v>38492022042712400342788</v>
      </c>
      <c r="C2859" s="8" t="s">
        <v>22</v>
      </c>
      <c r="D2859" s="8" t="str">
        <f>"邓秋如"</f>
        <v>邓秋如</v>
      </c>
      <c r="E2859" s="8" t="str">
        <f t="shared" si="497"/>
        <v>女</v>
      </c>
    </row>
    <row r="2860" spans="1:5" ht="30" customHeight="1">
      <c r="A2860" s="8">
        <v>2857</v>
      </c>
      <c r="B2860" s="8" t="str">
        <f>"38492022042712430342806"</f>
        <v>38492022042712430342806</v>
      </c>
      <c r="C2860" s="8" t="s">
        <v>22</v>
      </c>
      <c r="D2860" s="8" t="str">
        <f>"郑临鹏"</f>
        <v>郑临鹏</v>
      </c>
      <c r="E2860" s="8" t="str">
        <f aca="true" t="shared" si="498" ref="E2860:E2862">"男"</f>
        <v>男</v>
      </c>
    </row>
    <row r="2861" spans="1:5" ht="30" customHeight="1">
      <c r="A2861" s="8">
        <v>2858</v>
      </c>
      <c r="B2861" s="8" t="str">
        <f>"38492022042713550043256"</f>
        <v>38492022042713550043256</v>
      </c>
      <c r="C2861" s="8" t="s">
        <v>22</v>
      </c>
      <c r="D2861" s="8" t="str">
        <f>"张武科"</f>
        <v>张武科</v>
      </c>
      <c r="E2861" s="8" t="str">
        <f t="shared" si="498"/>
        <v>男</v>
      </c>
    </row>
    <row r="2862" spans="1:5" ht="30" customHeight="1">
      <c r="A2862" s="8">
        <v>2859</v>
      </c>
      <c r="B2862" s="8" t="str">
        <f>"38492022042109015924906"</f>
        <v>38492022042109015924906</v>
      </c>
      <c r="C2862" s="8" t="s">
        <v>23</v>
      </c>
      <c r="D2862" s="8" t="str">
        <f>"王文景"</f>
        <v>王文景</v>
      </c>
      <c r="E2862" s="8" t="str">
        <f t="shared" si="498"/>
        <v>男</v>
      </c>
    </row>
    <row r="2863" spans="1:5" ht="30" customHeight="1">
      <c r="A2863" s="8">
        <v>2860</v>
      </c>
      <c r="B2863" s="8" t="str">
        <f>"38492022042109444325423"</f>
        <v>38492022042109444325423</v>
      </c>
      <c r="C2863" s="8" t="s">
        <v>23</v>
      </c>
      <c r="D2863" s="8" t="str">
        <f>"王慧霞"</f>
        <v>王慧霞</v>
      </c>
      <c r="E2863" s="8" t="str">
        <f aca="true" t="shared" si="499" ref="E2863:E2870">"女"</f>
        <v>女</v>
      </c>
    </row>
    <row r="2864" spans="1:5" ht="30" customHeight="1">
      <c r="A2864" s="8">
        <v>2861</v>
      </c>
      <c r="B2864" s="8" t="str">
        <f>"38492022042109545025558"</f>
        <v>38492022042109545025558</v>
      </c>
      <c r="C2864" s="8" t="s">
        <v>23</v>
      </c>
      <c r="D2864" s="8" t="str">
        <f>"羊玉力"</f>
        <v>羊玉力</v>
      </c>
      <c r="E2864" s="8" t="str">
        <f>"男"</f>
        <v>男</v>
      </c>
    </row>
    <row r="2865" spans="1:5" ht="30" customHeight="1">
      <c r="A2865" s="8">
        <v>2862</v>
      </c>
      <c r="B2865" s="8" t="str">
        <f>"38492022042110021325661"</f>
        <v>38492022042110021325661</v>
      </c>
      <c r="C2865" s="8" t="s">
        <v>23</v>
      </c>
      <c r="D2865" s="8" t="str">
        <f>"冯炜晴"</f>
        <v>冯炜晴</v>
      </c>
      <c r="E2865" s="8" t="str">
        <f t="shared" si="499"/>
        <v>女</v>
      </c>
    </row>
    <row r="2866" spans="1:5" ht="30" customHeight="1">
      <c r="A2866" s="8">
        <v>2863</v>
      </c>
      <c r="B2866" s="8" t="str">
        <f>"38492022042110024025668"</f>
        <v>38492022042110024025668</v>
      </c>
      <c r="C2866" s="8" t="s">
        <v>23</v>
      </c>
      <c r="D2866" s="8" t="str">
        <f>"范君贤"</f>
        <v>范君贤</v>
      </c>
      <c r="E2866" s="8" t="str">
        <f>"男"</f>
        <v>男</v>
      </c>
    </row>
    <row r="2867" spans="1:5" ht="30" customHeight="1">
      <c r="A2867" s="8">
        <v>2864</v>
      </c>
      <c r="B2867" s="8" t="str">
        <f>"38492022042110524126294"</f>
        <v>38492022042110524126294</v>
      </c>
      <c r="C2867" s="8" t="s">
        <v>23</v>
      </c>
      <c r="D2867" s="8" t="str">
        <f>"刘云"</f>
        <v>刘云</v>
      </c>
      <c r="E2867" s="8" t="str">
        <f t="shared" si="499"/>
        <v>女</v>
      </c>
    </row>
    <row r="2868" spans="1:5" ht="30" customHeight="1">
      <c r="A2868" s="8">
        <v>2865</v>
      </c>
      <c r="B2868" s="8" t="str">
        <f>"38492022042111235226589"</f>
        <v>38492022042111235226589</v>
      </c>
      <c r="C2868" s="8" t="s">
        <v>23</v>
      </c>
      <c r="D2868" s="8" t="str">
        <f>"邢嘉淑"</f>
        <v>邢嘉淑</v>
      </c>
      <c r="E2868" s="8" t="str">
        <f t="shared" si="499"/>
        <v>女</v>
      </c>
    </row>
    <row r="2869" spans="1:5" ht="30" customHeight="1">
      <c r="A2869" s="8">
        <v>2866</v>
      </c>
      <c r="B2869" s="8" t="str">
        <f>"38492022042113150927365"</f>
        <v>38492022042113150927365</v>
      </c>
      <c r="C2869" s="8" t="s">
        <v>23</v>
      </c>
      <c r="D2869" s="8" t="str">
        <f>"朱丽媛"</f>
        <v>朱丽媛</v>
      </c>
      <c r="E2869" s="8" t="str">
        <f t="shared" si="499"/>
        <v>女</v>
      </c>
    </row>
    <row r="2870" spans="1:5" ht="30" customHeight="1">
      <c r="A2870" s="8">
        <v>2867</v>
      </c>
      <c r="B2870" s="8" t="str">
        <f>"38492022042113385127464"</f>
        <v>38492022042113385127464</v>
      </c>
      <c r="C2870" s="8" t="s">
        <v>23</v>
      </c>
      <c r="D2870" s="8" t="str">
        <f>"段凯娜"</f>
        <v>段凯娜</v>
      </c>
      <c r="E2870" s="8" t="str">
        <f t="shared" si="499"/>
        <v>女</v>
      </c>
    </row>
    <row r="2871" spans="1:5" ht="30" customHeight="1">
      <c r="A2871" s="8">
        <v>2868</v>
      </c>
      <c r="B2871" s="8" t="str">
        <f>"38492022042114150827637"</f>
        <v>38492022042114150827637</v>
      </c>
      <c r="C2871" s="8" t="s">
        <v>23</v>
      </c>
      <c r="D2871" s="8" t="str">
        <f>"潘东"</f>
        <v>潘东</v>
      </c>
      <c r="E2871" s="8" t="str">
        <f aca="true" t="shared" si="500" ref="E2871:E2874">"男"</f>
        <v>男</v>
      </c>
    </row>
    <row r="2872" spans="1:5" ht="30" customHeight="1">
      <c r="A2872" s="8">
        <v>2869</v>
      </c>
      <c r="B2872" s="8" t="str">
        <f>"38492022042114191927658"</f>
        <v>38492022042114191927658</v>
      </c>
      <c r="C2872" s="8" t="s">
        <v>23</v>
      </c>
      <c r="D2872" s="8" t="str">
        <f>"梁厚燕"</f>
        <v>梁厚燕</v>
      </c>
      <c r="E2872" s="8" t="str">
        <f t="shared" si="500"/>
        <v>男</v>
      </c>
    </row>
    <row r="2873" spans="1:5" ht="30" customHeight="1">
      <c r="A2873" s="8">
        <v>2870</v>
      </c>
      <c r="B2873" s="8" t="str">
        <f>"38492022042115543028421"</f>
        <v>38492022042115543028421</v>
      </c>
      <c r="C2873" s="8" t="s">
        <v>23</v>
      </c>
      <c r="D2873" s="8" t="str">
        <f>"苻海俊"</f>
        <v>苻海俊</v>
      </c>
      <c r="E2873" s="8" t="str">
        <f aca="true" t="shared" si="501" ref="E2873:E2877">"女"</f>
        <v>女</v>
      </c>
    </row>
    <row r="2874" spans="1:5" ht="30" customHeight="1">
      <c r="A2874" s="8">
        <v>2871</v>
      </c>
      <c r="B2874" s="8" t="str">
        <f>"38492022042115594028445"</f>
        <v>38492022042115594028445</v>
      </c>
      <c r="C2874" s="8" t="s">
        <v>23</v>
      </c>
      <c r="D2874" s="8" t="str">
        <f>"孙伟恒"</f>
        <v>孙伟恒</v>
      </c>
      <c r="E2874" s="8" t="str">
        <f t="shared" si="500"/>
        <v>男</v>
      </c>
    </row>
    <row r="2875" spans="1:5" ht="30" customHeight="1">
      <c r="A2875" s="8">
        <v>2872</v>
      </c>
      <c r="B2875" s="8" t="str">
        <f>"38492022042118423729372"</f>
        <v>38492022042118423729372</v>
      </c>
      <c r="C2875" s="8" t="s">
        <v>23</v>
      </c>
      <c r="D2875" s="8" t="str">
        <f>"莫小艺"</f>
        <v>莫小艺</v>
      </c>
      <c r="E2875" s="8" t="str">
        <f t="shared" si="501"/>
        <v>女</v>
      </c>
    </row>
    <row r="2876" spans="1:5" ht="30" customHeight="1">
      <c r="A2876" s="8">
        <v>2873</v>
      </c>
      <c r="B2876" s="8" t="str">
        <f>"38492022042119011129455"</f>
        <v>38492022042119011129455</v>
      </c>
      <c r="C2876" s="8" t="s">
        <v>23</v>
      </c>
      <c r="D2876" s="8" t="str">
        <f>"侯道帆"</f>
        <v>侯道帆</v>
      </c>
      <c r="E2876" s="8" t="str">
        <f>"男"</f>
        <v>男</v>
      </c>
    </row>
    <row r="2877" spans="1:5" ht="30" customHeight="1">
      <c r="A2877" s="8">
        <v>2874</v>
      </c>
      <c r="B2877" s="8" t="str">
        <f>"38492022042119071529482"</f>
        <v>38492022042119071529482</v>
      </c>
      <c r="C2877" s="8" t="s">
        <v>23</v>
      </c>
      <c r="D2877" s="8" t="str">
        <f>"林敏"</f>
        <v>林敏</v>
      </c>
      <c r="E2877" s="8" t="str">
        <f t="shared" si="501"/>
        <v>女</v>
      </c>
    </row>
    <row r="2878" spans="1:5" ht="30" customHeight="1">
      <c r="A2878" s="8">
        <v>2875</v>
      </c>
      <c r="B2878" s="8" t="str">
        <f>"38492022042121380530247"</f>
        <v>38492022042121380530247</v>
      </c>
      <c r="C2878" s="8" t="s">
        <v>23</v>
      </c>
      <c r="D2878" s="8" t="str">
        <f>"李荣有"</f>
        <v>李荣有</v>
      </c>
      <c r="E2878" s="8" t="str">
        <f aca="true" t="shared" si="502" ref="E2878:E2883">"男"</f>
        <v>男</v>
      </c>
    </row>
    <row r="2879" spans="1:5" ht="30" customHeight="1">
      <c r="A2879" s="8">
        <v>2876</v>
      </c>
      <c r="B2879" s="8" t="str">
        <f>"38492022042123200530711"</f>
        <v>38492022042123200530711</v>
      </c>
      <c r="C2879" s="8" t="s">
        <v>23</v>
      </c>
      <c r="D2879" s="8" t="str">
        <f>"曹才雨"</f>
        <v>曹才雨</v>
      </c>
      <c r="E2879" s="8" t="str">
        <f aca="true" t="shared" si="503" ref="E2879:E2881">"女"</f>
        <v>女</v>
      </c>
    </row>
    <row r="2880" spans="1:5" ht="30" customHeight="1">
      <c r="A2880" s="8">
        <v>2877</v>
      </c>
      <c r="B2880" s="8" t="str">
        <f>"38492022042208165930970"</f>
        <v>38492022042208165930970</v>
      </c>
      <c r="C2880" s="8" t="s">
        <v>23</v>
      </c>
      <c r="D2880" s="8" t="str">
        <f>"覃祝婉"</f>
        <v>覃祝婉</v>
      </c>
      <c r="E2880" s="8" t="str">
        <f t="shared" si="503"/>
        <v>女</v>
      </c>
    </row>
    <row r="2881" spans="1:5" ht="30" customHeight="1">
      <c r="A2881" s="8">
        <v>2878</v>
      </c>
      <c r="B2881" s="8" t="str">
        <f>"38492022042209412131335"</f>
        <v>38492022042209412131335</v>
      </c>
      <c r="C2881" s="8" t="s">
        <v>23</v>
      </c>
      <c r="D2881" s="8" t="str">
        <f>"蔡妹玲"</f>
        <v>蔡妹玲</v>
      </c>
      <c r="E2881" s="8" t="str">
        <f t="shared" si="503"/>
        <v>女</v>
      </c>
    </row>
    <row r="2882" spans="1:5" ht="30" customHeight="1">
      <c r="A2882" s="8">
        <v>2879</v>
      </c>
      <c r="B2882" s="8" t="str">
        <f>"38492022042210135231523"</f>
        <v>38492022042210135231523</v>
      </c>
      <c r="C2882" s="8" t="s">
        <v>23</v>
      </c>
      <c r="D2882" s="8" t="str">
        <f>"钟育亮"</f>
        <v>钟育亮</v>
      </c>
      <c r="E2882" s="8" t="str">
        <f t="shared" si="502"/>
        <v>男</v>
      </c>
    </row>
    <row r="2883" spans="1:5" ht="30" customHeight="1">
      <c r="A2883" s="8">
        <v>2880</v>
      </c>
      <c r="B2883" s="8" t="str">
        <f>"38492022042210170431551"</f>
        <v>38492022042210170431551</v>
      </c>
      <c r="C2883" s="8" t="s">
        <v>23</v>
      </c>
      <c r="D2883" s="8" t="str">
        <f>"赫禹杭"</f>
        <v>赫禹杭</v>
      </c>
      <c r="E2883" s="8" t="str">
        <f t="shared" si="502"/>
        <v>男</v>
      </c>
    </row>
    <row r="2884" spans="1:5" ht="30" customHeight="1">
      <c r="A2884" s="8">
        <v>2881</v>
      </c>
      <c r="B2884" s="8" t="str">
        <f>"38492022042213095332733"</f>
        <v>38492022042213095332733</v>
      </c>
      <c r="C2884" s="8" t="s">
        <v>23</v>
      </c>
      <c r="D2884" s="8" t="str">
        <f>"林衍晶"</f>
        <v>林衍晶</v>
      </c>
      <c r="E2884" s="8" t="str">
        <f aca="true" t="shared" si="504" ref="E2884:E2887">"女"</f>
        <v>女</v>
      </c>
    </row>
    <row r="2885" spans="1:5" ht="30" customHeight="1">
      <c r="A2885" s="8">
        <v>2882</v>
      </c>
      <c r="B2885" s="8" t="str">
        <f>"38492022042216500933865"</f>
        <v>38492022042216500933865</v>
      </c>
      <c r="C2885" s="8" t="s">
        <v>23</v>
      </c>
      <c r="D2885" s="8" t="str">
        <f>"谭婕"</f>
        <v>谭婕</v>
      </c>
      <c r="E2885" s="8" t="str">
        <f t="shared" si="504"/>
        <v>女</v>
      </c>
    </row>
    <row r="2886" spans="1:5" ht="30" customHeight="1">
      <c r="A2886" s="8">
        <v>2883</v>
      </c>
      <c r="B2886" s="8" t="str">
        <f>"38492022042217121433997"</f>
        <v>38492022042217121433997</v>
      </c>
      <c r="C2886" s="8" t="s">
        <v>23</v>
      </c>
      <c r="D2886" s="8" t="str">
        <f>"唐伟峻"</f>
        <v>唐伟峻</v>
      </c>
      <c r="E2886" s="8" t="str">
        <f aca="true" t="shared" si="505" ref="E2886:E2889">"男"</f>
        <v>男</v>
      </c>
    </row>
    <row r="2887" spans="1:5" ht="30" customHeight="1">
      <c r="A2887" s="8">
        <v>2884</v>
      </c>
      <c r="B2887" s="8" t="str">
        <f>"38492022042219492834453"</f>
        <v>38492022042219492834453</v>
      </c>
      <c r="C2887" s="8" t="s">
        <v>23</v>
      </c>
      <c r="D2887" s="8" t="str">
        <f>"任梦洁"</f>
        <v>任梦洁</v>
      </c>
      <c r="E2887" s="8" t="str">
        <f t="shared" si="504"/>
        <v>女</v>
      </c>
    </row>
    <row r="2888" spans="1:5" ht="30" customHeight="1">
      <c r="A2888" s="8">
        <v>2885</v>
      </c>
      <c r="B2888" s="8" t="str">
        <f>"38492022042222332934749"</f>
        <v>38492022042222332934749</v>
      </c>
      <c r="C2888" s="8" t="s">
        <v>23</v>
      </c>
      <c r="D2888" s="8" t="str">
        <f>"王祝瑞"</f>
        <v>王祝瑞</v>
      </c>
      <c r="E2888" s="8" t="str">
        <f t="shared" si="505"/>
        <v>男</v>
      </c>
    </row>
    <row r="2889" spans="1:5" ht="30" customHeight="1">
      <c r="A2889" s="8">
        <v>2886</v>
      </c>
      <c r="B2889" s="8" t="str">
        <f>"38492022042223055734798"</f>
        <v>38492022042223055734798</v>
      </c>
      <c r="C2889" s="8" t="s">
        <v>23</v>
      </c>
      <c r="D2889" s="8" t="str">
        <f>"周可维"</f>
        <v>周可维</v>
      </c>
      <c r="E2889" s="8" t="str">
        <f t="shared" si="505"/>
        <v>男</v>
      </c>
    </row>
    <row r="2890" spans="1:5" ht="30" customHeight="1">
      <c r="A2890" s="8">
        <v>2887</v>
      </c>
      <c r="B2890" s="8" t="str">
        <f>"38492022042223270834817"</f>
        <v>38492022042223270834817</v>
      </c>
      <c r="C2890" s="8" t="s">
        <v>23</v>
      </c>
      <c r="D2890" s="8" t="str">
        <f>"李王丹"</f>
        <v>李王丹</v>
      </c>
      <c r="E2890" s="8" t="str">
        <f aca="true" t="shared" si="506" ref="E2890:E2892">"女"</f>
        <v>女</v>
      </c>
    </row>
    <row r="2891" spans="1:5" ht="30" customHeight="1">
      <c r="A2891" s="8">
        <v>2888</v>
      </c>
      <c r="B2891" s="8" t="str">
        <f>"38492022042223393934829"</f>
        <v>38492022042223393934829</v>
      </c>
      <c r="C2891" s="8" t="s">
        <v>23</v>
      </c>
      <c r="D2891" s="8" t="str">
        <f>"陈昌瑜"</f>
        <v>陈昌瑜</v>
      </c>
      <c r="E2891" s="8" t="str">
        <f t="shared" si="506"/>
        <v>女</v>
      </c>
    </row>
    <row r="2892" spans="1:5" ht="30" customHeight="1">
      <c r="A2892" s="8">
        <v>2889</v>
      </c>
      <c r="B2892" s="8" t="str">
        <f>"38492022042309363434967"</f>
        <v>38492022042309363434967</v>
      </c>
      <c r="C2892" s="8" t="s">
        <v>23</v>
      </c>
      <c r="D2892" s="8" t="str">
        <f>"韩艺祺"</f>
        <v>韩艺祺</v>
      </c>
      <c r="E2892" s="8" t="str">
        <f t="shared" si="506"/>
        <v>女</v>
      </c>
    </row>
    <row r="2893" spans="1:5" ht="30" customHeight="1">
      <c r="A2893" s="8">
        <v>2890</v>
      </c>
      <c r="B2893" s="8" t="str">
        <f>"38492022042309503534988"</f>
        <v>38492022042309503534988</v>
      </c>
      <c r="C2893" s="8" t="s">
        <v>23</v>
      </c>
      <c r="D2893" s="8" t="str">
        <f>"乔振男"</f>
        <v>乔振男</v>
      </c>
      <c r="E2893" s="8" t="str">
        <f aca="true" t="shared" si="507" ref="E2893:E2895">"男"</f>
        <v>男</v>
      </c>
    </row>
    <row r="2894" spans="1:5" ht="30" customHeight="1">
      <c r="A2894" s="8">
        <v>2891</v>
      </c>
      <c r="B2894" s="8" t="str">
        <f>"38492022042312152135186"</f>
        <v>38492022042312152135186</v>
      </c>
      <c r="C2894" s="8" t="s">
        <v>23</v>
      </c>
      <c r="D2894" s="8" t="str">
        <f>"李正鹏"</f>
        <v>李正鹏</v>
      </c>
      <c r="E2894" s="8" t="str">
        <f t="shared" si="507"/>
        <v>男</v>
      </c>
    </row>
    <row r="2895" spans="1:5" ht="30" customHeight="1">
      <c r="A2895" s="8">
        <v>2892</v>
      </c>
      <c r="B2895" s="8" t="str">
        <f>"38492022042312473235217"</f>
        <v>38492022042312473235217</v>
      </c>
      <c r="C2895" s="8" t="s">
        <v>23</v>
      </c>
      <c r="D2895" s="8" t="str">
        <f>"曾扬刚"</f>
        <v>曾扬刚</v>
      </c>
      <c r="E2895" s="8" t="str">
        <f t="shared" si="507"/>
        <v>男</v>
      </c>
    </row>
    <row r="2896" spans="1:5" ht="30" customHeight="1">
      <c r="A2896" s="8">
        <v>2893</v>
      </c>
      <c r="B2896" s="8" t="str">
        <f>"38492022042313422335279"</f>
        <v>38492022042313422335279</v>
      </c>
      <c r="C2896" s="8" t="s">
        <v>23</v>
      </c>
      <c r="D2896" s="8" t="str">
        <f>"阮丹霞"</f>
        <v>阮丹霞</v>
      </c>
      <c r="E2896" s="8" t="str">
        <f aca="true" t="shared" si="508" ref="E2896:E2900">"女"</f>
        <v>女</v>
      </c>
    </row>
    <row r="2897" spans="1:5" ht="30" customHeight="1">
      <c r="A2897" s="8">
        <v>2894</v>
      </c>
      <c r="B2897" s="8" t="str">
        <f>"38492022042317075535573"</f>
        <v>38492022042317075535573</v>
      </c>
      <c r="C2897" s="8" t="s">
        <v>23</v>
      </c>
      <c r="D2897" s="8" t="str">
        <f>"黎姿"</f>
        <v>黎姿</v>
      </c>
      <c r="E2897" s="8" t="str">
        <f t="shared" si="508"/>
        <v>女</v>
      </c>
    </row>
    <row r="2898" spans="1:5" ht="30" customHeight="1">
      <c r="A2898" s="8">
        <v>2895</v>
      </c>
      <c r="B2898" s="8" t="str">
        <f>"38492022042318325635654"</f>
        <v>38492022042318325635654</v>
      </c>
      <c r="C2898" s="8" t="s">
        <v>23</v>
      </c>
      <c r="D2898" s="8" t="str">
        <f>"何坚鹍"</f>
        <v>何坚鹍</v>
      </c>
      <c r="E2898" s="8" t="str">
        <f aca="true" t="shared" si="509" ref="E2898:E2902">"男"</f>
        <v>男</v>
      </c>
    </row>
    <row r="2899" spans="1:5" ht="30" customHeight="1">
      <c r="A2899" s="8">
        <v>2896</v>
      </c>
      <c r="B2899" s="8" t="str">
        <f>"38492022042319250335697"</f>
        <v>38492022042319250335697</v>
      </c>
      <c r="C2899" s="8" t="s">
        <v>23</v>
      </c>
      <c r="D2899" s="8" t="str">
        <f>"赵沁珂"</f>
        <v>赵沁珂</v>
      </c>
      <c r="E2899" s="8" t="str">
        <f t="shared" si="508"/>
        <v>女</v>
      </c>
    </row>
    <row r="2900" spans="1:5" ht="30" customHeight="1">
      <c r="A2900" s="8">
        <v>2897</v>
      </c>
      <c r="B2900" s="8" t="str">
        <f>"38492022042319544235732"</f>
        <v>38492022042319544235732</v>
      </c>
      <c r="C2900" s="8" t="s">
        <v>23</v>
      </c>
      <c r="D2900" s="8" t="str">
        <f>"冯维维"</f>
        <v>冯维维</v>
      </c>
      <c r="E2900" s="8" t="str">
        <f t="shared" si="508"/>
        <v>女</v>
      </c>
    </row>
    <row r="2901" spans="1:5" ht="30" customHeight="1">
      <c r="A2901" s="8">
        <v>2898</v>
      </c>
      <c r="B2901" s="8" t="str">
        <f>"38492022042321444435917"</f>
        <v>38492022042321444435917</v>
      </c>
      <c r="C2901" s="8" t="s">
        <v>23</v>
      </c>
      <c r="D2901" s="8" t="str">
        <f>"林奕帆"</f>
        <v>林奕帆</v>
      </c>
      <c r="E2901" s="8" t="str">
        <f t="shared" si="509"/>
        <v>男</v>
      </c>
    </row>
    <row r="2902" spans="1:5" ht="30" customHeight="1">
      <c r="A2902" s="8">
        <v>2899</v>
      </c>
      <c r="B2902" s="8" t="str">
        <f>"38492022042410384236441"</f>
        <v>38492022042410384236441</v>
      </c>
      <c r="C2902" s="8" t="s">
        <v>23</v>
      </c>
      <c r="D2902" s="8" t="str">
        <f>"许宇善"</f>
        <v>许宇善</v>
      </c>
      <c r="E2902" s="8" t="str">
        <f t="shared" si="509"/>
        <v>男</v>
      </c>
    </row>
    <row r="2903" spans="1:5" ht="30" customHeight="1">
      <c r="A2903" s="8">
        <v>2900</v>
      </c>
      <c r="B2903" s="8" t="str">
        <f>"38492022042412330736644"</f>
        <v>38492022042412330736644</v>
      </c>
      <c r="C2903" s="8" t="s">
        <v>23</v>
      </c>
      <c r="D2903" s="8" t="str">
        <f>"梁竞立"</f>
        <v>梁竞立</v>
      </c>
      <c r="E2903" s="8" t="str">
        <f aca="true" t="shared" si="510" ref="E2903:E2908">"女"</f>
        <v>女</v>
      </c>
    </row>
    <row r="2904" spans="1:5" ht="30" customHeight="1">
      <c r="A2904" s="8">
        <v>2901</v>
      </c>
      <c r="B2904" s="8" t="str">
        <f>"38492022042414051136776"</f>
        <v>38492022042414051136776</v>
      </c>
      <c r="C2904" s="8" t="s">
        <v>23</v>
      </c>
      <c r="D2904" s="8" t="str">
        <f>"王宇恒"</f>
        <v>王宇恒</v>
      </c>
      <c r="E2904" s="8" t="str">
        <f aca="true" t="shared" si="511" ref="E2904:E2909">"男"</f>
        <v>男</v>
      </c>
    </row>
    <row r="2905" spans="1:5" ht="30" customHeight="1">
      <c r="A2905" s="8">
        <v>2902</v>
      </c>
      <c r="B2905" s="8" t="str">
        <f>"38492022042415463936962"</f>
        <v>38492022042415463936962</v>
      </c>
      <c r="C2905" s="8" t="s">
        <v>23</v>
      </c>
      <c r="D2905" s="8" t="str">
        <f>"陈愉茜"</f>
        <v>陈愉茜</v>
      </c>
      <c r="E2905" s="8" t="str">
        <f t="shared" si="510"/>
        <v>女</v>
      </c>
    </row>
    <row r="2906" spans="1:5" ht="30" customHeight="1">
      <c r="A2906" s="8">
        <v>2903</v>
      </c>
      <c r="B2906" s="8" t="str">
        <f>"38492022042417062537145"</f>
        <v>38492022042417062537145</v>
      </c>
      <c r="C2906" s="8" t="s">
        <v>23</v>
      </c>
      <c r="D2906" s="8" t="str">
        <f>"李虹达"</f>
        <v>李虹达</v>
      </c>
      <c r="E2906" s="8" t="str">
        <f t="shared" si="511"/>
        <v>男</v>
      </c>
    </row>
    <row r="2907" spans="1:5" ht="30" customHeight="1">
      <c r="A2907" s="8">
        <v>2904</v>
      </c>
      <c r="B2907" s="8" t="str">
        <f>"38492022042419180037341"</f>
        <v>38492022042419180037341</v>
      </c>
      <c r="C2907" s="8" t="s">
        <v>23</v>
      </c>
      <c r="D2907" s="8" t="str">
        <f>"李祉璇"</f>
        <v>李祉璇</v>
      </c>
      <c r="E2907" s="8" t="str">
        <f t="shared" si="510"/>
        <v>女</v>
      </c>
    </row>
    <row r="2908" spans="1:5" ht="30" customHeight="1">
      <c r="A2908" s="8">
        <v>2905</v>
      </c>
      <c r="B2908" s="8" t="str">
        <f>"38492022042420354537456"</f>
        <v>38492022042420354537456</v>
      </c>
      <c r="C2908" s="8" t="s">
        <v>23</v>
      </c>
      <c r="D2908" s="8" t="str">
        <f>"符慧茹"</f>
        <v>符慧茹</v>
      </c>
      <c r="E2908" s="8" t="str">
        <f t="shared" si="510"/>
        <v>女</v>
      </c>
    </row>
    <row r="2909" spans="1:5" ht="30" customHeight="1">
      <c r="A2909" s="8">
        <v>2906</v>
      </c>
      <c r="B2909" s="8" t="str">
        <f>"38492022042422255537633"</f>
        <v>38492022042422255537633</v>
      </c>
      <c r="C2909" s="8" t="s">
        <v>23</v>
      </c>
      <c r="D2909" s="8" t="str">
        <f>"刘富宝"</f>
        <v>刘富宝</v>
      </c>
      <c r="E2909" s="8" t="str">
        <f t="shared" si="511"/>
        <v>男</v>
      </c>
    </row>
    <row r="2910" spans="1:5" ht="30" customHeight="1">
      <c r="A2910" s="8">
        <v>2907</v>
      </c>
      <c r="B2910" s="8" t="str">
        <f>"38492022042511142538096"</f>
        <v>38492022042511142538096</v>
      </c>
      <c r="C2910" s="8" t="s">
        <v>23</v>
      </c>
      <c r="D2910" s="8" t="str">
        <f>"陈谢"</f>
        <v>陈谢</v>
      </c>
      <c r="E2910" s="8" t="str">
        <f aca="true" t="shared" si="512" ref="E2910:E2913">"女"</f>
        <v>女</v>
      </c>
    </row>
    <row r="2911" spans="1:5" ht="30" customHeight="1">
      <c r="A2911" s="8">
        <v>2908</v>
      </c>
      <c r="B2911" s="8" t="str">
        <f>"38492022042511175938103"</f>
        <v>38492022042511175938103</v>
      </c>
      <c r="C2911" s="8" t="s">
        <v>23</v>
      </c>
      <c r="D2911" s="8" t="str">
        <f>"李香云"</f>
        <v>李香云</v>
      </c>
      <c r="E2911" s="8" t="str">
        <f t="shared" si="512"/>
        <v>女</v>
      </c>
    </row>
    <row r="2912" spans="1:5" ht="30" customHeight="1">
      <c r="A2912" s="8">
        <v>2909</v>
      </c>
      <c r="B2912" s="8" t="str">
        <f>"38492022042516483938512"</f>
        <v>38492022042516483938512</v>
      </c>
      <c r="C2912" s="8" t="s">
        <v>23</v>
      </c>
      <c r="D2912" s="8" t="str">
        <f>"孙越"</f>
        <v>孙越</v>
      </c>
      <c r="E2912" s="8" t="str">
        <f t="shared" si="512"/>
        <v>女</v>
      </c>
    </row>
    <row r="2913" spans="1:5" ht="30" customHeight="1">
      <c r="A2913" s="8">
        <v>2910</v>
      </c>
      <c r="B2913" s="8" t="str">
        <f>"38492022042519023738687"</f>
        <v>38492022042519023738687</v>
      </c>
      <c r="C2913" s="8" t="s">
        <v>23</v>
      </c>
      <c r="D2913" s="8" t="str">
        <f>"朱莹莹"</f>
        <v>朱莹莹</v>
      </c>
      <c r="E2913" s="8" t="str">
        <f t="shared" si="512"/>
        <v>女</v>
      </c>
    </row>
    <row r="2914" spans="1:5" ht="30" customHeight="1">
      <c r="A2914" s="8">
        <v>2911</v>
      </c>
      <c r="B2914" s="8" t="str">
        <f>"38492022042609415239231"</f>
        <v>38492022042609415239231</v>
      </c>
      <c r="C2914" s="8" t="s">
        <v>23</v>
      </c>
      <c r="D2914" s="8" t="str">
        <f>"李常林"</f>
        <v>李常林</v>
      </c>
      <c r="E2914" s="8" t="str">
        <f aca="true" t="shared" si="513" ref="E2914:E2919">"男"</f>
        <v>男</v>
      </c>
    </row>
    <row r="2915" spans="1:5" ht="30" customHeight="1">
      <c r="A2915" s="8">
        <v>2912</v>
      </c>
      <c r="B2915" s="8" t="str">
        <f>"38492022042609503239243"</f>
        <v>38492022042609503239243</v>
      </c>
      <c r="C2915" s="8" t="s">
        <v>23</v>
      </c>
      <c r="D2915" s="8" t="str">
        <f>"徐涛"</f>
        <v>徐涛</v>
      </c>
      <c r="E2915" s="8" t="str">
        <f t="shared" si="513"/>
        <v>男</v>
      </c>
    </row>
    <row r="2916" spans="1:5" ht="30" customHeight="1">
      <c r="A2916" s="8">
        <v>2913</v>
      </c>
      <c r="B2916" s="8" t="str">
        <f>"38492022042617371539923"</f>
        <v>38492022042617371539923</v>
      </c>
      <c r="C2916" s="8" t="s">
        <v>23</v>
      </c>
      <c r="D2916" s="8" t="str">
        <f>"王钰珂"</f>
        <v>王钰珂</v>
      </c>
      <c r="E2916" s="8" t="str">
        <f aca="true" t="shared" si="514" ref="E2916:E2918">"女"</f>
        <v>女</v>
      </c>
    </row>
    <row r="2917" spans="1:5" ht="30" customHeight="1">
      <c r="A2917" s="8">
        <v>2914</v>
      </c>
      <c r="B2917" s="8" t="str">
        <f>"38492022042617425839932"</f>
        <v>38492022042617425839932</v>
      </c>
      <c r="C2917" s="8" t="s">
        <v>23</v>
      </c>
      <c r="D2917" s="8" t="str">
        <f>"林军"</f>
        <v>林军</v>
      </c>
      <c r="E2917" s="8" t="str">
        <f t="shared" si="514"/>
        <v>女</v>
      </c>
    </row>
    <row r="2918" spans="1:5" ht="30" customHeight="1">
      <c r="A2918" s="8">
        <v>2915</v>
      </c>
      <c r="B2918" s="8" t="str">
        <f>"38492022042619134640029"</f>
        <v>38492022042619134640029</v>
      </c>
      <c r="C2918" s="8" t="s">
        <v>23</v>
      </c>
      <c r="D2918" s="8" t="str">
        <f>"何子越"</f>
        <v>何子越</v>
      </c>
      <c r="E2918" s="8" t="str">
        <f t="shared" si="514"/>
        <v>女</v>
      </c>
    </row>
    <row r="2919" spans="1:5" ht="30" customHeight="1">
      <c r="A2919" s="8">
        <v>2916</v>
      </c>
      <c r="B2919" s="8" t="str">
        <f>"38492022042623171540429"</f>
        <v>38492022042623171540429</v>
      </c>
      <c r="C2919" s="8" t="s">
        <v>23</v>
      </c>
      <c r="D2919" s="8" t="str">
        <f>"曾庆华"</f>
        <v>曾庆华</v>
      </c>
      <c r="E2919" s="8" t="str">
        <f t="shared" si="513"/>
        <v>男</v>
      </c>
    </row>
    <row r="2920" spans="1:5" ht="30" customHeight="1">
      <c r="A2920" s="8">
        <v>2917</v>
      </c>
      <c r="B2920" s="8" t="str">
        <f>"38492022042701594140534"</f>
        <v>38492022042701594140534</v>
      </c>
      <c r="C2920" s="8" t="s">
        <v>23</v>
      </c>
      <c r="D2920" s="8" t="str">
        <f>"王子仪"</f>
        <v>王子仪</v>
      </c>
      <c r="E2920" s="8" t="str">
        <f aca="true" t="shared" si="515" ref="E2920:E2924">"女"</f>
        <v>女</v>
      </c>
    </row>
    <row r="2921" spans="1:5" ht="30" customHeight="1">
      <c r="A2921" s="8">
        <v>2918</v>
      </c>
      <c r="B2921" s="8" t="str">
        <f>"38492022042708080540582"</f>
        <v>38492022042708080540582</v>
      </c>
      <c r="C2921" s="8" t="s">
        <v>23</v>
      </c>
      <c r="D2921" s="8" t="str">
        <f>"王豪德"</f>
        <v>王豪德</v>
      </c>
      <c r="E2921" s="8" t="str">
        <f aca="true" t="shared" si="516" ref="E2921:E2925">"男"</f>
        <v>男</v>
      </c>
    </row>
    <row r="2922" spans="1:5" ht="30" customHeight="1">
      <c r="A2922" s="8">
        <v>2919</v>
      </c>
      <c r="B2922" s="8" t="str">
        <f>"38492022042708333440603"</f>
        <v>38492022042708333440603</v>
      </c>
      <c r="C2922" s="8" t="s">
        <v>23</v>
      </c>
      <c r="D2922" s="8" t="str">
        <f>"范迪"</f>
        <v>范迪</v>
      </c>
      <c r="E2922" s="8" t="str">
        <f t="shared" si="515"/>
        <v>女</v>
      </c>
    </row>
    <row r="2923" spans="1:5" ht="30" customHeight="1">
      <c r="A2923" s="8">
        <v>2920</v>
      </c>
      <c r="B2923" s="8" t="str">
        <f>"38492022042708420340615"</f>
        <v>38492022042708420340615</v>
      </c>
      <c r="C2923" s="8" t="s">
        <v>23</v>
      </c>
      <c r="D2923" s="8" t="str">
        <f>"张成"</f>
        <v>张成</v>
      </c>
      <c r="E2923" s="8" t="str">
        <f t="shared" si="516"/>
        <v>男</v>
      </c>
    </row>
    <row r="2924" spans="1:5" ht="30" customHeight="1">
      <c r="A2924" s="8">
        <v>2921</v>
      </c>
      <c r="B2924" s="8" t="str">
        <f>"38492022042710202941650"</f>
        <v>38492022042710202941650</v>
      </c>
      <c r="C2924" s="8" t="s">
        <v>23</v>
      </c>
      <c r="D2924" s="8" t="str">
        <f>"陈玲"</f>
        <v>陈玲</v>
      </c>
      <c r="E2924" s="8" t="str">
        <f t="shared" si="515"/>
        <v>女</v>
      </c>
    </row>
    <row r="2925" spans="1:5" ht="30" customHeight="1">
      <c r="A2925" s="8">
        <v>2922</v>
      </c>
      <c r="B2925" s="8" t="str">
        <f>"38492022042712104242599"</f>
        <v>38492022042712104242599</v>
      </c>
      <c r="C2925" s="8" t="s">
        <v>23</v>
      </c>
      <c r="D2925" s="8" t="str">
        <f>"刘旭"</f>
        <v>刘旭</v>
      </c>
      <c r="E2925" s="8" t="str">
        <f t="shared" si="516"/>
        <v>男</v>
      </c>
    </row>
    <row r="2926" spans="1:5" ht="30" customHeight="1">
      <c r="A2926" s="8">
        <v>2923</v>
      </c>
      <c r="B2926" s="8" t="str">
        <f>"38492022042712321242735"</f>
        <v>38492022042712321242735</v>
      </c>
      <c r="C2926" s="8" t="s">
        <v>23</v>
      </c>
      <c r="D2926" s="8" t="str">
        <f>"张醒"</f>
        <v>张醒</v>
      </c>
      <c r="E2926" s="8" t="str">
        <f>"女"</f>
        <v>女</v>
      </c>
    </row>
    <row r="2927" spans="1:5" ht="30" customHeight="1">
      <c r="A2927" s="8">
        <v>2924</v>
      </c>
      <c r="B2927" s="8" t="str">
        <f>"38492022042715055343681"</f>
        <v>38492022042715055343681</v>
      </c>
      <c r="C2927" s="8" t="s">
        <v>23</v>
      </c>
      <c r="D2927" s="8" t="str">
        <f>"禹瑛美"</f>
        <v>禹瑛美</v>
      </c>
      <c r="E2927" s="8" t="str">
        <f>"女"</f>
        <v>女</v>
      </c>
    </row>
    <row r="2928" spans="1:5" ht="30" customHeight="1">
      <c r="A2928" s="8">
        <v>2925</v>
      </c>
      <c r="B2928" s="8" t="str">
        <f>"38492022042109103325014"</f>
        <v>38492022042109103325014</v>
      </c>
      <c r="C2928" s="8" t="s">
        <v>24</v>
      </c>
      <c r="D2928" s="8" t="str">
        <f>"符师"</f>
        <v>符师</v>
      </c>
      <c r="E2928" s="8" t="str">
        <f aca="true" t="shared" si="517" ref="E2928:E2933">"男"</f>
        <v>男</v>
      </c>
    </row>
    <row r="2929" spans="1:5" ht="30" customHeight="1">
      <c r="A2929" s="8">
        <v>2926</v>
      </c>
      <c r="B2929" s="8" t="str">
        <f>"38492022042109254425190"</f>
        <v>38492022042109254425190</v>
      </c>
      <c r="C2929" s="8" t="s">
        <v>24</v>
      </c>
      <c r="D2929" s="8" t="str">
        <f>"张锦"</f>
        <v>张锦</v>
      </c>
      <c r="E2929" s="8" t="str">
        <f t="shared" si="517"/>
        <v>男</v>
      </c>
    </row>
    <row r="2930" spans="1:5" ht="30" customHeight="1">
      <c r="A2930" s="8">
        <v>2927</v>
      </c>
      <c r="B2930" s="8" t="str">
        <f>"38492022042110503526266"</f>
        <v>38492022042110503526266</v>
      </c>
      <c r="C2930" s="8" t="s">
        <v>24</v>
      </c>
      <c r="D2930" s="8" t="str">
        <f>"张凯强"</f>
        <v>张凯强</v>
      </c>
      <c r="E2930" s="8" t="str">
        <f t="shared" si="517"/>
        <v>男</v>
      </c>
    </row>
    <row r="2931" spans="1:5" ht="30" customHeight="1">
      <c r="A2931" s="8">
        <v>2928</v>
      </c>
      <c r="B2931" s="8" t="str">
        <f>"38492022042113015127291"</f>
        <v>38492022042113015127291</v>
      </c>
      <c r="C2931" s="8" t="s">
        <v>24</v>
      </c>
      <c r="D2931" s="8" t="str">
        <f>"曾传亮"</f>
        <v>曾传亮</v>
      </c>
      <c r="E2931" s="8" t="str">
        <f t="shared" si="517"/>
        <v>男</v>
      </c>
    </row>
    <row r="2932" spans="1:5" ht="30" customHeight="1">
      <c r="A2932" s="8">
        <v>2929</v>
      </c>
      <c r="B2932" s="8" t="str">
        <f>"38492022042113083027335"</f>
        <v>38492022042113083027335</v>
      </c>
      <c r="C2932" s="8" t="s">
        <v>24</v>
      </c>
      <c r="D2932" s="8" t="str">
        <f>"高利财"</f>
        <v>高利财</v>
      </c>
      <c r="E2932" s="8" t="str">
        <f t="shared" si="517"/>
        <v>男</v>
      </c>
    </row>
    <row r="2933" spans="1:5" ht="30" customHeight="1">
      <c r="A2933" s="8">
        <v>2930</v>
      </c>
      <c r="B2933" s="8" t="str">
        <f>"38492022042115222928167"</f>
        <v>38492022042115222928167</v>
      </c>
      <c r="C2933" s="8" t="s">
        <v>24</v>
      </c>
      <c r="D2933" s="8" t="str">
        <f>"王华兴"</f>
        <v>王华兴</v>
      </c>
      <c r="E2933" s="8" t="str">
        <f t="shared" si="517"/>
        <v>男</v>
      </c>
    </row>
    <row r="2934" spans="1:5" ht="30" customHeight="1">
      <c r="A2934" s="8">
        <v>2931</v>
      </c>
      <c r="B2934" s="8" t="str">
        <f>"38492022042115230828173"</f>
        <v>38492022042115230828173</v>
      </c>
      <c r="C2934" s="8" t="s">
        <v>24</v>
      </c>
      <c r="D2934" s="8" t="str">
        <f>"肖婷"</f>
        <v>肖婷</v>
      </c>
      <c r="E2934" s="8" t="str">
        <f aca="true" t="shared" si="518" ref="E2934:E2939">"女"</f>
        <v>女</v>
      </c>
    </row>
    <row r="2935" spans="1:5" ht="30" customHeight="1">
      <c r="A2935" s="8">
        <v>2932</v>
      </c>
      <c r="B2935" s="8" t="str">
        <f>"38492022042116170428562"</f>
        <v>38492022042116170428562</v>
      </c>
      <c r="C2935" s="8" t="s">
        <v>24</v>
      </c>
      <c r="D2935" s="8" t="str">
        <f>"符泽茂"</f>
        <v>符泽茂</v>
      </c>
      <c r="E2935" s="8" t="str">
        <f aca="true" t="shared" si="519" ref="E2935:E2938">"男"</f>
        <v>男</v>
      </c>
    </row>
    <row r="2936" spans="1:5" ht="30" customHeight="1">
      <c r="A2936" s="8">
        <v>2933</v>
      </c>
      <c r="B2936" s="8" t="str">
        <f>"38492022042116394728724"</f>
        <v>38492022042116394728724</v>
      </c>
      <c r="C2936" s="8" t="s">
        <v>24</v>
      </c>
      <c r="D2936" s="8" t="str">
        <f>"刘晓蝶"</f>
        <v>刘晓蝶</v>
      </c>
      <c r="E2936" s="8" t="str">
        <f t="shared" si="518"/>
        <v>女</v>
      </c>
    </row>
    <row r="2937" spans="1:5" ht="30" customHeight="1">
      <c r="A2937" s="8">
        <v>2934</v>
      </c>
      <c r="B2937" s="8" t="str">
        <f>"38492022042118315229329"</f>
        <v>38492022042118315229329</v>
      </c>
      <c r="C2937" s="8" t="s">
        <v>24</v>
      </c>
      <c r="D2937" s="8" t="str">
        <f>"黄文飞"</f>
        <v>黄文飞</v>
      </c>
      <c r="E2937" s="8" t="str">
        <f t="shared" si="519"/>
        <v>男</v>
      </c>
    </row>
    <row r="2938" spans="1:5" ht="30" customHeight="1">
      <c r="A2938" s="8">
        <v>2935</v>
      </c>
      <c r="B2938" s="8" t="str">
        <f>"38492022042118524529412"</f>
        <v>38492022042118524529412</v>
      </c>
      <c r="C2938" s="8" t="s">
        <v>24</v>
      </c>
      <c r="D2938" s="8" t="str">
        <f>"曾平安"</f>
        <v>曾平安</v>
      </c>
      <c r="E2938" s="8" t="str">
        <f t="shared" si="519"/>
        <v>男</v>
      </c>
    </row>
    <row r="2939" spans="1:5" ht="30" customHeight="1">
      <c r="A2939" s="8">
        <v>2936</v>
      </c>
      <c r="B2939" s="8" t="str">
        <f>"38492022042121585430345"</f>
        <v>38492022042121585430345</v>
      </c>
      <c r="C2939" s="8" t="s">
        <v>24</v>
      </c>
      <c r="D2939" s="8" t="str">
        <f>"梁静"</f>
        <v>梁静</v>
      </c>
      <c r="E2939" s="8" t="str">
        <f t="shared" si="518"/>
        <v>女</v>
      </c>
    </row>
    <row r="2940" spans="1:5" ht="30" customHeight="1">
      <c r="A2940" s="8">
        <v>2937</v>
      </c>
      <c r="B2940" s="8" t="str">
        <f>"38492022042215203033287"</f>
        <v>38492022042215203033287</v>
      </c>
      <c r="C2940" s="8" t="s">
        <v>24</v>
      </c>
      <c r="D2940" s="8" t="str">
        <f>"符振宇"</f>
        <v>符振宇</v>
      </c>
      <c r="E2940" s="8" t="str">
        <f aca="true" t="shared" si="520" ref="E2940:E2944">"男"</f>
        <v>男</v>
      </c>
    </row>
    <row r="2941" spans="1:5" ht="30" customHeight="1">
      <c r="A2941" s="8">
        <v>2938</v>
      </c>
      <c r="B2941" s="8" t="str">
        <f>"38492022042215322433360"</f>
        <v>38492022042215322433360</v>
      </c>
      <c r="C2941" s="8" t="s">
        <v>24</v>
      </c>
      <c r="D2941" s="8" t="str">
        <f>"梁梅生"</f>
        <v>梁梅生</v>
      </c>
      <c r="E2941" s="8" t="str">
        <f t="shared" si="520"/>
        <v>男</v>
      </c>
    </row>
    <row r="2942" spans="1:5" ht="30" customHeight="1">
      <c r="A2942" s="8">
        <v>2939</v>
      </c>
      <c r="B2942" s="8" t="str">
        <f>"38492022042215594433536"</f>
        <v>38492022042215594433536</v>
      </c>
      <c r="C2942" s="8" t="s">
        <v>24</v>
      </c>
      <c r="D2942" s="8" t="str">
        <f>"符仁琪"</f>
        <v>符仁琪</v>
      </c>
      <c r="E2942" s="8" t="str">
        <f t="shared" si="520"/>
        <v>男</v>
      </c>
    </row>
    <row r="2943" spans="1:5" ht="30" customHeight="1">
      <c r="A2943" s="8">
        <v>2940</v>
      </c>
      <c r="B2943" s="8" t="str">
        <f>"38492022042220214534508"</f>
        <v>38492022042220214534508</v>
      </c>
      <c r="C2943" s="8" t="s">
        <v>24</v>
      </c>
      <c r="D2943" s="8" t="str">
        <f>"吴杰"</f>
        <v>吴杰</v>
      </c>
      <c r="E2943" s="8" t="str">
        <f t="shared" si="520"/>
        <v>男</v>
      </c>
    </row>
    <row r="2944" spans="1:5" ht="30" customHeight="1">
      <c r="A2944" s="8">
        <v>2941</v>
      </c>
      <c r="B2944" s="8" t="str">
        <f>"38492022042220344734526"</f>
        <v>38492022042220344734526</v>
      </c>
      <c r="C2944" s="8" t="s">
        <v>24</v>
      </c>
      <c r="D2944" s="8" t="str">
        <f>"梁文"</f>
        <v>梁文</v>
      </c>
      <c r="E2944" s="8" t="str">
        <f t="shared" si="520"/>
        <v>男</v>
      </c>
    </row>
    <row r="2945" spans="1:5" ht="30" customHeight="1">
      <c r="A2945" s="8">
        <v>2942</v>
      </c>
      <c r="B2945" s="8" t="str">
        <f>"38492022042221195534618"</f>
        <v>38492022042221195534618</v>
      </c>
      <c r="C2945" s="8" t="s">
        <v>24</v>
      </c>
      <c r="D2945" s="8" t="str">
        <f>"蔡曼娜"</f>
        <v>蔡曼娜</v>
      </c>
      <c r="E2945" s="8" t="str">
        <f>"女"</f>
        <v>女</v>
      </c>
    </row>
    <row r="2946" spans="1:5" ht="30" customHeight="1">
      <c r="A2946" s="8">
        <v>2943</v>
      </c>
      <c r="B2946" s="8" t="str">
        <f>"38492022042301193234864"</f>
        <v>38492022042301193234864</v>
      </c>
      <c r="C2946" s="8" t="s">
        <v>24</v>
      </c>
      <c r="D2946" s="8" t="str">
        <f>"温荣"</f>
        <v>温荣</v>
      </c>
      <c r="E2946" s="8" t="str">
        <f aca="true" t="shared" si="521" ref="E2946:E2948">"男"</f>
        <v>男</v>
      </c>
    </row>
    <row r="2947" spans="1:5" ht="30" customHeight="1">
      <c r="A2947" s="8">
        <v>2944</v>
      </c>
      <c r="B2947" s="8" t="str">
        <f>"38492022042313584735306"</f>
        <v>38492022042313584735306</v>
      </c>
      <c r="C2947" s="8" t="s">
        <v>24</v>
      </c>
      <c r="D2947" s="8" t="str">
        <f>"谭祖泉"</f>
        <v>谭祖泉</v>
      </c>
      <c r="E2947" s="8" t="str">
        <f t="shared" si="521"/>
        <v>男</v>
      </c>
    </row>
    <row r="2948" spans="1:5" ht="30" customHeight="1">
      <c r="A2948" s="8">
        <v>2945</v>
      </c>
      <c r="B2948" s="8" t="str">
        <f>"38492022042315542835469"</f>
        <v>38492022042315542835469</v>
      </c>
      <c r="C2948" s="8" t="s">
        <v>24</v>
      </c>
      <c r="D2948" s="8" t="str">
        <f>" 叶凌源"</f>
        <v> 叶凌源</v>
      </c>
      <c r="E2948" s="8" t="str">
        <f t="shared" si="521"/>
        <v>男</v>
      </c>
    </row>
    <row r="2949" spans="1:5" ht="30" customHeight="1">
      <c r="A2949" s="8">
        <v>2946</v>
      </c>
      <c r="B2949" s="8" t="str">
        <f>"38492022042321560135932"</f>
        <v>38492022042321560135932</v>
      </c>
      <c r="C2949" s="8" t="s">
        <v>24</v>
      </c>
      <c r="D2949" s="8" t="str">
        <f>"林潇雨"</f>
        <v>林潇雨</v>
      </c>
      <c r="E2949" s="8" t="str">
        <f aca="true" t="shared" si="522" ref="E2949:E2953">"女"</f>
        <v>女</v>
      </c>
    </row>
    <row r="2950" spans="1:5" ht="30" customHeight="1">
      <c r="A2950" s="8">
        <v>2947</v>
      </c>
      <c r="B2950" s="8" t="str">
        <f>"38492022042409075436252"</f>
        <v>38492022042409075436252</v>
      </c>
      <c r="C2950" s="8" t="s">
        <v>24</v>
      </c>
      <c r="D2950" s="8" t="str">
        <f>"吴昌南"</f>
        <v>吴昌南</v>
      </c>
      <c r="E2950" s="8" t="str">
        <f aca="true" t="shared" si="523" ref="E2950:E2959">"男"</f>
        <v>男</v>
      </c>
    </row>
    <row r="2951" spans="1:5" ht="30" customHeight="1">
      <c r="A2951" s="8">
        <v>2948</v>
      </c>
      <c r="B2951" s="8" t="str">
        <f>"38492022042412171536619"</f>
        <v>38492022042412171536619</v>
      </c>
      <c r="C2951" s="8" t="s">
        <v>24</v>
      </c>
      <c r="D2951" s="8" t="str">
        <f>"符晓贵"</f>
        <v>符晓贵</v>
      </c>
      <c r="E2951" s="8" t="str">
        <f t="shared" si="523"/>
        <v>男</v>
      </c>
    </row>
    <row r="2952" spans="1:5" ht="30" customHeight="1">
      <c r="A2952" s="8">
        <v>2949</v>
      </c>
      <c r="B2952" s="8" t="str">
        <f>"38492022042416145137027"</f>
        <v>38492022042416145137027</v>
      </c>
      <c r="C2952" s="8" t="s">
        <v>24</v>
      </c>
      <c r="D2952" s="8" t="str">
        <f>"陈虹利"</f>
        <v>陈虹利</v>
      </c>
      <c r="E2952" s="8" t="str">
        <f t="shared" si="522"/>
        <v>女</v>
      </c>
    </row>
    <row r="2953" spans="1:5" ht="30" customHeight="1">
      <c r="A2953" s="8">
        <v>2950</v>
      </c>
      <c r="B2953" s="8" t="str">
        <f>"38492022042419482637380"</f>
        <v>38492022042419482637380</v>
      </c>
      <c r="C2953" s="8" t="s">
        <v>24</v>
      </c>
      <c r="D2953" s="8" t="str">
        <f>"许琳涓"</f>
        <v>许琳涓</v>
      </c>
      <c r="E2953" s="8" t="str">
        <f t="shared" si="522"/>
        <v>女</v>
      </c>
    </row>
    <row r="2954" spans="1:5" ht="30" customHeight="1">
      <c r="A2954" s="8">
        <v>2951</v>
      </c>
      <c r="B2954" s="8" t="str">
        <f>"38492022042421413137569"</f>
        <v>38492022042421413137569</v>
      </c>
      <c r="C2954" s="8" t="s">
        <v>24</v>
      </c>
      <c r="D2954" s="8" t="str">
        <f>"陈基伟"</f>
        <v>陈基伟</v>
      </c>
      <c r="E2954" s="8" t="str">
        <f t="shared" si="523"/>
        <v>男</v>
      </c>
    </row>
    <row r="2955" spans="1:5" ht="30" customHeight="1">
      <c r="A2955" s="8">
        <v>2952</v>
      </c>
      <c r="B2955" s="8" t="str">
        <f>"38492022042509170937869"</f>
        <v>38492022042509170937869</v>
      </c>
      <c r="C2955" s="8" t="s">
        <v>24</v>
      </c>
      <c r="D2955" s="8" t="str">
        <f>"符家祺"</f>
        <v>符家祺</v>
      </c>
      <c r="E2955" s="8" t="str">
        <f t="shared" si="523"/>
        <v>男</v>
      </c>
    </row>
    <row r="2956" spans="1:5" ht="30" customHeight="1">
      <c r="A2956" s="8">
        <v>2953</v>
      </c>
      <c r="B2956" s="8" t="str">
        <f>"38492022042510112337962"</f>
        <v>38492022042510112337962</v>
      </c>
      <c r="C2956" s="8" t="s">
        <v>24</v>
      </c>
      <c r="D2956" s="8" t="str">
        <f>"苏运昌"</f>
        <v>苏运昌</v>
      </c>
      <c r="E2956" s="8" t="str">
        <f t="shared" si="523"/>
        <v>男</v>
      </c>
    </row>
    <row r="2957" spans="1:5" ht="30" customHeight="1">
      <c r="A2957" s="8">
        <v>2954</v>
      </c>
      <c r="B2957" s="8" t="str">
        <f>"38492022042510302037999"</f>
        <v>38492022042510302037999</v>
      </c>
      <c r="C2957" s="8" t="s">
        <v>24</v>
      </c>
      <c r="D2957" s="8" t="str">
        <f>"符嘉麟"</f>
        <v>符嘉麟</v>
      </c>
      <c r="E2957" s="8" t="str">
        <f t="shared" si="523"/>
        <v>男</v>
      </c>
    </row>
    <row r="2958" spans="1:5" ht="30" customHeight="1">
      <c r="A2958" s="8">
        <v>2955</v>
      </c>
      <c r="B2958" s="8" t="str">
        <f>"38492022042510351038006"</f>
        <v>38492022042510351038006</v>
      </c>
      <c r="C2958" s="8" t="s">
        <v>24</v>
      </c>
      <c r="D2958" s="8" t="str">
        <f>"符家鹏"</f>
        <v>符家鹏</v>
      </c>
      <c r="E2958" s="8" t="str">
        <f t="shared" si="523"/>
        <v>男</v>
      </c>
    </row>
    <row r="2959" spans="1:5" ht="30" customHeight="1">
      <c r="A2959" s="8">
        <v>2956</v>
      </c>
      <c r="B2959" s="8" t="str">
        <f>"38492022042510535838054"</f>
        <v>38492022042510535838054</v>
      </c>
      <c r="C2959" s="8" t="s">
        <v>24</v>
      </c>
      <c r="D2959" s="8" t="str">
        <f>"王仕平"</f>
        <v>王仕平</v>
      </c>
      <c r="E2959" s="8" t="str">
        <f t="shared" si="523"/>
        <v>男</v>
      </c>
    </row>
    <row r="2960" spans="1:5" ht="30" customHeight="1">
      <c r="A2960" s="8">
        <v>2957</v>
      </c>
      <c r="B2960" s="8" t="str">
        <f>"38492022042511224038110"</f>
        <v>38492022042511224038110</v>
      </c>
      <c r="C2960" s="8" t="s">
        <v>24</v>
      </c>
      <c r="D2960" s="8" t="str">
        <f>"符小微"</f>
        <v>符小微</v>
      </c>
      <c r="E2960" s="8" t="str">
        <f aca="true" t="shared" si="524" ref="E2960:E2963">"女"</f>
        <v>女</v>
      </c>
    </row>
    <row r="2961" spans="1:5" ht="30" customHeight="1">
      <c r="A2961" s="8">
        <v>2958</v>
      </c>
      <c r="B2961" s="8" t="str">
        <f>"38492022042512385738186"</f>
        <v>38492022042512385738186</v>
      </c>
      <c r="C2961" s="8" t="s">
        <v>24</v>
      </c>
      <c r="D2961" s="8" t="str">
        <f>"王刚"</f>
        <v>王刚</v>
      </c>
      <c r="E2961" s="8" t="str">
        <f aca="true" t="shared" si="525" ref="E2961:E2970">"男"</f>
        <v>男</v>
      </c>
    </row>
    <row r="2962" spans="1:5" ht="30" customHeight="1">
      <c r="A2962" s="8">
        <v>2959</v>
      </c>
      <c r="B2962" s="8" t="str">
        <f>"38492022042514531138309"</f>
        <v>38492022042514531138309</v>
      </c>
      <c r="C2962" s="8" t="s">
        <v>24</v>
      </c>
      <c r="D2962" s="8" t="str">
        <f>"许南娇"</f>
        <v>许南娇</v>
      </c>
      <c r="E2962" s="8" t="str">
        <f t="shared" si="524"/>
        <v>女</v>
      </c>
    </row>
    <row r="2963" spans="1:5" ht="30" customHeight="1">
      <c r="A2963" s="8">
        <v>2960</v>
      </c>
      <c r="B2963" s="8" t="str">
        <f>"38492022042517200738568"</f>
        <v>38492022042517200738568</v>
      </c>
      <c r="C2963" s="8" t="s">
        <v>24</v>
      </c>
      <c r="D2963" s="8" t="str">
        <f>"羊华"</f>
        <v>羊华</v>
      </c>
      <c r="E2963" s="8" t="str">
        <f t="shared" si="524"/>
        <v>女</v>
      </c>
    </row>
    <row r="2964" spans="1:5" ht="30" customHeight="1">
      <c r="A2964" s="8">
        <v>2961</v>
      </c>
      <c r="B2964" s="8" t="str">
        <f>"38492022042615215339683"</f>
        <v>38492022042615215339683</v>
      </c>
      <c r="C2964" s="8" t="s">
        <v>24</v>
      </c>
      <c r="D2964" s="8" t="str">
        <f>"符志鹏"</f>
        <v>符志鹏</v>
      </c>
      <c r="E2964" s="8" t="str">
        <f t="shared" si="525"/>
        <v>男</v>
      </c>
    </row>
    <row r="2965" spans="1:5" ht="30" customHeight="1">
      <c r="A2965" s="8">
        <v>2962</v>
      </c>
      <c r="B2965" s="8" t="str">
        <f>"38492022042615542339740"</f>
        <v>38492022042615542339740</v>
      </c>
      <c r="C2965" s="8" t="s">
        <v>24</v>
      </c>
      <c r="D2965" s="8" t="str">
        <f>"冯周宇"</f>
        <v>冯周宇</v>
      </c>
      <c r="E2965" s="8" t="str">
        <f t="shared" si="525"/>
        <v>男</v>
      </c>
    </row>
    <row r="2966" spans="1:5" ht="30" customHeight="1">
      <c r="A2966" s="8">
        <v>2963</v>
      </c>
      <c r="B2966" s="8" t="str">
        <f>"38492022042620093240106"</f>
        <v>38492022042620093240106</v>
      </c>
      <c r="C2966" s="8" t="s">
        <v>24</v>
      </c>
      <c r="D2966" s="8" t="str">
        <f>"黎永盛"</f>
        <v>黎永盛</v>
      </c>
      <c r="E2966" s="8" t="str">
        <f t="shared" si="525"/>
        <v>男</v>
      </c>
    </row>
    <row r="2967" spans="1:5" ht="30" customHeight="1">
      <c r="A2967" s="8">
        <v>2964</v>
      </c>
      <c r="B2967" s="8" t="str">
        <f>"38492022042621431840264"</f>
        <v>38492022042621431840264</v>
      </c>
      <c r="C2967" s="8" t="s">
        <v>24</v>
      </c>
      <c r="D2967" s="8" t="str">
        <f>"叶永恒"</f>
        <v>叶永恒</v>
      </c>
      <c r="E2967" s="8" t="str">
        <f t="shared" si="525"/>
        <v>男</v>
      </c>
    </row>
    <row r="2968" spans="1:5" ht="30" customHeight="1">
      <c r="A2968" s="8">
        <v>2965</v>
      </c>
      <c r="B2968" s="8" t="str">
        <f>"38492022042622332640349"</f>
        <v>38492022042622332640349</v>
      </c>
      <c r="C2968" s="8" t="s">
        <v>24</v>
      </c>
      <c r="D2968" s="8" t="str">
        <f>"陈太亨"</f>
        <v>陈太亨</v>
      </c>
      <c r="E2968" s="8" t="str">
        <f t="shared" si="525"/>
        <v>男</v>
      </c>
    </row>
    <row r="2969" spans="1:5" ht="30" customHeight="1">
      <c r="A2969" s="8">
        <v>2966</v>
      </c>
      <c r="B2969" s="8" t="str">
        <f>"38492022042710445341944"</f>
        <v>38492022042710445341944</v>
      </c>
      <c r="C2969" s="8" t="s">
        <v>24</v>
      </c>
      <c r="D2969" s="8" t="str">
        <f>"王定唐"</f>
        <v>王定唐</v>
      </c>
      <c r="E2969" s="8" t="str">
        <f t="shared" si="525"/>
        <v>男</v>
      </c>
    </row>
    <row r="2970" spans="1:5" ht="30" customHeight="1">
      <c r="A2970" s="8">
        <v>2967</v>
      </c>
      <c r="B2970" s="8" t="str">
        <f>"38492022042711423542416"</f>
        <v>38492022042711423542416</v>
      </c>
      <c r="C2970" s="8" t="s">
        <v>24</v>
      </c>
      <c r="D2970" s="8" t="str">
        <f>"符炳玮"</f>
        <v>符炳玮</v>
      </c>
      <c r="E2970" s="8" t="str">
        <f t="shared" si="525"/>
        <v>男</v>
      </c>
    </row>
  </sheetData>
  <sheetProtection password="FB3A" sheet="1" objects="1"/>
  <mergeCells count="2">
    <mergeCell ref="A1:E1"/>
    <mergeCell ref="A2:E2"/>
  </mergeCells>
  <printOptions/>
  <pageMargins left="0.75" right="0.75" top="0.5902777777777778" bottom="0.236111111111111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秋粟香</cp:lastModifiedBy>
  <dcterms:created xsi:type="dcterms:W3CDTF">2022-04-28T09:26:15Z</dcterms:created>
  <dcterms:modified xsi:type="dcterms:W3CDTF">2022-05-05T09:48:17Z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C375AE0B524046659FA1A85BD67E714E</vt:lpwstr>
  </property>
  <property fmtid="{D5CDD505-2E9C-101B-9397-08002B2CF9AE}" pid="4" name="KSOProductBuildV">
    <vt:lpwstr>2052-11.1.0.11636</vt:lpwstr>
  </property>
  <property fmtid="{D5CDD505-2E9C-101B-9397-08002B2CF9AE}" pid="5" name="KSOReadingLayo">
    <vt:bool>false</vt:bool>
  </property>
</Properties>
</file>