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05" yWindow="-105" windowWidth="21840" windowHeight="12570"/>
  </bookViews>
  <sheets>
    <sheet name="Sheet1" sheetId="3" r:id="rId1"/>
  </sheets>
  <calcPr calcId="12451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48" i="3"/>
  <c r="L47"/>
  <c r="L46"/>
  <c r="L45"/>
  <c r="F32" l="1"/>
  <c r="F33"/>
  <c r="F19"/>
  <c r="F20"/>
  <c r="F21"/>
  <c r="F22"/>
  <c r="F23"/>
  <c r="F24"/>
  <c r="F25"/>
  <c r="F26"/>
  <c r="F27"/>
  <c r="F28"/>
  <c r="F29"/>
  <c r="F30"/>
  <c r="F31"/>
  <c r="L44"/>
  <c r="L43"/>
  <c r="L42"/>
  <c r="L41"/>
  <c r="L40"/>
  <c r="L39"/>
  <c r="L38"/>
  <c r="L37"/>
  <c r="L36"/>
  <c r="L35"/>
  <c r="L34"/>
  <c r="L33"/>
  <c r="L31"/>
  <c r="L30"/>
  <c r="L29"/>
  <c r="L28"/>
  <c r="L27"/>
  <c r="L26"/>
  <c r="L25"/>
  <c r="L24"/>
  <c r="L23"/>
  <c r="L22"/>
  <c r="L21"/>
  <c r="L20"/>
  <c r="L19"/>
  <c r="L18"/>
  <c r="L17"/>
  <c r="L16"/>
  <c r="L15"/>
  <c r="L14"/>
  <c r="L13"/>
  <c r="L12"/>
  <c r="L11"/>
  <c r="L10"/>
  <c r="L9"/>
  <c r="L8"/>
  <c r="L7"/>
  <c r="L6"/>
  <c r="L5"/>
  <c r="L4"/>
  <c r="F17" l="1"/>
  <c r="F18"/>
  <c r="F6"/>
  <c r="F7"/>
  <c r="F8"/>
  <c r="F9"/>
  <c r="F10"/>
  <c r="F11"/>
  <c r="F12"/>
  <c r="F13"/>
  <c r="F14"/>
  <c r="F15"/>
  <c r="F16"/>
  <c r="F5"/>
  <c r="H44"/>
  <c r="G45"/>
  <c r="F45"/>
  <c r="G17" l="1"/>
  <c r="B17"/>
  <c r="G32" l="1"/>
  <c r="B32"/>
  <c r="F35" l="1"/>
  <c r="H35"/>
  <c r="G35"/>
  <c r="B35"/>
  <c r="H22"/>
  <c r="G22"/>
  <c r="B22"/>
  <c r="F43"/>
  <c r="H43"/>
  <c r="G43"/>
  <c r="B43"/>
  <c r="F41"/>
  <c r="H41"/>
  <c r="G41"/>
  <c r="B41"/>
  <c r="F42"/>
  <c r="H42"/>
  <c r="G42"/>
  <c r="B42"/>
  <c r="F40"/>
  <c r="H40"/>
  <c r="G40"/>
  <c r="B40"/>
  <c r="F39"/>
  <c r="H39"/>
  <c r="G39"/>
  <c r="B39"/>
  <c r="F38"/>
  <c r="H38"/>
  <c r="G38"/>
  <c r="B38"/>
  <c r="F37"/>
  <c r="H37"/>
  <c r="G37"/>
  <c r="B37"/>
  <c r="F36"/>
  <c r="H36"/>
  <c r="G36"/>
  <c r="B36"/>
  <c r="H27"/>
  <c r="G27"/>
  <c r="B27"/>
  <c r="H24"/>
  <c r="G24"/>
  <c r="B24"/>
  <c r="H26"/>
  <c r="G26"/>
  <c r="B26"/>
  <c r="H23"/>
  <c r="G23"/>
  <c r="B23"/>
  <c r="H25"/>
  <c r="G25"/>
  <c r="B25"/>
  <c r="F34"/>
  <c r="H34"/>
  <c r="G34"/>
  <c r="B34"/>
  <c r="H30"/>
  <c r="G30"/>
  <c r="B30"/>
  <c r="H28"/>
  <c r="G28"/>
  <c r="B28"/>
  <c r="H29"/>
  <c r="G29"/>
  <c r="B29"/>
  <c r="H31"/>
  <c r="G31"/>
  <c r="B31"/>
  <c r="H19"/>
  <c r="G19"/>
  <c r="B19"/>
  <c r="F48"/>
  <c r="H48"/>
  <c r="G48"/>
  <c r="B48"/>
  <c r="F47"/>
  <c r="H47"/>
  <c r="G47"/>
  <c r="B47"/>
  <c r="F46"/>
  <c r="H46"/>
  <c r="G46"/>
  <c r="B46"/>
  <c r="F44"/>
  <c r="G44"/>
  <c r="B44"/>
  <c r="H33"/>
  <c r="G33"/>
  <c r="B33"/>
  <c r="H21"/>
  <c r="G21"/>
  <c r="B21"/>
  <c r="H20"/>
  <c r="G20"/>
  <c r="B20"/>
  <c r="H18"/>
  <c r="G18"/>
  <c r="B18"/>
  <c r="H4"/>
  <c r="G4"/>
  <c r="B4"/>
  <c r="H5"/>
  <c r="G5"/>
  <c r="B5"/>
  <c r="H16"/>
  <c r="G16"/>
  <c r="B16"/>
  <c r="H12"/>
  <c r="G12"/>
  <c r="B12"/>
  <c r="H8"/>
  <c r="G8"/>
  <c r="B8"/>
  <c r="H14"/>
  <c r="G14"/>
  <c r="B14"/>
  <c r="H9"/>
  <c r="G9"/>
  <c r="B9"/>
  <c r="H10"/>
  <c r="G10"/>
  <c r="B10"/>
  <c r="H6"/>
  <c r="G6"/>
  <c r="B6"/>
  <c r="H7"/>
  <c r="G7"/>
  <c r="B7"/>
  <c r="H11"/>
  <c r="G11"/>
  <c r="B11"/>
  <c r="H13"/>
  <c r="G13"/>
  <c r="B13"/>
  <c r="H15"/>
  <c r="G15"/>
  <c r="B15"/>
</calcChain>
</file>

<file path=xl/sharedStrings.xml><?xml version="1.0" encoding="utf-8"?>
<sst xmlns="http://schemas.openxmlformats.org/spreadsheetml/2006/main" count="112" uniqueCount="35">
  <si>
    <t>所学专业</t>
    <phoneticPr fontId="18" type="noConversion"/>
  </si>
  <si>
    <t>中药学</t>
    <phoneticPr fontId="18" type="noConversion"/>
  </si>
  <si>
    <t>麻醉学</t>
    <phoneticPr fontId="18" type="noConversion"/>
  </si>
  <si>
    <t>录用单位</t>
    <phoneticPr fontId="18" type="noConversion"/>
  </si>
  <si>
    <t>来安县人民医院</t>
    <phoneticPr fontId="18" type="noConversion"/>
  </si>
  <si>
    <t>独山镇卫生院</t>
    <phoneticPr fontId="18" type="noConversion"/>
  </si>
  <si>
    <t>施官镇中心卫生院</t>
    <phoneticPr fontId="18" type="noConversion"/>
  </si>
  <si>
    <t>杨郢乡镇卫生院</t>
    <phoneticPr fontId="18" type="noConversion"/>
  </si>
  <si>
    <t>张琦</t>
    <phoneticPr fontId="18" type="noConversion"/>
  </si>
  <si>
    <t>半塔镇中心卫生院</t>
    <phoneticPr fontId="18" type="noConversion"/>
  </si>
  <si>
    <t>汊河镇中心卫生院</t>
    <phoneticPr fontId="18" type="noConversion"/>
  </si>
  <si>
    <t>水口镇中心卫生院</t>
    <phoneticPr fontId="18" type="noConversion"/>
  </si>
  <si>
    <t>雷官镇卫生院</t>
    <phoneticPr fontId="18" type="noConversion"/>
  </si>
  <si>
    <t>女</t>
    <phoneticPr fontId="18" type="noConversion"/>
  </si>
  <si>
    <t>来安县中医院</t>
    <phoneticPr fontId="18" type="noConversion"/>
  </si>
  <si>
    <t>男</t>
    <phoneticPr fontId="18" type="noConversion"/>
  </si>
  <si>
    <t>序号</t>
    <phoneticPr fontId="18" type="noConversion"/>
  </si>
  <si>
    <t>姓名</t>
    <phoneticPr fontId="18" type="noConversion"/>
  </si>
  <si>
    <t>性别</t>
    <phoneticPr fontId="18" type="noConversion"/>
  </si>
  <si>
    <t>毕业院校</t>
    <phoneticPr fontId="18" type="noConversion"/>
  </si>
  <si>
    <t>大英镇中心卫生院</t>
    <phoneticPr fontId="18" type="noConversion"/>
  </si>
  <si>
    <t>舜山镇卫生院</t>
    <phoneticPr fontId="18" type="noConversion"/>
  </si>
  <si>
    <t>临床医学</t>
    <phoneticPr fontId="18" type="noConversion"/>
  </si>
  <si>
    <t>出生年月</t>
    <phoneticPr fontId="18" type="noConversion"/>
  </si>
  <si>
    <t>199011</t>
    <phoneticPr fontId="18" type="noConversion"/>
  </si>
  <si>
    <t>报考岗位</t>
    <phoneticPr fontId="18" type="noConversion"/>
  </si>
  <si>
    <t>公共基础知识成绩</t>
    <phoneticPr fontId="27" type="noConversion"/>
  </si>
  <si>
    <t>专业知识成绩</t>
    <phoneticPr fontId="27" type="noConversion"/>
  </si>
  <si>
    <t>笔试成绩合成</t>
    <phoneticPr fontId="27" type="noConversion"/>
  </si>
  <si>
    <t>来安县卫生健康委员会</t>
    <phoneticPr fontId="18" type="noConversion"/>
  </si>
  <si>
    <t>学历（学位）</t>
    <phoneticPr fontId="18" type="noConversion"/>
  </si>
  <si>
    <t>研究生(硕士）</t>
    <phoneticPr fontId="18" type="noConversion"/>
  </si>
  <si>
    <t>2022年元月14日</t>
    <phoneticPr fontId="18" type="noConversion"/>
  </si>
  <si>
    <t xml:space="preserve">    根据《2021年来安县紧密型县域医共体公开招聘专业技术人员工作公告》规定，经笔试、资格复审、体检、考察等程序，现将拟聘用人员名单公示如下，公示时间1月14日-1月20日，公示期间接受社会监督，监督电话：0550-5617228、0550-5612330。</t>
    <phoneticPr fontId="18" type="noConversion"/>
  </si>
  <si>
    <t xml:space="preserve">2021年来安县紧密型县域医共体公开招聘专业技术人员拟聘用人员名单公示
</t>
    <phoneticPr fontId="18" type="noConversion"/>
  </si>
</sst>
</file>

<file path=xl/styles.xml><?xml version="1.0" encoding="utf-8"?>
<styleSheet xmlns="http://schemas.openxmlformats.org/spreadsheetml/2006/main">
  <fonts count="30">
    <font>
      <sz val="11"/>
      <color theme="1"/>
      <name val="等线"/>
      <family val="2"/>
      <charset val="134"/>
      <scheme val="minor"/>
    </font>
    <font>
      <sz val="11"/>
      <color theme="1"/>
      <name val="等线"/>
      <family val="2"/>
      <charset val="134"/>
      <scheme val="minor"/>
    </font>
    <font>
      <sz val="18"/>
      <color theme="3"/>
      <name val="等线 Light"/>
      <family val="2"/>
      <charset val="134"/>
      <scheme val="major"/>
    </font>
    <font>
      <b/>
      <sz val="15"/>
      <color theme="3"/>
      <name val="等线"/>
      <family val="2"/>
      <charset val="134"/>
      <scheme val="minor"/>
    </font>
    <font>
      <b/>
      <sz val="13"/>
      <color theme="3"/>
      <name val="等线"/>
      <family val="2"/>
      <charset val="134"/>
      <scheme val="minor"/>
    </font>
    <font>
      <b/>
      <sz val="11"/>
      <color theme="3"/>
      <name val="等线"/>
      <family val="2"/>
      <charset val="134"/>
      <scheme val="minor"/>
    </font>
    <font>
      <sz val="11"/>
      <color rgb="FF006100"/>
      <name val="等线"/>
      <family val="2"/>
      <charset val="134"/>
      <scheme val="minor"/>
    </font>
    <font>
      <sz val="11"/>
      <color rgb="FF9C0006"/>
      <name val="等线"/>
      <family val="2"/>
      <charset val="134"/>
      <scheme val="minor"/>
    </font>
    <font>
      <sz val="11"/>
      <color rgb="FF9C6500"/>
      <name val="等线"/>
      <family val="2"/>
      <charset val="134"/>
      <scheme val="minor"/>
    </font>
    <font>
      <sz val="11"/>
      <color rgb="FF3F3F76"/>
      <name val="等线"/>
      <family val="2"/>
      <charset val="134"/>
      <scheme val="minor"/>
    </font>
    <font>
      <b/>
      <sz val="11"/>
      <color rgb="FF3F3F3F"/>
      <name val="等线"/>
      <family val="2"/>
      <charset val="134"/>
      <scheme val="minor"/>
    </font>
    <font>
      <b/>
      <sz val="11"/>
      <color rgb="FFFA7D00"/>
      <name val="等线"/>
      <family val="2"/>
      <charset val="134"/>
      <scheme val="minor"/>
    </font>
    <font>
      <sz val="11"/>
      <color rgb="FFFA7D00"/>
      <name val="等线"/>
      <family val="2"/>
      <charset val="134"/>
      <scheme val="minor"/>
    </font>
    <font>
      <b/>
      <sz val="11"/>
      <color theme="0"/>
      <name val="等线"/>
      <family val="2"/>
      <charset val="134"/>
      <scheme val="minor"/>
    </font>
    <font>
      <sz val="11"/>
      <color rgb="FFFF0000"/>
      <name val="等线"/>
      <family val="2"/>
      <charset val="134"/>
      <scheme val="minor"/>
    </font>
    <font>
      <i/>
      <sz val="11"/>
      <color rgb="FF7F7F7F"/>
      <name val="等线"/>
      <family val="2"/>
      <charset val="134"/>
      <scheme val="minor"/>
    </font>
    <font>
      <b/>
      <sz val="11"/>
      <color theme="1"/>
      <name val="等线"/>
      <family val="2"/>
      <charset val="134"/>
      <scheme val="minor"/>
    </font>
    <font>
      <sz val="11"/>
      <color theme="0"/>
      <name val="等线"/>
      <family val="2"/>
      <charset val="134"/>
      <scheme val="minor"/>
    </font>
    <font>
      <sz val="9"/>
      <name val="等线"/>
      <family val="2"/>
      <charset val="134"/>
      <scheme val="minor"/>
    </font>
    <font>
      <sz val="10"/>
      <color theme="1"/>
      <name val="宋体"/>
      <family val="3"/>
      <charset val="134"/>
    </font>
    <font>
      <sz val="10"/>
      <color rgb="FFFF0000"/>
      <name val="宋体"/>
      <family val="3"/>
      <charset val="134"/>
    </font>
    <font>
      <sz val="12"/>
      <color theme="1"/>
      <name val="仿宋_GB2312"/>
      <family val="3"/>
      <charset val="134"/>
    </font>
    <font>
      <sz val="12"/>
      <name val="仿宋_GB2312"/>
      <family val="3"/>
      <charset val="134"/>
    </font>
    <font>
      <b/>
      <sz val="18"/>
      <color theme="1"/>
      <name val="宋体"/>
      <family val="3"/>
      <charset val="134"/>
    </font>
    <font>
      <b/>
      <sz val="18"/>
      <color theme="1"/>
      <name val="等线"/>
      <family val="2"/>
      <charset val="134"/>
      <scheme val="minor"/>
    </font>
    <font>
      <sz val="12"/>
      <color rgb="FF000000"/>
      <name val="仿宋_GB2312"/>
      <family val="3"/>
      <charset val="134"/>
    </font>
    <font>
      <sz val="10"/>
      <color indexed="8"/>
      <name val="宋体"/>
      <family val="3"/>
      <charset val="134"/>
    </font>
    <font>
      <sz val="9"/>
      <name val="宋体"/>
      <family val="3"/>
      <charset val="134"/>
    </font>
    <font>
      <sz val="10"/>
      <name val="宋体"/>
      <family val="3"/>
      <charset val="134"/>
    </font>
    <font>
      <sz val="14"/>
      <color theme="1"/>
      <name val="仿宋"/>
      <family val="3"/>
      <charset val="13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6">
    <xf numFmtId="0" fontId="0" fillId="0" borderId="0" xfId="0">
      <alignment vertical="center"/>
    </xf>
    <xf numFmtId="0" fontId="19" fillId="0" borderId="0" xfId="0" applyFont="1">
      <alignment vertical="center"/>
    </xf>
    <xf numFmtId="0" fontId="19" fillId="0" borderId="0" xfId="0" applyFont="1" applyAlignment="1">
      <alignment horizontal="center" vertical="center"/>
    </xf>
    <xf numFmtId="0" fontId="20" fillId="0" borderId="0" xfId="0" applyFont="1">
      <alignment vertical="center"/>
    </xf>
    <xf numFmtId="0" fontId="21" fillId="0" borderId="10" xfId="0" applyFont="1" applyBorder="1" applyAlignment="1">
      <alignment horizontal="center" vertical="center"/>
    </xf>
    <xf numFmtId="0" fontId="22" fillId="0" borderId="10" xfId="0" applyFont="1" applyBorder="1" applyAlignment="1">
      <alignment horizontal="center" vertical="center"/>
    </xf>
    <xf numFmtId="0" fontId="21" fillId="0" borderId="10" xfId="0" applyFont="1" applyBorder="1" applyAlignment="1">
      <alignment horizontal="center" vertical="center" wrapText="1"/>
    </xf>
    <xf numFmtId="0" fontId="21" fillId="0" borderId="10" xfId="0" applyFont="1" applyBorder="1">
      <alignment vertical="center"/>
    </xf>
    <xf numFmtId="0" fontId="25" fillId="0" borderId="10" xfId="0" applyFont="1" applyBorder="1" applyAlignment="1">
      <alignment horizontal="center" vertical="center" wrapText="1"/>
    </xf>
    <xf numFmtId="49" fontId="25" fillId="0" borderId="10" xfId="0" applyNumberFormat="1" applyFont="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Border="1" applyAlignment="1">
      <alignment horizontal="center" vertical="center" wrapText="1"/>
    </xf>
    <xf numFmtId="0" fontId="21" fillId="0" borderId="10" xfId="0" applyFont="1" applyFill="1" applyBorder="1" applyAlignment="1">
      <alignment horizontal="center" vertical="center"/>
    </xf>
    <xf numFmtId="0" fontId="22" fillId="0" borderId="10" xfId="0" applyFont="1" applyFill="1" applyBorder="1" applyAlignment="1">
      <alignment horizontal="center" vertical="center"/>
    </xf>
    <xf numFmtId="0" fontId="28" fillId="0" borderId="10" xfId="0" applyFont="1" applyBorder="1" applyAlignment="1">
      <alignment horizontal="center" vertical="center"/>
    </xf>
    <xf numFmtId="0" fontId="28" fillId="0" borderId="10" xfId="0" applyFont="1" applyFill="1" applyBorder="1" applyAlignment="1">
      <alignment horizontal="center" vertical="center"/>
    </xf>
    <xf numFmtId="0" fontId="29" fillId="0" borderId="11" xfId="0" applyFont="1" applyBorder="1" applyAlignment="1">
      <alignment horizontal="left" vertical="center" wrapText="1"/>
    </xf>
    <xf numFmtId="0" fontId="0" fillId="0" borderId="11" xfId="0" applyFont="1" applyBorder="1" applyAlignment="1">
      <alignment horizontal="left" vertical="center" wrapText="1"/>
    </xf>
    <xf numFmtId="0" fontId="0" fillId="0" borderId="11" xfId="0" applyFont="1" applyBorder="1" applyAlignment="1">
      <alignment horizontal="left" vertical="center"/>
    </xf>
    <xf numFmtId="0" fontId="19" fillId="0" borderId="12" xfId="0" applyFont="1" applyBorder="1" applyAlignment="1">
      <alignment horizontal="right" vertical="center"/>
    </xf>
    <xf numFmtId="0" fontId="23" fillId="0" borderId="0" xfId="0" applyFont="1" applyBorder="1" applyAlignment="1">
      <alignment horizontal="center" vertical="center" wrapText="1"/>
    </xf>
    <xf numFmtId="0" fontId="23" fillId="0" borderId="0" xfId="0" applyFont="1" applyBorder="1" applyAlignment="1">
      <alignment horizontal="center" vertical="center"/>
    </xf>
    <xf numFmtId="0" fontId="24"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19" fillId="0" borderId="0" xfId="0" applyFont="1" applyAlignment="1">
      <alignment horizontal="right" vertical="center"/>
    </xf>
  </cellXfs>
  <cellStyles count="42">
    <cellStyle name="20% - 强调文字颜色 1" xfId="19" builtinId="30" customBuiltin="1"/>
    <cellStyle name="20% - 强调文字颜色 2" xfId="23" builtinId="34" customBuiltin="1"/>
    <cellStyle name="20% - 强调文字颜色 3" xfId="27" builtinId="38" customBuiltin="1"/>
    <cellStyle name="20% - 强调文字颜色 4" xfId="31" builtinId="42" customBuiltin="1"/>
    <cellStyle name="20% - 强调文字颜色 5" xfId="35" builtinId="46" customBuiltin="1"/>
    <cellStyle name="20% - 强调文字颜色 6" xfId="39" builtinId="50" customBuiltin="1"/>
    <cellStyle name="40% - 强调文字颜色 1" xfId="20" builtinId="31" customBuiltin="1"/>
    <cellStyle name="40% - 强调文字颜色 2" xfId="24" builtinId="35" customBuiltin="1"/>
    <cellStyle name="40% - 强调文字颜色 3" xfId="28" builtinId="39" customBuiltin="1"/>
    <cellStyle name="40% - 强调文字颜色 4" xfId="32" builtinId="43" customBuiltin="1"/>
    <cellStyle name="40% - 强调文字颜色 5" xfId="36" builtinId="47" customBuiltin="1"/>
    <cellStyle name="40% - 强调文字颜色 6" xfId="40" builtinId="51" customBuiltin="1"/>
    <cellStyle name="60% - 强调文字颜色 1" xfId="21" builtinId="32" customBuiltin="1"/>
    <cellStyle name="60% - 强调文字颜色 2" xfId="25" builtinId="36" customBuiltin="1"/>
    <cellStyle name="60% - 强调文字颜色 3" xfId="29" builtinId="40" customBuiltin="1"/>
    <cellStyle name="60% - 强调文字颜色 4" xfId="33" builtinId="44" customBuiltin="1"/>
    <cellStyle name="60% - 强调文字颜色 5" xfId="37" builtinId="48" customBuiltin="1"/>
    <cellStyle name="60% - 强调文字颜色 6" xfId="41"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ellStyle name="好" xfId="6" builtinId="26" customBuiltin="1"/>
    <cellStyle name="汇总" xfId="17" builtinId="25" customBuiltin="1"/>
    <cellStyle name="计算" xfId="11" builtinId="22" customBuiltin="1"/>
    <cellStyle name="检查单元格" xfId="13" builtinId="23" customBuiltin="1"/>
    <cellStyle name="解释性文本" xfId="16" builtinId="53" customBuiltin="1"/>
    <cellStyle name="警告文本" xfId="14" builtinId="11" customBuiltin="1"/>
    <cellStyle name="链接单元格" xfId="12" builtinId="24" customBuiltin="1"/>
    <cellStyle name="强调文字颜色 1" xfId="18" builtinId="29" customBuiltin="1"/>
    <cellStyle name="强调文字颜色 2" xfId="22" builtinId="33" customBuiltin="1"/>
    <cellStyle name="强调文字颜色 3" xfId="26" builtinId="37" customBuiltin="1"/>
    <cellStyle name="强调文字颜色 4" xfId="30" builtinId="41" customBuiltin="1"/>
    <cellStyle name="强调文字颜色 5" xfId="34" builtinId="45" customBuiltin="1"/>
    <cellStyle name="强调文字颜色 6" xfId="38" builtinId="49" customBuiltin="1"/>
    <cellStyle name="适中" xfId="8" builtinId="28" customBuiltin="1"/>
    <cellStyle name="输出" xfId="10" builtinId="21" customBuiltin="1"/>
    <cellStyle name="输入" xfId="9" builtinId="20" customBuiltin="1"/>
    <cellStyle name="注释" xfId="15"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50"/>
  <sheetViews>
    <sheetView tabSelected="1" topLeftCell="A7" workbookViewId="0">
      <selection activeCell="O5" sqref="O5"/>
    </sheetView>
  </sheetViews>
  <sheetFormatPr defaultColWidth="9" defaultRowHeight="26.25" customHeight="1"/>
  <cols>
    <col min="1" max="1" width="4.5" style="1" customWidth="1"/>
    <col min="2" max="2" width="6.875" style="2" customWidth="1"/>
    <col min="3" max="3" width="4.875" style="2" customWidth="1"/>
    <col min="4" max="4" width="8.75" style="1" customWidth="1"/>
    <col min="5" max="5" width="11" style="1" customWidth="1"/>
    <col min="6" max="6" width="13.375" style="1" customWidth="1"/>
    <col min="7" max="7" width="21.375" style="1" customWidth="1"/>
    <col min="8" max="8" width="10.25" style="1" customWidth="1"/>
    <col min="9" max="9" width="16.5" style="1" customWidth="1"/>
    <col min="10" max="10" width="8" style="1" customWidth="1"/>
    <col min="11" max="11" width="6.25" style="1" customWidth="1"/>
    <col min="12" max="12" width="8.25" style="1" customWidth="1"/>
    <col min="13" max="16384" width="9" style="1"/>
  </cols>
  <sheetData>
    <row r="1" spans="1:12" ht="30" customHeight="1">
      <c r="A1" s="20" t="s">
        <v>34</v>
      </c>
      <c r="B1" s="21"/>
      <c r="C1" s="21"/>
      <c r="D1" s="21"/>
      <c r="E1" s="21"/>
      <c r="F1" s="21"/>
      <c r="G1" s="21"/>
      <c r="H1" s="21"/>
      <c r="I1" s="22"/>
      <c r="J1" s="23"/>
      <c r="K1" s="23"/>
      <c r="L1" s="24"/>
    </row>
    <row r="2" spans="1:12" ht="85.5" customHeight="1">
      <c r="A2" s="16" t="s">
        <v>33</v>
      </c>
      <c r="B2" s="17"/>
      <c r="C2" s="17"/>
      <c r="D2" s="17"/>
      <c r="E2" s="17"/>
      <c r="F2" s="17"/>
      <c r="G2" s="17"/>
      <c r="H2" s="17"/>
      <c r="I2" s="17"/>
      <c r="J2" s="17"/>
      <c r="K2" s="17"/>
      <c r="L2" s="18"/>
    </row>
    <row r="3" spans="1:12" ht="30" customHeight="1">
      <c r="A3" s="4" t="s">
        <v>16</v>
      </c>
      <c r="B3" s="4" t="s">
        <v>17</v>
      </c>
      <c r="C3" s="6" t="s">
        <v>18</v>
      </c>
      <c r="D3" s="4" t="s">
        <v>23</v>
      </c>
      <c r="E3" s="4" t="s">
        <v>25</v>
      </c>
      <c r="F3" s="4" t="s">
        <v>30</v>
      </c>
      <c r="G3" s="4" t="s">
        <v>19</v>
      </c>
      <c r="H3" s="4" t="s">
        <v>0</v>
      </c>
      <c r="I3" s="4" t="s">
        <v>3</v>
      </c>
      <c r="J3" s="10" t="s">
        <v>26</v>
      </c>
      <c r="K3" s="11" t="s">
        <v>27</v>
      </c>
      <c r="L3" s="11" t="s">
        <v>28</v>
      </c>
    </row>
    <row r="4" spans="1:12" ht="26.25" customHeight="1">
      <c r="A4" s="4">
        <v>1</v>
      </c>
      <c r="B4" s="4" t="str">
        <f>"李大乐"</f>
        <v>李大乐</v>
      </c>
      <c r="C4" s="4" t="s">
        <v>15</v>
      </c>
      <c r="D4" s="4">
        <v>198707</v>
      </c>
      <c r="E4" s="4">
        <v>20210001</v>
      </c>
      <c r="F4" s="4" t="s">
        <v>31</v>
      </c>
      <c r="G4" s="4" t="str">
        <f>"南昌大学"</f>
        <v>南昌大学</v>
      </c>
      <c r="H4" s="4" t="str">
        <f>"内科学"</f>
        <v>内科学</v>
      </c>
      <c r="I4" s="7" t="s">
        <v>4</v>
      </c>
      <c r="J4" s="4">
        <v>68</v>
      </c>
      <c r="K4" s="12">
        <v>71</v>
      </c>
      <c r="L4" s="4">
        <f t="shared" ref="L4:L17" si="0">J4*0.4+K4*0.6</f>
        <v>69.800000000000011</v>
      </c>
    </row>
    <row r="5" spans="1:12" ht="26.25" customHeight="1">
      <c r="A5" s="4">
        <v>2</v>
      </c>
      <c r="B5" s="4" t="str">
        <f>"周根宝"</f>
        <v>周根宝</v>
      </c>
      <c r="C5" s="4" t="s">
        <v>15</v>
      </c>
      <c r="D5" s="4">
        <v>199312</v>
      </c>
      <c r="E5" s="4">
        <v>20210001</v>
      </c>
      <c r="F5" s="4" t="str">
        <f>"本科（学士）"</f>
        <v>本科（学士）</v>
      </c>
      <c r="G5" s="4" t="str">
        <f>"皖南医学院"</f>
        <v>皖南医学院</v>
      </c>
      <c r="H5" s="4" t="str">
        <f t="shared" ref="H5:H16" si="1">"临床医学"</f>
        <v>临床医学</v>
      </c>
      <c r="I5" s="7" t="s">
        <v>4</v>
      </c>
      <c r="J5" s="4">
        <v>55</v>
      </c>
      <c r="K5" s="12">
        <v>73</v>
      </c>
      <c r="L5" s="4">
        <f t="shared" si="0"/>
        <v>65.8</v>
      </c>
    </row>
    <row r="6" spans="1:12" ht="26.25" customHeight="1">
      <c r="A6" s="4">
        <v>3</v>
      </c>
      <c r="B6" s="4" t="str">
        <f>"刘开艳"</f>
        <v>刘开艳</v>
      </c>
      <c r="C6" s="4" t="s">
        <v>13</v>
      </c>
      <c r="D6" s="4">
        <v>199607</v>
      </c>
      <c r="E6" s="4">
        <v>20210001</v>
      </c>
      <c r="F6" s="4" t="str">
        <f t="shared" ref="F6:F33" si="2">"本科（学士）"</f>
        <v>本科（学士）</v>
      </c>
      <c r="G6" s="4" t="str">
        <f>"延边大学"</f>
        <v>延边大学</v>
      </c>
      <c r="H6" s="4" t="str">
        <f t="shared" si="1"/>
        <v>临床医学</v>
      </c>
      <c r="I6" s="7" t="s">
        <v>4</v>
      </c>
      <c r="J6" s="4">
        <v>65</v>
      </c>
      <c r="K6" s="12">
        <v>64</v>
      </c>
      <c r="L6" s="4">
        <f t="shared" si="0"/>
        <v>64.400000000000006</v>
      </c>
    </row>
    <row r="7" spans="1:12" ht="26.25" customHeight="1">
      <c r="A7" s="4">
        <v>4</v>
      </c>
      <c r="B7" s="4" t="str">
        <f>"陈天宇"</f>
        <v>陈天宇</v>
      </c>
      <c r="C7" s="4" t="s">
        <v>15</v>
      </c>
      <c r="D7" s="4">
        <v>199309</v>
      </c>
      <c r="E7" s="4">
        <v>20210001</v>
      </c>
      <c r="F7" s="4" t="str">
        <f t="shared" si="2"/>
        <v>本科（学士）</v>
      </c>
      <c r="G7" s="4" t="str">
        <f>"安徽医科大学"</f>
        <v>安徽医科大学</v>
      </c>
      <c r="H7" s="4" t="str">
        <f t="shared" si="1"/>
        <v>临床医学</v>
      </c>
      <c r="I7" s="7" t="s">
        <v>4</v>
      </c>
      <c r="J7" s="4">
        <v>66</v>
      </c>
      <c r="K7" s="12">
        <v>61</v>
      </c>
      <c r="L7" s="4">
        <f t="shared" si="0"/>
        <v>63</v>
      </c>
    </row>
    <row r="8" spans="1:12" ht="26.25" customHeight="1">
      <c r="A8" s="4">
        <v>5</v>
      </c>
      <c r="B8" s="4" t="str">
        <f>"杨敏"</f>
        <v>杨敏</v>
      </c>
      <c r="C8" s="4" t="s">
        <v>13</v>
      </c>
      <c r="D8" s="4">
        <v>199604</v>
      </c>
      <c r="E8" s="4">
        <v>20210001</v>
      </c>
      <c r="F8" s="4" t="str">
        <f t="shared" si="2"/>
        <v>本科（学士）</v>
      </c>
      <c r="G8" s="4" t="str">
        <f>"蚌埠医学院"</f>
        <v>蚌埠医学院</v>
      </c>
      <c r="H8" s="4" t="str">
        <f t="shared" si="1"/>
        <v>临床医学</v>
      </c>
      <c r="I8" s="7" t="s">
        <v>4</v>
      </c>
      <c r="J8" s="4">
        <v>65</v>
      </c>
      <c r="K8" s="12">
        <v>61</v>
      </c>
      <c r="L8" s="4">
        <f t="shared" si="0"/>
        <v>62.6</v>
      </c>
    </row>
    <row r="9" spans="1:12" ht="26.25" customHeight="1">
      <c r="A9" s="4">
        <v>6</v>
      </c>
      <c r="B9" s="5" t="str">
        <f>"杨晗"</f>
        <v>杨晗</v>
      </c>
      <c r="C9" s="5" t="s">
        <v>13</v>
      </c>
      <c r="D9" s="5">
        <v>199701</v>
      </c>
      <c r="E9" s="5">
        <v>20210001</v>
      </c>
      <c r="F9" s="4" t="str">
        <f t="shared" si="2"/>
        <v>本科（学士）</v>
      </c>
      <c r="G9" s="5" t="str">
        <f>"蚌埠医学院"</f>
        <v>蚌埠医学院</v>
      </c>
      <c r="H9" s="5" t="str">
        <f t="shared" si="1"/>
        <v>临床医学</v>
      </c>
      <c r="I9" s="7" t="s">
        <v>4</v>
      </c>
      <c r="J9" s="5">
        <v>56</v>
      </c>
      <c r="K9" s="13">
        <v>67</v>
      </c>
      <c r="L9" s="4">
        <f t="shared" si="0"/>
        <v>62.599999999999994</v>
      </c>
    </row>
    <row r="10" spans="1:12" ht="26.25" customHeight="1">
      <c r="A10" s="4">
        <v>7</v>
      </c>
      <c r="B10" s="4" t="str">
        <f>"方祥"</f>
        <v>方祥</v>
      </c>
      <c r="C10" s="4" t="s">
        <v>15</v>
      </c>
      <c r="D10" s="4">
        <v>198708</v>
      </c>
      <c r="E10" s="4">
        <v>20210001</v>
      </c>
      <c r="F10" s="4" t="str">
        <f t="shared" si="2"/>
        <v>本科（学士）</v>
      </c>
      <c r="G10" s="4" t="str">
        <f>"蚌埠医学院"</f>
        <v>蚌埠医学院</v>
      </c>
      <c r="H10" s="4" t="str">
        <f t="shared" si="1"/>
        <v>临床医学</v>
      </c>
      <c r="I10" s="7" t="s">
        <v>4</v>
      </c>
      <c r="J10" s="4">
        <v>58</v>
      </c>
      <c r="K10" s="12">
        <v>64</v>
      </c>
      <c r="L10" s="4">
        <f t="shared" si="0"/>
        <v>61.6</v>
      </c>
    </row>
    <row r="11" spans="1:12" s="3" customFormat="1" ht="26.25" customHeight="1">
      <c r="A11" s="4">
        <v>8</v>
      </c>
      <c r="B11" s="4" t="str">
        <f>"杨加胜"</f>
        <v>杨加胜</v>
      </c>
      <c r="C11" s="5" t="s">
        <v>15</v>
      </c>
      <c r="D11" s="4">
        <v>199201</v>
      </c>
      <c r="E11" s="4">
        <v>20210001</v>
      </c>
      <c r="F11" s="4" t="str">
        <f t="shared" si="2"/>
        <v>本科（学士）</v>
      </c>
      <c r="G11" s="4" t="str">
        <f>"安徽省医科大学"</f>
        <v>安徽省医科大学</v>
      </c>
      <c r="H11" s="4" t="str">
        <f t="shared" si="1"/>
        <v>临床医学</v>
      </c>
      <c r="I11" s="7" t="s">
        <v>4</v>
      </c>
      <c r="J11" s="4">
        <v>55</v>
      </c>
      <c r="K11" s="12">
        <v>64</v>
      </c>
      <c r="L11" s="4">
        <f t="shared" si="0"/>
        <v>60.4</v>
      </c>
    </row>
    <row r="12" spans="1:12" ht="26.25" customHeight="1">
      <c r="A12" s="4">
        <v>9</v>
      </c>
      <c r="B12" s="4" t="str">
        <f>"李志伟"</f>
        <v>李志伟</v>
      </c>
      <c r="C12" s="4" t="s">
        <v>15</v>
      </c>
      <c r="D12" s="4">
        <v>198804</v>
      </c>
      <c r="E12" s="4">
        <v>20210001</v>
      </c>
      <c r="F12" s="4" t="str">
        <f t="shared" si="2"/>
        <v>本科（学士）</v>
      </c>
      <c r="G12" s="4" t="str">
        <f>"安徽医科大学"</f>
        <v>安徽医科大学</v>
      </c>
      <c r="H12" s="4" t="str">
        <f t="shared" si="1"/>
        <v>临床医学</v>
      </c>
      <c r="I12" s="7" t="s">
        <v>4</v>
      </c>
      <c r="J12" s="4">
        <v>57</v>
      </c>
      <c r="K12" s="12">
        <v>62</v>
      </c>
      <c r="L12" s="4">
        <f t="shared" si="0"/>
        <v>60</v>
      </c>
    </row>
    <row r="13" spans="1:12" ht="26.25" customHeight="1">
      <c r="A13" s="4">
        <v>10</v>
      </c>
      <c r="B13" s="4" t="str">
        <f>"周品"</f>
        <v>周品</v>
      </c>
      <c r="C13" s="5" t="s">
        <v>15</v>
      </c>
      <c r="D13" s="4">
        <v>199701</v>
      </c>
      <c r="E13" s="4">
        <v>20210001</v>
      </c>
      <c r="F13" s="4" t="str">
        <f t="shared" si="2"/>
        <v>本科（学士）</v>
      </c>
      <c r="G13" s="4" t="str">
        <f>"蚌埠医学院"</f>
        <v>蚌埠医学院</v>
      </c>
      <c r="H13" s="4" t="str">
        <f t="shared" si="1"/>
        <v>临床医学</v>
      </c>
      <c r="I13" s="7" t="s">
        <v>4</v>
      </c>
      <c r="J13" s="4">
        <v>64</v>
      </c>
      <c r="K13" s="12">
        <v>52</v>
      </c>
      <c r="L13" s="4">
        <f t="shared" si="0"/>
        <v>56.8</v>
      </c>
    </row>
    <row r="14" spans="1:12" ht="26.25" customHeight="1">
      <c r="A14" s="4">
        <v>11</v>
      </c>
      <c r="B14" s="4" t="str">
        <f>"汤学茹"</f>
        <v>汤学茹</v>
      </c>
      <c r="C14" s="4" t="s">
        <v>13</v>
      </c>
      <c r="D14" s="4">
        <v>199502</v>
      </c>
      <c r="E14" s="4">
        <v>20210001</v>
      </c>
      <c r="F14" s="4" t="str">
        <f t="shared" si="2"/>
        <v>本科（学士）</v>
      </c>
      <c r="G14" s="4" t="str">
        <f>"蚌埠医学院"</f>
        <v>蚌埠医学院</v>
      </c>
      <c r="H14" s="4" t="str">
        <f t="shared" si="1"/>
        <v>临床医学</v>
      </c>
      <c r="I14" s="7" t="s">
        <v>4</v>
      </c>
      <c r="J14" s="4">
        <v>52</v>
      </c>
      <c r="K14" s="12">
        <v>60</v>
      </c>
      <c r="L14" s="4">
        <f t="shared" si="0"/>
        <v>56.8</v>
      </c>
    </row>
    <row r="15" spans="1:12" ht="26.25" customHeight="1">
      <c r="A15" s="4">
        <v>12</v>
      </c>
      <c r="B15" s="4" t="str">
        <f>"周瑞"</f>
        <v>周瑞</v>
      </c>
      <c r="C15" s="4" t="s">
        <v>15</v>
      </c>
      <c r="D15" s="4">
        <v>199606</v>
      </c>
      <c r="E15" s="4">
        <v>20210001</v>
      </c>
      <c r="F15" s="4" t="str">
        <f t="shared" si="2"/>
        <v>本科（学士）</v>
      </c>
      <c r="G15" s="4" t="str">
        <f>"皖南医学院"</f>
        <v>皖南医学院</v>
      </c>
      <c r="H15" s="4" t="str">
        <f t="shared" si="1"/>
        <v>临床医学</v>
      </c>
      <c r="I15" s="7" t="s">
        <v>4</v>
      </c>
      <c r="J15" s="4">
        <v>62</v>
      </c>
      <c r="K15" s="12">
        <v>52</v>
      </c>
      <c r="L15" s="4">
        <f t="shared" si="0"/>
        <v>56</v>
      </c>
    </row>
    <row r="16" spans="1:12" ht="26.25" customHeight="1">
      <c r="A16" s="4">
        <v>13</v>
      </c>
      <c r="B16" s="4" t="str">
        <f>"王辉"</f>
        <v>王辉</v>
      </c>
      <c r="C16" s="4" t="s">
        <v>15</v>
      </c>
      <c r="D16" s="4">
        <v>199303</v>
      </c>
      <c r="E16" s="4">
        <v>20210001</v>
      </c>
      <c r="F16" s="4" t="str">
        <f t="shared" si="2"/>
        <v>本科（学士）</v>
      </c>
      <c r="G16" s="4" t="str">
        <f>"安徽医科大学"</f>
        <v>安徽医科大学</v>
      </c>
      <c r="H16" s="4" t="str">
        <f t="shared" si="1"/>
        <v>临床医学</v>
      </c>
      <c r="I16" s="7" t="s">
        <v>4</v>
      </c>
      <c r="J16" s="4">
        <v>58</v>
      </c>
      <c r="K16" s="12">
        <v>53</v>
      </c>
      <c r="L16" s="4">
        <f t="shared" si="0"/>
        <v>55</v>
      </c>
    </row>
    <row r="17" spans="1:12" ht="26.25" customHeight="1">
      <c r="A17" s="4">
        <v>14</v>
      </c>
      <c r="B17" s="4" t="str">
        <f>"陈威"</f>
        <v>陈威</v>
      </c>
      <c r="C17" s="4" t="s">
        <v>15</v>
      </c>
      <c r="D17" s="4">
        <v>199310</v>
      </c>
      <c r="E17" s="4">
        <v>20210002</v>
      </c>
      <c r="F17" s="4" t="str">
        <f t="shared" si="2"/>
        <v>本科（学士）</v>
      </c>
      <c r="G17" s="4" t="str">
        <f>"徐州医科大学"</f>
        <v>徐州医科大学</v>
      </c>
      <c r="H17" s="4" t="s">
        <v>2</v>
      </c>
      <c r="I17" s="7" t="s">
        <v>4</v>
      </c>
      <c r="J17" s="4">
        <v>68</v>
      </c>
      <c r="K17" s="12">
        <v>71</v>
      </c>
      <c r="L17" s="4">
        <f t="shared" si="0"/>
        <v>69.800000000000011</v>
      </c>
    </row>
    <row r="18" spans="1:12" ht="26.25" customHeight="1">
      <c r="A18" s="4">
        <v>15</v>
      </c>
      <c r="B18" s="4" t="str">
        <f>"余婷"</f>
        <v>余婷</v>
      </c>
      <c r="C18" s="4" t="s">
        <v>13</v>
      </c>
      <c r="D18" s="4">
        <v>199311</v>
      </c>
      <c r="E18" s="4">
        <v>20210003</v>
      </c>
      <c r="F18" s="4" t="str">
        <f t="shared" si="2"/>
        <v>本科（学士）</v>
      </c>
      <c r="G18" s="4" t="str">
        <f>"长沙医学院"</f>
        <v>长沙医学院</v>
      </c>
      <c r="H18" s="4" t="str">
        <f>"口腔医学"</f>
        <v>口腔医学</v>
      </c>
      <c r="I18" s="7" t="s">
        <v>4</v>
      </c>
      <c r="J18" s="4">
        <v>65</v>
      </c>
      <c r="K18" s="12">
        <v>60</v>
      </c>
      <c r="L18" s="4">
        <f>J18*0.4+K18*0.6</f>
        <v>62</v>
      </c>
    </row>
    <row r="19" spans="1:12" ht="26.25" customHeight="1">
      <c r="A19" s="4">
        <v>16</v>
      </c>
      <c r="B19" s="4" t="str">
        <f>"潘子健"</f>
        <v>潘子健</v>
      </c>
      <c r="C19" s="4" t="s">
        <v>15</v>
      </c>
      <c r="D19" s="4">
        <v>199404</v>
      </c>
      <c r="E19" s="4">
        <v>20210004</v>
      </c>
      <c r="F19" s="4" t="str">
        <f t="shared" si="2"/>
        <v>本科（学士）</v>
      </c>
      <c r="G19" s="6" t="str">
        <f>"辽宁中医药大学杏林学院"</f>
        <v>辽宁中医药大学杏林学院</v>
      </c>
      <c r="H19" s="6" t="str">
        <f>"中西医临床医学"</f>
        <v>中西医临床医学</v>
      </c>
      <c r="I19" s="7" t="s">
        <v>4</v>
      </c>
      <c r="J19" s="4">
        <v>55</v>
      </c>
      <c r="K19" s="4">
        <v>83</v>
      </c>
      <c r="L19" s="4">
        <f>J19*0.4+K19*0.6</f>
        <v>71.8</v>
      </c>
    </row>
    <row r="20" spans="1:12" ht="26.25" customHeight="1">
      <c r="A20" s="4">
        <v>17</v>
      </c>
      <c r="B20" s="4" t="str">
        <f>"张小寒"</f>
        <v>张小寒</v>
      </c>
      <c r="C20" s="4" t="s">
        <v>15</v>
      </c>
      <c r="D20" s="4">
        <v>199711</v>
      </c>
      <c r="E20" s="4">
        <v>20210005</v>
      </c>
      <c r="F20" s="4" t="str">
        <f t="shared" si="2"/>
        <v>本科（学士）</v>
      </c>
      <c r="G20" s="4" t="str">
        <f>"皖南医学院"</f>
        <v>皖南医学院</v>
      </c>
      <c r="H20" s="4" t="str">
        <f>"医学影像学"</f>
        <v>医学影像学</v>
      </c>
      <c r="I20" s="7" t="s">
        <v>4</v>
      </c>
      <c r="J20" s="4">
        <v>54</v>
      </c>
      <c r="K20" s="12">
        <v>66</v>
      </c>
      <c r="L20" s="4">
        <f>J20*0.4+K20*0.6</f>
        <v>61.2</v>
      </c>
    </row>
    <row r="21" spans="1:12" ht="26.25" customHeight="1">
      <c r="A21" s="4">
        <v>18</v>
      </c>
      <c r="B21" s="4" t="str">
        <f>"刘子安"</f>
        <v>刘子安</v>
      </c>
      <c r="C21" s="4" t="s">
        <v>15</v>
      </c>
      <c r="D21" s="4">
        <v>199602</v>
      </c>
      <c r="E21" s="4">
        <v>20210007</v>
      </c>
      <c r="F21" s="4" t="str">
        <f t="shared" si="2"/>
        <v>本科（学士）</v>
      </c>
      <c r="G21" s="4" t="str">
        <f>"皖南医学院"</f>
        <v>皖南医学院</v>
      </c>
      <c r="H21" s="4" t="str">
        <f>"医学影像学"</f>
        <v>医学影像学</v>
      </c>
      <c r="I21" s="7" t="s">
        <v>4</v>
      </c>
      <c r="J21" s="4">
        <v>61</v>
      </c>
      <c r="K21" s="12">
        <v>46</v>
      </c>
      <c r="L21" s="4">
        <f>J21*0.4+K21*0.6</f>
        <v>52</v>
      </c>
    </row>
    <row r="22" spans="1:12" ht="26.25" customHeight="1">
      <c r="A22" s="4">
        <v>19</v>
      </c>
      <c r="B22" s="4" t="str">
        <f>"祖杰"</f>
        <v>祖杰</v>
      </c>
      <c r="C22" s="4" t="s">
        <v>15</v>
      </c>
      <c r="D22" s="4">
        <v>199806</v>
      </c>
      <c r="E22" s="4">
        <v>20210008</v>
      </c>
      <c r="F22" s="4" t="str">
        <f t="shared" si="2"/>
        <v>本科（学士）</v>
      </c>
      <c r="G22" s="4" t="str">
        <f>"安徽医科大学"</f>
        <v>安徽医科大学</v>
      </c>
      <c r="H22" s="4" t="str">
        <f>"临床药学"</f>
        <v>临床药学</v>
      </c>
      <c r="I22" s="7" t="s">
        <v>4</v>
      </c>
      <c r="J22" s="4">
        <v>76</v>
      </c>
      <c r="K22" s="4">
        <v>72</v>
      </c>
      <c r="L22" s="4">
        <f>J22*0.4+K22*0.6</f>
        <v>73.599999999999994</v>
      </c>
    </row>
    <row r="23" spans="1:12" ht="26.25" customHeight="1">
      <c r="A23" s="4">
        <v>20</v>
      </c>
      <c r="B23" s="4" t="str">
        <f>"陈文慧"</f>
        <v>陈文慧</v>
      </c>
      <c r="C23" s="4" t="s">
        <v>13</v>
      </c>
      <c r="D23" s="4">
        <v>199808</v>
      </c>
      <c r="E23" s="4">
        <v>20210009</v>
      </c>
      <c r="F23" s="4" t="str">
        <f t="shared" si="2"/>
        <v>本科（学士）</v>
      </c>
      <c r="G23" s="4" t="str">
        <f>"皖南医学院"</f>
        <v>皖南医学院</v>
      </c>
      <c r="H23" s="4" t="str">
        <f t="shared" ref="H23:H27" si="3">"护理学"</f>
        <v>护理学</v>
      </c>
      <c r="I23" s="7" t="s">
        <v>4</v>
      </c>
      <c r="J23" s="4">
        <v>55</v>
      </c>
      <c r="K23" s="12">
        <v>89</v>
      </c>
      <c r="L23" s="4">
        <f t="shared" ref="L23:L31" si="4">J23*0.4+K23*0.6</f>
        <v>75.400000000000006</v>
      </c>
    </row>
    <row r="24" spans="1:12" ht="26.25" customHeight="1">
      <c r="A24" s="4">
        <v>21</v>
      </c>
      <c r="B24" s="4" t="str">
        <f>"唐婷美"</f>
        <v>唐婷美</v>
      </c>
      <c r="C24" s="4" t="s">
        <v>13</v>
      </c>
      <c r="D24" s="4">
        <v>199303</v>
      </c>
      <c r="E24" s="4">
        <v>20210009</v>
      </c>
      <c r="F24" s="4" t="str">
        <f t="shared" si="2"/>
        <v>本科（学士）</v>
      </c>
      <c r="G24" s="4" t="str">
        <f>"安徽医科大学"</f>
        <v>安徽医科大学</v>
      </c>
      <c r="H24" s="4" t="str">
        <f t="shared" si="3"/>
        <v>护理学</v>
      </c>
      <c r="I24" s="7" t="s">
        <v>4</v>
      </c>
      <c r="J24" s="4">
        <v>66</v>
      </c>
      <c r="K24" s="12">
        <v>81</v>
      </c>
      <c r="L24" s="4">
        <f t="shared" si="4"/>
        <v>75</v>
      </c>
    </row>
    <row r="25" spans="1:12" ht="26.25" customHeight="1">
      <c r="A25" s="4">
        <v>22</v>
      </c>
      <c r="B25" s="4" t="str">
        <f>"张迎春"</f>
        <v>张迎春</v>
      </c>
      <c r="C25" s="4" t="s">
        <v>13</v>
      </c>
      <c r="D25" s="4">
        <v>199501</v>
      </c>
      <c r="E25" s="4">
        <v>20210009</v>
      </c>
      <c r="F25" s="4" t="str">
        <f t="shared" si="2"/>
        <v>本科（学士）</v>
      </c>
      <c r="G25" s="4" t="str">
        <f>"安徽医科大学"</f>
        <v>安徽医科大学</v>
      </c>
      <c r="H25" s="4" t="str">
        <f t="shared" si="3"/>
        <v>护理学</v>
      </c>
      <c r="I25" s="7" t="s">
        <v>4</v>
      </c>
      <c r="J25" s="4">
        <v>67</v>
      </c>
      <c r="K25" s="12">
        <v>77</v>
      </c>
      <c r="L25" s="4">
        <f t="shared" si="4"/>
        <v>73</v>
      </c>
    </row>
    <row r="26" spans="1:12" ht="26.25" customHeight="1">
      <c r="A26" s="4">
        <v>23</v>
      </c>
      <c r="B26" s="4" t="str">
        <f>"刘海玲"</f>
        <v>刘海玲</v>
      </c>
      <c r="C26" s="4" t="s">
        <v>13</v>
      </c>
      <c r="D26" s="4">
        <v>199112</v>
      </c>
      <c r="E26" s="4">
        <v>20210009</v>
      </c>
      <c r="F26" s="4" t="str">
        <f t="shared" si="2"/>
        <v>本科（学士）</v>
      </c>
      <c r="G26" s="4" t="str">
        <f>"蚌埠医学院"</f>
        <v>蚌埠医学院</v>
      </c>
      <c r="H26" s="4" t="str">
        <f t="shared" si="3"/>
        <v>护理学</v>
      </c>
      <c r="I26" s="7" t="s">
        <v>4</v>
      </c>
      <c r="J26" s="4">
        <v>68</v>
      </c>
      <c r="K26" s="12">
        <v>72</v>
      </c>
      <c r="L26" s="4">
        <f t="shared" si="4"/>
        <v>70.400000000000006</v>
      </c>
    </row>
    <row r="27" spans="1:12" ht="26.25" customHeight="1">
      <c r="A27" s="4">
        <v>24</v>
      </c>
      <c r="B27" s="4" t="str">
        <f>"赵静"</f>
        <v>赵静</v>
      </c>
      <c r="C27" s="4" t="s">
        <v>13</v>
      </c>
      <c r="D27" s="4">
        <v>199207</v>
      </c>
      <c r="E27" s="4">
        <v>20210009</v>
      </c>
      <c r="F27" s="4" t="str">
        <f t="shared" si="2"/>
        <v>本科（学士）</v>
      </c>
      <c r="G27" s="6" t="str">
        <f>"安徽医科大学临床医学院"</f>
        <v>安徽医科大学临床医学院</v>
      </c>
      <c r="H27" s="4" t="str">
        <f t="shared" si="3"/>
        <v>护理学</v>
      </c>
      <c r="I27" s="7" t="s">
        <v>4</v>
      </c>
      <c r="J27" s="4">
        <v>54</v>
      </c>
      <c r="K27" s="12">
        <v>81</v>
      </c>
      <c r="L27" s="4">
        <f t="shared" si="4"/>
        <v>70.2</v>
      </c>
    </row>
    <row r="28" spans="1:12" ht="26.25" customHeight="1">
      <c r="A28" s="4">
        <v>25</v>
      </c>
      <c r="B28" s="4" t="str">
        <f>"黄海群"</f>
        <v>黄海群</v>
      </c>
      <c r="C28" s="4" t="s">
        <v>13</v>
      </c>
      <c r="D28" s="4">
        <v>198811</v>
      </c>
      <c r="E28" s="4">
        <v>20210011</v>
      </c>
      <c r="F28" s="4" t="str">
        <f t="shared" si="2"/>
        <v>本科（学士）</v>
      </c>
      <c r="G28" s="4" t="str">
        <f>"安徽中医药大学"</f>
        <v>安徽中医药大学</v>
      </c>
      <c r="H28" s="4" t="str">
        <f>"中医学专业"</f>
        <v>中医学专业</v>
      </c>
      <c r="I28" s="7" t="s">
        <v>14</v>
      </c>
      <c r="J28" s="4">
        <v>66</v>
      </c>
      <c r="K28" s="4">
        <v>81</v>
      </c>
      <c r="L28" s="4">
        <f t="shared" si="4"/>
        <v>75</v>
      </c>
    </row>
    <row r="29" spans="1:12" ht="26.25" customHeight="1">
      <c r="A29" s="4">
        <v>26</v>
      </c>
      <c r="B29" s="4" t="str">
        <f>"毛宇宸"</f>
        <v>毛宇宸</v>
      </c>
      <c r="C29" s="4" t="s">
        <v>15</v>
      </c>
      <c r="D29" s="4">
        <v>199503</v>
      </c>
      <c r="E29" s="5">
        <v>20210011</v>
      </c>
      <c r="F29" s="4" t="str">
        <f t="shared" si="2"/>
        <v>本科（学士）</v>
      </c>
      <c r="G29" s="6" t="str">
        <f>"辽宁中医药大学杏林学院"</f>
        <v>辽宁中医药大学杏林学院</v>
      </c>
      <c r="H29" s="4" t="str">
        <f>"中医学"</f>
        <v>中医学</v>
      </c>
      <c r="I29" s="7" t="s">
        <v>14</v>
      </c>
      <c r="J29" s="5">
        <v>69</v>
      </c>
      <c r="K29" s="5">
        <v>68</v>
      </c>
      <c r="L29" s="5">
        <f t="shared" si="4"/>
        <v>68.400000000000006</v>
      </c>
    </row>
    <row r="30" spans="1:12" ht="26.25" customHeight="1">
      <c r="A30" s="4">
        <v>27</v>
      </c>
      <c r="B30" s="4" t="str">
        <f>"周文玉"</f>
        <v>周文玉</v>
      </c>
      <c r="C30" s="4" t="s">
        <v>13</v>
      </c>
      <c r="D30" s="4">
        <v>199706</v>
      </c>
      <c r="E30" s="5">
        <v>20210011</v>
      </c>
      <c r="F30" s="4" t="str">
        <f t="shared" si="2"/>
        <v>本科（学士）</v>
      </c>
      <c r="G30" s="4" t="str">
        <f>"安徽中医药大学"</f>
        <v>安徽中医药大学</v>
      </c>
      <c r="H30" s="4" t="str">
        <f>"中医学"</f>
        <v>中医学</v>
      </c>
      <c r="I30" s="7" t="s">
        <v>14</v>
      </c>
      <c r="J30" s="5">
        <v>62</v>
      </c>
      <c r="K30" s="5">
        <v>71</v>
      </c>
      <c r="L30" s="5">
        <f t="shared" si="4"/>
        <v>67.400000000000006</v>
      </c>
    </row>
    <row r="31" spans="1:12" ht="26.25" customHeight="1">
      <c r="A31" s="4">
        <v>28</v>
      </c>
      <c r="B31" s="4" t="str">
        <f>"韩帮芸"</f>
        <v>韩帮芸</v>
      </c>
      <c r="C31" s="4" t="s">
        <v>13</v>
      </c>
      <c r="D31" s="4">
        <v>199401</v>
      </c>
      <c r="E31" s="5">
        <v>20210011</v>
      </c>
      <c r="F31" s="4" t="str">
        <f t="shared" si="2"/>
        <v>本科（学士）</v>
      </c>
      <c r="G31" s="4" t="str">
        <f>"南京中医药大学"</f>
        <v>南京中医药大学</v>
      </c>
      <c r="H31" s="6" t="str">
        <f>"针灸推拿学"</f>
        <v>针灸推拿学</v>
      </c>
      <c r="I31" s="7" t="s">
        <v>14</v>
      </c>
      <c r="J31" s="5">
        <v>75</v>
      </c>
      <c r="K31" s="5">
        <v>60</v>
      </c>
      <c r="L31" s="5">
        <f t="shared" si="4"/>
        <v>66</v>
      </c>
    </row>
    <row r="32" spans="1:12" ht="26.25" customHeight="1">
      <c r="A32" s="4">
        <v>29</v>
      </c>
      <c r="B32" s="4" t="str">
        <f>"房冠琪"</f>
        <v>房冠琪</v>
      </c>
      <c r="C32" s="4" t="s">
        <v>13</v>
      </c>
      <c r="D32" s="4">
        <v>199408</v>
      </c>
      <c r="E32" s="5">
        <v>20210012</v>
      </c>
      <c r="F32" s="4" t="str">
        <f t="shared" si="2"/>
        <v>本科（学士）</v>
      </c>
      <c r="G32" s="4" t="str">
        <f>"安徽中医药大学"</f>
        <v>安徽中医药大学</v>
      </c>
      <c r="H32" s="4" t="s">
        <v>1</v>
      </c>
      <c r="I32" s="7" t="s">
        <v>14</v>
      </c>
      <c r="J32" s="5">
        <v>65</v>
      </c>
      <c r="K32" s="5">
        <v>84</v>
      </c>
      <c r="L32" s="13">
        <v>76.400000000000006</v>
      </c>
    </row>
    <row r="33" spans="1:12" ht="26.25" customHeight="1">
      <c r="A33" s="4">
        <v>30</v>
      </c>
      <c r="B33" s="4" t="str">
        <f>"孙洁"</f>
        <v>孙洁</v>
      </c>
      <c r="C33" s="4" t="s">
        <v>13</v>
      </c>
      <c r="D33" s="4">
        <v>199505</v>
      </c>
      <c r="E33" s="5">
        <v>20210013</v>
      </c>
      <c r="F33" s="4" t="str">
        <f t="shared" si="2"/>
        <v>本科（学士）</v>
      </c>
      <c r="G33" s="4" t="str">
        <f>"安徽医科大学"</f>
        <v>安徽医科大学</v>
      </c>
      <c r="H33" s="4" t="str">
        <f>"临床医学"</f>
        <v>临床医学</v>
      </c>
      <c r="I33" s="7" t="s">
        <v>14</v>
      </c>
      <c r="J33" s="5">
        <v>68</v>
      </c>
      <c r="K33" s="13">
        <v>61</v>
      </c>
      <c r="L33" s="5">
        <f>J33*0.4+K33*0.6</f>
        <v>63.800000000000004</v>
      </c>
    </row>
    <row r="34" spans="1:12" ht="26.25" customHeight="1">
      <c r="A34" s="4">
        <v>31</v>
      </c>
      <c r="B34" s="4" t="str">
        <f>"夏海燕"</f>
        <v>夏海燕</v>
      </c>
      <c r="C34" s="4" t="s">
        <v>13</v>
      </c>
      <c r="D34" s="4">
        <v>199510</v>
      </c>
      <c r="E34" s="5">
        <v>20210014</v>
      </c>
      <c r="F34" s="4" t="str">
        <f>"专科"</f>
        <v>专科</v>
      </c>
      <c r="G34" s="6" t="str">
        <f>"安徽中医药高等专科学校"</f>
        <v>安徽中医药高等专科学校</v>
      </c>
      <c r="H34" s="4" t="str">
        <f>"中医学"</f>
        <v>中医学</v>
      </c>
      <c r="I34" s="7" t="s">
        <v>14</v>
      </c>
      <c r="J34" s="5">
        <v>58</v>
      </c>
      <c r="K34" s="5">
        <v>74</v>
      </c>
      <c r="L34" s="5">
        <f>J34*0.4+K34*0.6</f>
        <v>67.599999999999994</v>
      </c>
    </row>
    <row r="35" spans="1:12" ht="26.25" customHeight="1">
      <c r="A35" s="4">
        <v>32</v>
      </c>
      <c r="B35" s="4" t="str">
        <f>"张璇"</f>
        <v>张璇</v>
      </c>
      <c r="C35" s="4" t="s">
        <v>13</v>
      </c>
      <c r="D35" s="4">
        <v>199401</v>
      </c>
      <c r="E35" s="5">
        <v>20210016</v>
      </c>
      <c r="F35" s="4" t="str">
        <f>"专科"</f>
        <v>专科</v>
      </c>
      <c r="G35" s="4" t="str">
        <f>"皖南医学院"</f>
        <v>皖南医学院</v>
      </c>
      <c r="H35" s="4" t="str">
        <f t="shared" ref="H35" si="5">"药学"</f>
        <v>药学</v>
      </c>
      <c r="I35" s="7" t="s">
        <v>9</v>
      </c>
      <c r="J35" s="5">
        <v>72</v>
      </c>
      <c r="K35" s="5">
        <v>79</v>
      </c>
      <c r="L35" s="5">
        <f>J35*0.4+K35*0.6</f>
        <v>76.2</v>
      </c>
    </row>
    <row r="36" spans="1:12" ht="26.25" customHeight="1">
      <c r="A36" s="4">
        <v>33</v>
      </c>
      <c r="B36" s="4" t="str">
        <f>"潘珊珊"</f>
        <v>潘珊珊</v>
      </c>
      <c r="C36" s="4" t="s">
        <v>13</v>
      </c>
      <c r="D36" s="4">
        <v>198909</v>
      </c>
      <c r="E36" s="5">
        <v>20210017</v>
      </c>
      <c r="F36" s="4" t="str">
        <f>"本科"</f>
        <v>本科</v>
      </c>
      <c r="G36" s="4" t="str">
        <f>"西安交通大学"</f>
        <v>西安交通大学</v>
      </c>
      <c r="H36" s="4" t="str">
        <f>"护理学"</f>
        <v>护理学</v>
      </c>
      <c r="I36" s="7" t="s">
        <v>10</v>
      </c>
      <c r="J36" s="5">
        <v>66</v>
      </c>
      <c r="K36" s="5">
        <v>76</v>
      </c>
      <c r="L36" s="5">
        <f t="shared" ref="L36:L43" si="6">J36*0.4+K36*0.6</f>
        <v>72</v>
      </c>
    </row>
    <row r="37" spans="1:12" ht="26.25" customHeight="1">
      <c r="A37" s="4">
        <v>34</v>
      </c>
      <c r="B37" s="4" t="str">
        <f>"崔云傲"</f>
        <v>崔云傲</v>
      </c>
      <c r="C37" s="4" t="s">
        <v>13</v>
      </c>
      <c r="D37" s="4">
        <v>200110</v>
      </c>
      <c r="E37" s="5">
        <v>20210018</v>
      </c>
      <c r="F37" s="4" t="str">
        <f>"专科"</f>
        <v>专科</v>
      </c>
      <c r="G37" s="4" t="str">
        <f>"滁州城市职业学院"</f>
        <v>滁州城市职业学院</v>
      </c>
      <c r="H37" s="4" t="str">
        <f>"护理"</f>
        <v>护理</v>
      </c>
      <c r="I37" s="7" t="s">
        <v>6</v>
      </c>
      <c r="J37" s="5">
        <v>62</v>
      </c>
      <c r="K37" s="5">
        <v>80</v>
      </c>
      <c r="L37" s="5">
        <f t="shared" si="6"/>
        <v>72.8</v>
      </c>
    </row>
    <row r="38" spans="1:12" ht="26.25" customHeight="1">
      <c r="A38" s="4">
        <v>35</v>
      </c>
      <c r="B38" s="4" t="str">
        <f>"魏晓玲"</f>
        <v>魏晓玲</v>
      </c>
      <c r="C38" s="4" t="s">
        <v>13</v>
      </c>
      <c r="D38" s="4">
        <v>198808</v>
      </c>
      <c r="E38" s="5">
        <v>20210019</v>
      </c>
      <c r="F38" s="4" t="str">
        <f>"专科"</f>
        <v>专科</v>
      </c>
      <c r="G38" s="4" t="str">
        <f>"铜陵职业技术学院"</f>
        <v>铜陵职业技术学院</v>
      </c>
      <c r="H38" s="4" t="str">
        <f>"护理"</f>
        <v>护理</v>
      </c>
      <c r="I38" s="7" t="s">
        <v>11</v>
      </c>
      <c r="J38" s="5">
        <v>60</v>
      </c>
      <c r="K38" s="5">
        <v>83</v>
      </c>
      <c r="L38" s="5">
        <f t="shared" si="6"/>
        <v>73.8</v>
      </c>
    </row>
    <row r="39" spans="1:12" ht="26.25" customHeight="1">
      <c r="A39" s="4">
        <v>36</v>
      </c>
      <c r="B39" s="4" t="str">
        <f>"周颖"</f>
        <v>周颖</v>
      </c>
      <c r="C39" s="4" t="s">
        <v>13</v>
      </c>
      <c r="D39" s="4">
        <v>199012</v>
      </c>
      <c r="E39" s="5">
        <v>20210020</v>
      </c>
      <c r="F39" s="4" t="str">
        <f>"专科"</f>
        <v>专科</v>
      </c>
      <c r="G39" s="4" t="str">
        <f>"安徽中医药高等专科学校"</f>
        <v>安徽中医药高等专科学校</v>
      </c>
      <c r="H39" s="4" t="str">
        <f>"护理"</f>
        <v>护理</v>
      </c>
      <c r="I39" s="7" t="s">
        <v>7</v>
      </c>
      <c r="J39" s="5">
        <v>69</v>
      </c>
      <c r="K39" s="5">
        <v>78</v>
      </c>
      <c r="L39" s="5">
        <f t="shared" si="6"/>
        <v>74.400000000000006</v>
      </c>
    </row>
    <row r="40" spans="1:12" ht="26.25" customHeight="1">
      <c r="A40" s="4">
        <v>37</v>
      </c>
      <c r="B40" s="4" t="str">
        <f>"方于"</f>
        <v>方于</v>
      </c>
      <c r="C40" s="4" t="s">
        <v>13</v>
      </c>
      <c r="D40" s="4">
        <v>199606</v>
      </c>
      <c r="E40" s="5">
        <v>20210021</v>
      </c>
      <c r="F40" s="4" t="str">
        <f t="shared" ref="F40" si="7">"专科"</f>
        <v>专科</v>
      </c>
      <c r="G40" s="4" t="str">
        <f>"滁州城市职业学院"</f>
        <v>滁州城市职业学院</v>
      </c>
      <c r="H40" s="4" t="str">
        <f t="shared" ref="H40" si="8">"助产"</f>
        <v>助产</v>
      </c>
      <c r="I40" s="7" t="s">
        <v>7</v>
      </c>
      <c r="J40" s="5">
        <v>72</v>
      </c>
      <c r="K40" s="5">
        <v>70</v>
      </c>
      <c r="L40" s="5">
        <f t="shared" si="6"/>
        <v>70.8</v>
      </c>
    </row>
    <row r="41" spans="1:12" ht="26.25" customHeight="1">
      <c r="A41" s="4">
        <v>38</v>
      </c>
      <c r="B41" s="4" t="str">
        <f>"窦开庆"</f>
        <v>窦开庆</v>
      </c>
      <c r="C41" s="4" t="s">
        <v>13</v>
      </c>
      <c r="D41" s="4">
        <v>199006</v>
      </c>
      <c r="E41" s="5">
        <v>20210022</v>
      </c>
      <c r="F41" s="4" t="str">
        <f>"本科"</f>
        <v>本科</v>
      </c>
      <c r="G41" s="4" t="str">
        <f>"铜陵职业技术学院"</f>
        <v>铜陵职业技术学院</v>
      </c>
      <c r="H41" s="4" t="str">
        <f t="shared" ref="H41:H42" si="9">"护理"</f>
        <v>护理</v>
      </c>
      <c r="I41" s="7" t="s">
        <v>12</v>
      </c>
      <c r="J41" s="5">
        <v>79</v>
      </c>
      <c r="K41" s="5">
        <v>77</v>
      </c>
      <c r="L41" s="5">
        <f t="shared" si="6"/>
        <v>77.8</v>
      </c>
    </row>
    <row r="42" spans="1:12" ht="26.25" customHeight="1">
      <c r="A42" s="4">
        <v>39</v>
      </c>
      <c r="B42" s="4" t="str">
        <f>"陈新艳"</f>
        <v>陈新艳</v>
      </c>
      <c r="C42" s="4" t="s">
        <v>13</v>
      </c>
      <c r="D42" s="4">
        <v>199910</v>
      </c>
      <c r="E42" s="5">
        <v>20210022</v>
      </c>
      <c r="F42" s="4" t="str">
        <f>"专科"</f>
        <v>专科</v>
      </c>
      <c r="G42" s="4" t="str">
        <f>"滁州城市职业学院"</f>
        <v>滁州城市职业学院</v>
      </c>
      <c r="H42" s="4" t="str">
        <f t="shared" si="9"/>
        <v>护理</v>
      </c>
      <c r="I42" s="7" t="s">
        <v>12</v>
      </c>
      <c r="J42" s="5">
        <v>56</v>
      </c>
      <c r="K42" s="5">
        <v>80</v>
      </c>
      <c r="L42" s="5">
        <f t="shared" si="6"/>
        <v>70.400000000000006</v>
      </c>
    </row>
    <row r="43" spans="1:12" ht="26.25" customHeight="1">
      <c r="A43" s="4">
        <v>40</v>
      </c>
      <c r="B43" s="4" t="str">
        <f>"江涛"</f>
        <v>江涛</v>
      </c>
      <c r="C43" s="4" t="s">
        <v>13</v>
      </c>
      <c r="D43" s="4">
        <v>199603</v>
      </c>
      <c r="E43" s="5">
        <v>20210023</v>
      </c>
      <c r="F43" s="4" t="str">
        <f t="shared" ref="F43" si="10">"专科"</f>
        <v>专科</v>
      </c>
      <c r="G43" s="4" t="str">
        <f>"上海立达学院"</f>
        <v>上海立达学院</v>
      </c>
      <c r="H43" s="4" t="str">
        <f>"护理"</f>
        <v>护理</v>
      </c>
      <c r="I43" s="7" t="s">
        <v>5</v>
      </c>
      <c r="J43" s="5">
        <v>61</v>
      </c>
      <c r="K43" s="5">
        <v>77</v>
      </c>
      <c r="L43" s="5">
        <f t="shared" si="6"/>
        <v>70.599999999999994</v>
      </c>
    </row>
    <row r="44" spans="1:12" ht="26.25" customHeight="1">
      <c r="A44" s="4">
        <v>41</v>
      </c>
      <c r="B44" s="4" t="str">
        <f>"周晓娟"</f>
        <v>周晓娟</v>
      </c>
      <c r="C44" s="4" t="s">
        <v>13</v>
      </c>
      <c r="D44" s="4">
        <v>198203</v>
      </c>
      <c r="E44" s="5">
        <v>20210024</v>
      </c>
      <c r="F44" s="4" t="str">
        <f>"专科"</f>
        <v>专科</v>
      </c>
      <c r="G44" s="4" t="str">
        <f>"蚌埠医学院"</f>
        <v>蚌埠医学院</v>
      </c>
      <c r="H44" s="4" t="str">
        <f>"临床医学"</f>
        <v>临床医学</v>
      </c>
      <c r="I44" s="7" t="s">
        <v>20</v>
      </c>
      <c r="J44" s="5">
        <v>61</v>
      </c>
      <c r="K44" s="13">
        <v>61</v>
      </c>
      <c r="L44" s="5">
        <f>J44*0.4+K44*0.6</f>
        <v>61</v>
      </c>
    </row>
    <row r="45" spans="1:12" ht="26.25" customHeight="1">
      <c r="A45" s="4">
        <v>42</v>
      </c>
      <c r="B45" s="4" t="s">
        <v>8</v>
      </c>
      <c r="C45" s="8" t="s">
        <v>15</v>
      </c>
      <c r="D45" s="9" t="s">
        <v>24</v>
      </c>
      <c r="E45" s="5">
        <v>20210024</v>
      </c>
      <c r="F45" s="4" t="str">
        <f>"专科"</f>
        <v>专科</v>
      </c>
      <c r="G45" s="6" t="str">
        <f>"安庆医药高等专科学校"</f>
        <v>安庆医药高等专科学校</v>
      </c>
      <c r="H45" s="4" t="s">
        <v>22</v>
      </c>
      <c r="I45" s="7" t="s">
        <v>20</v>
      </c>
      <c r="J45" s="14">
        <v>52</v>
      </c>
      <c r="K45" s="15">
        <v>51</v>
      </c>
      <c r="L45" s="14">
        <f>J45*0.4+K45*0.6</f>
        <v>51.4</v>
      </c>
    </row>
    <row r="46" spans="1:12" ht="26.25" customHeight="1">
      <c r="A46" s="4">
        <v>43</v>
      </c>
      <c r="B46" s="4" t="str">
        <f>"蔡晶晶"</f>
        <v>蔡晶晶</v>
      </c>
      <c r="C46" s="4" t="s">
        <v>13</v>
      </c>
      <c r="D46" s="4">
        <v>198510</v>
      </c>
      <c r="E46" s="5">
        <v>20210025</v>
      </c>
      <c r="F46" s="4" t="str">
        <f>"本科"</f>
        <v>本科</v>
      </c>
      <c r="G46" s="4" t="str">
        <f>"安徽医科大学"</f>
        <v>安徽医科大学</v>
      </c>
      <c r="H46" s="4" t="str">
        <f>"临床医学"</f>
        <v>临床医学</v>
      </c>
      <c r="I46" s="7" t="s">
        <v>6</v>
      </c>
      <c r="J46" s="5">
        <v>68</v>
      </c>
      <c r="K46" s="13">
        <v>73</v>
      </c>
      <c r="L46" s="5">
        <f>J46*0.4+K46*0.6</f>
        <v>71</v>
      </c>
    </row>
    <row r="47" spans="1:12" ht="26.25" customHeight="1">
      <c r="A47" s="4">
        <v>44</v>
      </c>
      <c r="B47" s="4" t="str">
        <f>"翁午顺"</f>
        <v>翁午顺</v>
      </c>
      <c r="C47" s="4" t="s">
        <v>15</v>
      </c>
      <c r="D47" s="4">
        <v>199406</v>
      </c>
      <c r="E47" s="5">
        <v>20210027</v>
      </c>
      <c r="F47" s="4" t="str">
        <f>"专科"</f>
        <v>专科</v>
      </c>
      <c r="G47" s="4" t="str">
        <f>"皖北卫生职业学院"</f>
        <v>皖北卫生职业学院</v>
      </c>
      <c r="H47" s="4" t="str">
        <f>"临床医学"</f>
        <v>临床医学</v>
      </c>
      <c r="I47" s="7" t="s">
        <v>21</v>
      </c>
      <c r="J47" s="5">
        <v>64</v>
      </c>
      <c r="K47" s="13">
        <v>71</v>
      </c>
      <c r="L47" s="5">
        <f>J47*0.4+K47*0.6</f>
        <v>68.2</v>
      </c>
    </row>
    <row r="48" spans="1:12" ht="26.25" customHeight="1">
      <c r="A48" s="4">
        <v>45</v>
      </c>
      <c r="B48" s="4" t="str">
        <f>"陈荣婧"</f>
        <v>陈荣婧</v>
      </c>
      <c r="C48" s="4" t="s">
        <v>13</v>
      </c>
      <c r="D48" s="4">
        <v>199810</v>
      </c>
      <c r="E48" s="5">
        <v>20210028</v>
      </c>
      <c r="F48" s="4" t="str">
        <f>"专科"</f>
        <v>专科</v>
      </c>
      <c r="G48" s="4" t="str">
        <f>"常德职业技术学院"</f>
        <v>常德职业技术学院</v>
      </c>
      <c r="H48" s="4" t="str">
        <f>"临床医学"</f>
        <v>临床医学</v>
      </c>
      <c r="I48" s="7" t="s">
        <v>5</v>
      </c>
      <c r="J48" s="5">
        <v>56</v>
      </c>
      <c r="K48" s="13">
        <v>54</v>
      </c>
      <c r="L48" s="5">
        <f>J48*0.4+K48*0.6</f>
        <v>54.8</v>
      </c>
    </row>
    <row r="49" spans="1:12" ht="26.25" customHeight="1">
      <c r="B49" s="19" t="s">
        <v>29</v>
      </c>
      <c r="C49" s="19"/>
      <c r="D49" s="19"/>
      <c r="E49" s="19"/>
      <c r="F49" s="19"/>
      <c r="G49" s="19"/>
      <c r="H49" s="19"/>
      <c r="I49" s="19"/>
      <c r="J49" s="19"/>
      <c r="K49" s="19"/>
      <c r="L49" s="19"/>
    </row>
    <row r="50" spans="1:12" ht="26.25" customHeight="1">
      <c r="A50" s="25" t="s">
        <v>32</v>
      </c>
      <c r="B50" s="25"/>
      <c r="C50" s="25"/>
      <c r="D50" s="25"/>
      <c r="E50" s="25"/>
      <c r="F50" s="25"/>
      <c r="G50" s="25"/>
      <c r="H50" s="25"/>
      <c r="I50" s="25"/>
      <c r="J50" s="25"/>
      <c r="K50" s="25"/>
      <c r="L50" s="25"/>
    </row>
  </sheetData>
  <mergeCells count="4">
    <mergeCell ref="A2:L2"/>
    <mergeCell ref="B49:L49"/>
    <mergeCell ref="A1:L1"/>
    <mergeCell ref="A50:L50"/>
  </mergeCells>
  <phoneticPr fontId="18" type="noConversion"/>
  <pageMargins left="0.9055118110236221"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lenovo4989</cp:lastModifiedBy>
  <cp:lastPrinted>2022-01-14T07:13:35Z</cp:lastPrinted>
  <dcterms:created xsi:type="dcterms:W3CDTF">2021-11-23T00:26:27Z</dcterms:created>
  <dcterms:modified xsi:type="dcterms:W3CDTF">2022-01-14T07:55:42Z</dcterms:modified>
</cp:coreProperties>
</file>