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拟聘用人员公示表" sheetId="2" r:id="rId1"/>
  </sheets>
  <definedNames>
    <definedName name="_xlnm.Print_Titles" localSheetId="0">拟聘用人员公示表!$1:$2</definedName>
  </definedNames>
  <calcPr calcId="144525"/>
</workbook>
</file>

<file path=xl/sharedStrings.xml><?xml version="1.0" encoding="utf-8"?>
<sst xmlns="http://schemas.openxmlformats.org/spreadsheetml/2006/main" count="116" uniqueCount="68">
  <si>
    <t>2021年宛城区事业单位招聘--拟聘人员表</t>
  </si>
  <si>
    <t>序号</t>
  </si>
  <si>
    <t>岗位代码</t>
  </si>
  <si>
    <t>姓名</t>
  </si>
  <si>
    <t>性别</t>
  </si>
  <si>
    <t>毕业院校</t>
  </si>
  <si>
    <t>备注</t>
  </si>
  <si>
    <t>1</t>
  </si>
  <si>
    <t>102</t>
  </si>
  <si>
    <t>马小玉</t>
  </si>
  <si>
    <t>女</t>
  </si>
  <si>
    <t>重庆理工大学</t>
  </si>
  <si>
    <t xml:space="preserve"> 新疆师范大学</t>
  </si>
  <si>
    <t>信阳学院</t>
  </si>
  <si>
    <t>201</t>
  </si>
  <si>
    <t>李艳鲜</t>
  </si>
  <si>
    <t>周口师范学院</t>
  </si>
  <si>
    <t>安阳师范学院人文管理学院</t>
  </si>
  <si>
    <t>208</t>
  </si>
  <si>
    <t>李莉</t>
  </si>
  <si>
    <t>江南大学</t>
  </si>
  <si>
    <t>熊梅军</t>
  </si>
  <si>
    <t>郑州师范学院</t>
  </si>
  <si>
    <t>郑州大学    北京理工大学</t>
  </si>
  <si>
    <t>河南大学民生学院</t>
  </si>
  <si>
    <t>南阳师范学院</t>
  </si>
  <si>
    <t>401</t>
  </si>
  <si>
    <t>孙铭璐</t>
  </si>
  <si>
    <t>河南科技学院新科学院</t>
  </si>
  <si>
    <t>王霜</t>
  </si>
  <si>
    <t>南阳理工学院</t>
  </si>
  <si>
    <t>商丘师范学院</t>
  </si>
  <si>
    <t>501</t>
  </si>
  <si>
    <t>李瑞</t>
  </si>
  <si>
    <t>焦作师范高等专科学校</t>
  </si>
  <si>
    <t>薛铮</t>
  </si>
  <si>
    <t>502</t>
  </si>
  <si>
    <t>李瑞娜</t>
  </si>
  <si>
    <t>郑州航空工业管理学院</t>
  </si>
  <si>
    <t>林鑫艳</t>
  </si>
  <si>
    <t>郑州科技学院</t>
  </si>
  <si>
    <t>曾凡思</t>
  </si>
  <si>
    <t>黄河科技学院</t>
  </si>
  <si>
    <t>505</t>
  </si>
  <si>
    <t>杨宏焕</t>
  </si>
  <si>
    <t>611</t>
  </si>
  <si>
    <t>生雨欣</t>
  </si>
  <si>
    <t>河南财政金融学院</t>
  </si>
  <si>
    <t>黄格</t>
  </si>
  <si>
    <t>李芮洋</t>
  </si>
  <si>
    <t>安阳学院</t>
  </si>
  <si>
    <t>周树英</t>
  </si>
  <si>
    <t>三门峡职业技术学院</t>
  </si>
  <si>
    <t>华梦雯</t>
  </si>
  <si>
    <t>蔡晓莹</t>
  </si>
  <si>
    <t>南阳幼儿师范学校</t>
  </si>
  <si>
    <t>马良昱</t>
  </si>
  <si>
    <t>项书玉</t>
  </si>
  <si>
    <t>驻马店幼儿师范高等专科学校</t>
  </si>
  <si>
    <t>王桂茹</t>
  </si>
  <si>
    <t>平顶山学院</t>
  </si>
  <si>
    <t>蔡霞</t>
  </si>
  <si>
    <t>商丘工学院</t>
  </si>
  <si>
    <t>石方方</t>
  </si>
  <si>
    <t>宁波大学</t>
  </si>
  <si>
    <t>邹波</t>
  </si>
  <si>
    <t>胡耀驿</t>
  </si>
  <si>
    <t>湖北城市建设职业技术学院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</si>
</sst>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3" fontId="1" fillId="0" borderId="0" xfId="8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43" fontId="1" fillId="0" borderId="1" xfId="8" applyFont="1" applyBorder="1" applyAlignment="1">
      <alignment horizontal="center" vertical="center" wrapText="1"/>
    </xf>
    <xf numFmtId="43" fontId="1" fillId="0" borderId="1" xfId="8" applyFont="1" applyBorder="1" applyAlignment="1">
      <alignment horizontal="left" vertical="center" wrapText="1"/>
    </xf>
    <xf numFmtId="43" fontId="1" fillId="0" borderId="1" xfId="8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02"/>
  <sheetViews>
    <sheetView tabSelected="1" topLeftCell="A364" workbookViewId="0">
      <selection activeCell="A1" sqref="A1:F1"/>
    </sheetView>
  </sheetViews>
  <sheetFormatPr defaultColWidth="9" defaultRowHeight="30" customHeight="1"/>
  <cols>
    <col min="1" max="1" width="8" style="6" customWidth="1"/>
    <col min="2" max="2" width="10.875" style="7" customWidth="1"/>
    <col min="3" max="3" width="14.875" style="7" customWidth="1"/>
    <col min="4" max="4" width="11.875" style="7" customWidth="1"/>
    <col min="5" max="5" width="29.125" style="8" customWidth="1"/>
    <col min="6" max="6" width="10.625" style="7" customWidth="1"/>
    <col min="7" max="20" width="9" style="9" customWidth="1"/>
    <col min="21" max="21" width="9" style="9"/>
    <col min="22" max="16384" width="9" style="10"/>
  </cols>
  <sheetData>
    <row r="1" ht="24" customHeight="1" spans="1:6">
      <c r="A1" s="11" t="s">
        <v>0</v>
      </c>
      <c r="B1" s="12"/>
      <c r="C1" s="12"/>
      <c r="D1" s="12"/>
      <c r="E1" s="13"/>
      <c r="F1" s="12"/>
    </row>
    <row r="2" ht="16" customHeight="1" spans="1:6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5" t="s">
        <v>6</v>
      </c>
    </row>
    <row r="3" s="1" customFormat="1" ht="20" customHeight="1" spans="1:21">
      <c r="A3" s="14" t="s">
        <v>7</v>
      </c>
      <c r="B3" s="15" t="str">
        <f>"101"</f>
        <v>101</v>
      </c>
      <c r="C3" s="15" t="str">
        <f>"田培文"</f>
        <v>田培文</v>
      </c>
      <c r="D3" s="15" t="str">
        <f t="shared" ref="D3:D12" si="0">"女"</f>
        <v>女</v>
      </c>
      <c r="E3" s="16" t="str">
        <f>"河南师范大学"</f>
        <v>河南师范大学</v>
      </c>
      <c r="F3" s="1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="1" customFormat="1" ht="20" customHeight="1" spans="1:21">
      <c r="A4" s="14">
        <v>2</v>
      </c>
      <c r="B4" s="15" t="str">
        <f>"101"</f>
        <v>101</v>
      </c>
      <c r="C4" s="15" t="str">
        <f>"温嘉琪"</f>
        <v>温嘉琪</v>
      </c>
      <c r="D4" s="15" t="str">
        <f t="shared" si="0"/>
        <v>女</v>
      </c>
      <c r="E4" s="16" t="str">
        <f>"俄罗斯太平洋国立大学"</f>
        <v>俄罗斯太平洋国立大学</v>
      </c>
      <c r="F4" s="1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="1" customFormat="1" ht="20" customHeight="1" spans="1:21">
      <c r="A5" s="14">
        <v>3</v>
      </c>
      <c r="B5" s="15" t="str">
        <f>"102"</f>
        <v>102</v>
      </c>
      <c r="C5" s="15" t="str">
        <f>"高学梅"</f>
        <v>高学梅</v>
      </c>
      <c r="D5" s="15" t="str">
        <f t="shared" si="0"/>
        <v>女</v>
      </c>
      <c r="E5" s="16" t="str">
        <f>"河南工业大学"</f>
        <v>河南工业大学</v>
      </c>
      <c r="F5" s="1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="2" customFormat="1" ht="20" customHeight="1" spans="1:6">
      <c r="A6" s="14">
        <v>4</v>
      </c>
      <c r="B6" s="17" t="str">
        <f>"102"</f>
        <v>102</v>
      </c>
      <c r="C6" s="17" t="str">
        <f>"王磊"</f>
        <v>王磊</v>
      </c>
      <c r="D6" s="17" t="str">
        <f>"男"</f>
        <v>男</v>
      </c>
      <c r="E6" s="16" t="str">
        <f>"贵州大学"</f>
        <v>贵州大学</v>
      </c>
      <c r="F6" s="18"/>
    </row>
    <row r="7" s="2" customFormat="1" ht="20" customHeight="1" spans="1:6">
      <c r="A7" s="14">
        <v>5</v>
      </c>
      <c r="B7" s="19" t="s">
        <v>8</v>
      </c>
      <c r="C7" s="19" t="s">
        <v>9</v>
      </c>
      <c r="D7" s="19" t="s">
        <v>10</v>
      </c>
      <c r="E7" s="20" t="s">
        <v>11</v>
      </c>
      <c r="F7" s="18"/>
    </row>
    <row r="8" s="1" customFormat="1" ht="20" customHeight="1" spans="1:21">
      <c r="A8" s="14">
        <v>6</v>
      </c>
      <c r="B8" s="15" t="str">
        <f>"103"</f>
        <v>103</v>
      </c>
      <c r="C8" s="15" t="str">
        <f>"姚昱冰"</f>
        <v>姚昱冰</v>
      </c>
      <c r="D8" s="15" t="str">
        <f t="shared" si="0"/>
        <v>女</v>
      </c>
      <c r="E8" s="16" t="str">
        <f>"大连大学"</f>
        <v>大连大学</v>
      </c>
      <c r="F8" s="1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="1" customFormat="1" ht="20" customHeight="1" spans="1:21">
      <c r="A9" s="14">
        <v>7</v>
      </c>
      <c r="B9" s="15" t="str">
        <f>"103"</f>
        <v>103</v>
      </c>
      <c r="C9" s="15" t="str">
        <f>"杨苗苗"</f>
        <v>杨苗苗</v>
      </c>
      <c r="D9" s="15" t="str">
        <f t="shared" si="0"/>
        <v>女</v>
      </c>
      <c r="E9" s="16" t="s">
        <v>12</v>
      </c>
      <c r="F9" s="1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="1" customFormat="1" ht="20" customHeight="1" spans="1:21">
      <c r="A10" s="14">
        <v>8</v>
      </c>
      <c r="B10" s="15" t="str">
        <f>"104"</f>
        <v>104</v>
      </c>
      <c r="C10" s="15" t="str">
        <f>"王宛斐"</f>
        <v>王宛斐</v>
      </c>
      <c r="D10" s="15" t="str">
        <f t="shared" si="0"/>
        <v>女</v>
      </c>
      <c r="E10" s="16" t="str">
        <f>"湖南科技大学"</f>
        <v>湖南科技大学</v>
      </c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="1" customFormat="1" ht="20" customHeight="1" spans="1:21">
      <c r="A11" s="14">
        <v>9</v>
      </c>
      <c r="B11" s="15" t="str">
        <f>"104"</f>
        <v>104</v>
      </c>
      <c r="C11" s="15" t="str">
        <f>"郝金金"</f>
        <v>郝金金</v>
      </c>
      <c r="D11" s="15" t="str">
        <f t="shared" si="0"/>
        <v>女</v>
      </c>
      <c r="E11" s="16" t="str">
        <f>"郑州大学"</f>
        <v>郑州大学</v>
      </c>
      <c r="F11" s="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="1" customFormat="1" ht="20" customHeight="1" spans="1:21">
      <c r="A12" s="14">
        <v>10</v>
      </c>
      <c r="B12" s="15" t="str">
        <f>"105"</f>
        <v>105</v>
      </c>
      <c r="C12" s="15" t="str">
        <f>"鲁瑶"</f>
        <v>鲁瑶</v>
      </c>
      <c r="D12" s="15" t="str">
        <f t="shared" si="0"/>
        <v>女</v>
      </c>
      <c r="E12" s="16" t="str">
        <f>"信阳师范学院"</f>
        <v>信阳师范学院</v>
      </c>
      <c r="F12" s="1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="1" customFormat="1" ht="20" customHeight="1" spans="1:21">
      <c r="A13" s="14">
        <v>11</v>
      </c>
      <c r="B13" s="15" t="str">
        <f>"106"</f>
        <v>106</v>
      </c>
      <c r="C13" s="15" t="str">
        <f>"王东洋"</f>
        <v>王东洋</v>
      </c>
      <c r="D13" s="15" t="str">
        <f>"男"</f>
        <v>男</v>
      </c>
      <c r="E13" s="16" t="str">
        <f>"延边大学"</f>
        <v>延边大学</v>
      </c>
      <c r="F13" s="1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="1" customFormat="1" ht="20" customHeight="1" spans="1:21">
      <c r="A14" s="14">
        <v>12</v>
      </c>
      <c r="B14" s="15" t="str">
        <f>"108"</f>
        <v>108</v>
      </c>
      <c r="C14" s="15" t="str">
        <f>"常玉婷"</f>
        <v>常玉婷</v>
      </c>
      <c r="D14" s="15" t="str">
        <f t="shared" ref="D14:D20" si="1">"女"</f>
        <v>女</v>
      </c>
      <c r="E14" s="16" t="str">
        <f>"河南农业大学"</f>
        <v>河南农业大学</v>
      </c>
      <c r="F14" s="1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="1" customFormat="1" ht="20" customHeight="1" spans="1:21">
      <c r="A15" s="14">
        <v>13</v>
      </c>
      <c r="B15" s="15" t="str">
        <f>"109"</f>
        <v>109</v>
      </c>
      <c r="C15" s="15" t="str">
        <f>"张永聪"</f>
        <v>张永聪</v>
      </c>
      <c r="D15" s="15" t="str">
        <f t="shared" si="1"/>
        <v>女</v>
      </c>
      <c r="E15" s="16" t="str">
        <f>"河南大学"</f>
        <v>河南大学</v>
      </c>
      <c r="F15" s="1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="1" customFormat="1" ht="20" customHeight="1" spans="1:21">
      <c r="A16" s="14">
        <v>14</v>
      </c>
      <c r="B16" s="15" t="str">
        <f>"110"</f>
        <v>110</v>
      </c>
      <c r="C16" s="15" t="str">
        <f>"赵云丽"</f>
        <v>赵云丽</v>
      </c>
      <c r="D16" s="15" t="str">
        <f t="shared" si="1"/>
        <v>女</v>
      </c>
      <c r="E16" s="16" t="str">
        <f>"首都体育学院"</f>
        <v>首都体育学院</v>
      </c>
      <c r="F16" s="1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="1" customFormat="1" ht="20" customHeight="1" spans="1:21">
      <c r="A17" s="14">
        <v>15</v>
      </c>
      <c r="B17" s="15" t="str">
        <f>"112"</f>
        <v>112</v>
      </c>
      <c r="C17" s="15" t="str">
        <f>"方苗"</f>
        <v>方苗</v>
      </c>
      <c r="D17" s="15" t="str">
        <f t="shared" si="1"/>
        <v>女</v>
      </c>
      <c r="E17" s="16" t="str">
        <f>"宁夏大学"</f>
        <v>宁夏大学</v>
      </c>
      <c r="F17" s="1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="1" customFormat="1" ht="20" customHeight="1" spans="1:21">
      <c r="A18" s="14">
        <v>16</v>
      </c>
      <c r="B18" s="15" t="str">
        <f>"113"</f>
        <v>113</v>
      </c>
      <c r="C18" s="15" t="str">
        <f>"王金凤"</f>
        <v>王金凤</v>
      </c>
      <c r="D18" s="15" t="str">
        <f t="shared" si="1"/>
        <v>女</v>
      </c>
      <c r="E18" s="16" t="str">
        <f>"河南大学"</f>
        <v>河南大学</v>
      </c>
      <c r="F18" s="1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="1" customFormat="1" ht="20" customHeight="1" spans="1:21">
      <c r="A19" s="14">
        <v>17</v>
      </c>
      <c r="B19" s="15" t="str">
        <f t="shared" ref="B19:B31" si="2">"201"</f>
        <v>201</v>
      </c>
      <c r="C19" s="15" t="str">
        <f>"邓佳敏"</f>
        <v>邓佳敏</v>
      </c>
      <c r="D19" s="15" t="str">
        <f t="shared" si="1"/>
        <v>女</v>
      </c>
      <c r="E19" s="16" t="s">
        <v>13</v>
      </c>
      <c r="F19" s="1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="1" customFormat="1" ht="20" customHeight="1" spans="1:21">
      <c r="A20" s="14">
        <v>18</v>
      </c>
      <c r="B20" s="15" t="str">
        <f t="shared" si="2"/>
        <v>201</v>
      </c>
      <c r="C20" s="15" t="str">
        <f>"王爽"</f>
        <v>王爽</v>
      </c>
      <c r="D20" s="15" t="str">
        <f t="shared" si="1"/>
        <v>女</v>
      </c>
      <c r="E20" s="16" t="str">
        <f>"南阳师范学院"</f>
        <v>南阳师范学院</v>
      </c>
      <c r="F20" s="1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="1" customFormat="1" ht="20" customHeight="1" spans="1:21">
      <c r="A21" s="14">
        <v>19</v>
      </c>
      <c r="B21" s="15" t="str">
        <f t="shared" si="2"/>
        <v>201</v>
      </c>
      <c r="C21" s="15" t="str">
        <f>"焦一鹏"</f>
        <v>焦一鹏</v>
      </c>
      <c r="D21" s="15" t="str">
        <f>"男"</f>
        <v>男</v>
      </c>
      <c r="E21" s="16" t="str">
        <f>"周口师范学院"</f>
        <v>周口师范学院</v>
      </c>
      <c r="F21" s="1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="1" customFormat="1" ht="20" customHeight="1" spans="1:21">
      <c r="A22" s="14">
        <v>20</v>
      </c>
      <c r="B22" s="15" t="str">
        <f t="shared" si="2"/>
        <v>201</v>
      </c>
      <c r="C22" s="15" t="str">
        <f>"王婉燚"</f>
        <v>王婉燚</v>
      </c>
      <c r="D22" s="15" t="str">
        <f t="shared" ref="D22:D27" si="3">"女"</f>
        <v>女</v>
      </c>
      <c r="E22" s="16" t="str">
        <f>"河南大学"</f>
        <v>河南大学</v>
      </c>
      <c r="F22" s="1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="1" customFormat="1" ht="20" customHeight="1" spans="1:21">
      <c r="A23" s="14">
        <v>21</v>
      </c>
      <c r="B23" s="15" t="str">
        <f t="shared" si="2"/>
        <v>201</v>
      </c>
      <c r="C23" s="15" t="str">
        <f>"杜哲"</f>
        <v>杜哲</v>
      </c>
      <c r="D23" s="15" t="str">
        <f t="shared" si="3"/>
        <v>女</v>
      </c>
      <c r="E23" s="16" t="str">
        <f>"周口师范学院"</f>
        <v>周口师范学院</v>
      </c>
      <c r="F23" s="1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="1" customFormat="1" ht="20" customHeight="1" spans="1:21">
      <c r="A24" s="14">
        <v>22</v>
      </c>
      <c r="B24" s="15" t="str">
        <f t="shared" si="2"/>
        <v>201</v>
      </c>
      <c r="C24" s="15" t="str">
        <f>"贾道贤"</f>
        <v>贾道贤</v>
      </c>
      <c r="D24" s="15" t="str">
        <f t="shared" si="3"/>
        <v>女</v>
      </c>
      <c r="E24" s="16" t="str">
        <f>"商丘师范学院"</f>
        <v>商丘师范学院</v>
      </c>
      <c r="F24" s="1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="1" customFormat="1" ht="20" customHeight="1" spans="1:21">
      <c r="A25" s="14">
        <v>23</v>
      </c>
      <c r="B25" s="15" t="str">
        <f t="shared" si="2"/>
        <v>201</v>
      </c>
      <c r="C25" s="15" t="str">
        <f>"陶欢"</f>
        <v>陶欢</v>
      </c>
      <c r="D25" s="15" t="str">
        <f t="shared" si="3"/>
        <v>女</v>
      </c>
      <c r="E25" s="16" t="str">
        <f>"信阳师范学院"</f>
        <v>信阳师范学院</v>
      </c>
      <c r="F25" s="1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="1" customFormat="1" ht="20" customHeight="1" spans="1:21">
      <c r="A26" s="14">
        <v>24</v>
      </c>
      <c r="B26" s="15" t="str">
        <f t="shared" si="2"/>
        <v>201</v>
      </c>
      <c r="C26" s="15" t="str">
        <f>"樊祥楠"</f>
        <v>樊祥楠</v>
      </c>
      <c r="D26" s="15" t="str">
        <f t="shared" si="3"/>
        <v>女</v>
      </c>
      <c r="E26" s="16" t="str">
        <f>"平顶山学院"</f>
        <v>平顶山学院</v>
      </c>
      <c r="F26" s="1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="1" customFormat="1" ht="20" customHeight="1" spans="1:21">
      <c r="A27" s="14">
        <v>25</v>
      </c>
      <c r="B27" s="15" t="str">
        <f t="shared" si="2"/>
        <v>201</v>
      </c>
      <c r="C27" s="15" t="str">
        <f>"耿峥"</f>
        <v>耿峥</v>
      </c>
      <c r="D27" s="15" t="str">
        <f t="shared" si="3"/>
        <v>女</v>
      </c>
      <c r="E27" s="16" t="str">
        <f>"商丘师范学院"</f>
        <v>商丘师范学院</v>
      </c>
      <c r="F27" s="1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="2" customFormat="1" ht="20" customHeight="1" spans="1:6">
      <c r="A28" s="14">
        <v>26</v>
      </c>
      <c r="B28" s="21" t="str">
        <f t="shared" si="2"/>
        <v>201</v>
      </c>
      <c r="C28" s="21" t="str">
        <f>"陈黎昇"</f>
        <v>陈黎昇</v>
      </c>
      <c r="D28" s="21" t="str">
        <f>"男"</f>
        <v>男</v>
      </c>
      <c r="E28" s="22" t="str">
        <f>"广西师范大学漓江学院"</f>
        <v>广西师范大学漓江学院</v>
      </c>
      <c r="F28" s="23"/>
    </row>
    <row r="29" s="2" customFormat="1" ht="20" customHeight="1" spans="1:6">
      <c r="A29" s="14">
        <v>27</v>
      </c>
      <c r="B29" s="17" t="str">
        <f t="shared" si="2"/>
        <v>201</v>
      </c>
      <c r="C29" s="17" t="str">
        <f>"张巍楚"</f>
        <v>张巍楚</v>
      </c>
      <c r="D29" s="17" t="str">
        <f t="shared" ref="D29:D31" si="4">"女"</f>
        <v>女</v>
      </c>
      <c r="E29" s="16" t="str">
        <f>"郑州大学"</f>
        <v>郑州大学</v>
      </c>
      <c r="F29" s="24"/>
    </row>
    <row r="30" s="2" customFormat="1" ht="20" customHeight="1" spans="1:6">
      <c r="A30" s="14">
        <v>28</v>
      </c>
      <c r="B30" s="17" t="str">
        <f t="shared" si="2"/>
        <v>201</v>
      </c>
      <c r="C30" s="17" t="str">
        <f>"杨光明媚"</f>
        <v>杨光明媚</v>
      </c>
      <c r="D30" s="17" t="str">
        <f t="shared" si="4"/>
        <v>女</v>
      </c>
      <c r="E30" s="16" t="str">
        <f>"广西大学"</f>
        <v>广西大学</v>
      </c>
      <c r="F30" s="24"/>
    </row>
    <row r="31" s="2" customFormat="1" ht="20" customHeight="1" spans="1:6">
      <c r="A31" s="14">
        <v>29</v>
      </c>
      <c r="B31" s="17" t="str">
        <f t="shared" si="2"/>
        <v>201</v>
      </c>
      <c r="C31" s="17" t="str">
        <f>"黄祯"</f>
        <v>黄祯</v>
      </c>
      <c r="D31" s="17" t="str">
        <f t="shared" si="4"/>
        <v>女</v>
      </c>
      <c r="E31" s="16" t="str">
        <f>"商丘师范学院"</f>
        <v>商丘师范学院</v>
      </c>
      <c r="F31" s="24"/>
    </row>
    <row r="32" s="2" customFormat="1" ht="20" customHeight="1" spans="1:6">
      <c r="A32" s="14">
        <v>30</v>
      </c>
      <c r="B32" s="19" t="s">
        <v>14</v>
      </c>
      <c r="C32" s="19" t="s">
        <v>15</v>
      </c>
      <c r="D32" s="19" t="s">
        <v>10</v>
      </c>
      <c r="E32" s="20" t="s">
        <v>16</v>
      </c>
      <c r="F32" s="24"/>
    </row>
    <row r="33" s="1" customFormat="1" ht="20" customHeight="1" spans="1:21">
      <c r="A33" s="14">
        <v>31</v>
      </c>
      <c r="B33" s="15" t="str">
        <f t="shared" ref="B33:B46" si="5">"202"</f>
        <v>202</v>
      </c>
      <c r="C33" s="15" t="str">
        <f>"赵霄霄"</f>
        <v>赵霄霄</v>
      </c>
      <c r="D33" s="15" t="str">
        <f t="shared" ref="D33:D36" si="6">"女"</f>
        <v>女</v>
      </c>
      <c r="E33" s="16" t="str">
        <f>"南阳师范学院"</f>
        <v>南阳师范学院</v>
      </c>
      <c r="F33" s="1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="1" customFormat="1" ht="20" customHeight="1" spans="1:21">
      <c r="A34" s="14">
        <v>32</v>
      </c>
      <c r="B34" s="15" t="str">
        <f t="shared" si="5"/>
        <v>202</v>
      </c>
      <c r="C34" s="15" t="str">
        <f>"姜天方"</f>
        <v>姜天方</v>
      </c>
      <c r="D34" s="15" t="str">
        <f>"男"</f>
        <v>男</v>
      </c>
      <c r="E34" s="16" t="str">
        <f>"大连海事大学"</f>
        <v>大连海事大学</v>
      </c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="1" customFormat="1" ht="20" customHeight="1" spans="1:21">
      <c r="A35" s="14">
        <v>33</v>
      </c>
      <c r="B35" s="15" t="str">
        <f t="shared" si="5"/>
        <v>202</v>
      </c>
      <c r="C35" s="15" t="str">
        <f>"华贺英"</f>
        <v>华贺英</v>
      </c>
      <c r="D35" s="15" t="str">
        <f t="shared" si="6"/>
        <v>女</v>
      </c>
      <c r="E35" s="16" t="str">
        <f>"信阳师范学院"</f>
        <v>信阳师范学院</v>
      </c>
      <c r="F35" s="1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="1" customFormat="1" ht="20" customHeight="1" spans="1:21">
      <c r="A36" s="14">
        <v>34</v>
      </c>
      <c r="B36" s="15" t="str">
        <f t="shared" si="5"/>
        <v>202</v>
      </c>
      <c r="C36" s="15" t="str">
        <f>"赵梦迪"</f>
        <v>赵梦迪</v>
      </c>
      <c r="D36" s="15" t="str">
        <f t="shared" si="6"/>
        <v>女</v>
      </c>
      <c r="E36" s="16" t="str">
        <f>"南阳师范学院"</f>
        <v>南阳师范学院</v>
      </c>
      <c r="F36" s="1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="1" customFormat="1" ht="20" customHeight="1" spans="1:21">
      <c r="A37" s="14">
        <v>35</v>
      </c>
      <c r="B37" s="15" t="str">
        <f t="shared" si="5"/>
        <v>202</v>
      </c>
      <c r="C37" s="15" t="str">
        <f>"尹清哲"</f>
        <v>尹清哲</v>
      </c>
      <c r="D37" s="15" t="str">
        <f>"男"</f>
        <v>男</v>
      </c>
      <c r="E37" s="16" t="str">
        <f>"河南师范大学"</f>
        <v>河南师范大学</v>
      </c>
      <c r="F37" s="1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="1" customFormat="1" ht="20" customHeight="1" spans="1:21">
      <c r="A38" s="14">
        <v>36</v>
      </c>
      <c r="B38" s="15" t="str">
        <f t="shared" si="5"/>
        <v>202</v>
      </c>
      <c r="C38" s="15" t="str">
        <f>"杨慧"</f>
        <v>杨慧</v>
      </c>
      <c r="D38" s="15" t="str">
        <f t="shared" ref="D38:D64" si="7">"女"</f>
        <v>女</v>
      </c>
      <c r="E38" s="16" t="str">
        <f>"南宁师范大学师园学院"</f>
        <v>南宁师范大学师园学院</v>
      </c>
      <c r="F38" s="1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="1" customFormat="1" ht="20" customHeight="1" spans="1:21">
      <c r="A39" s="14">
        <v>37</v>
      </c>
      <c r="B39" s="15" t="str">
        <f t="shared" si="5"/>
        <v>202</v>
      </c>
      <c r="C39" s="15" t="str">
        <f>"时瑞"</f>
        <v>时瑞</v>
      </c>
      <c r="D39" s="15" t="str">
        <f t="shared" si="7"/>
        <v>女</v>
      </c>
      <c r="E39" s="16" t="str">
        <f>"河南大学"</f>
        <v>河南大学</v>
      </c>
      <c r="F39" s="1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="2" customFormat="1" ht="20" customHeight="1" spans="1:6">
      <c r="A40" s="14">
        <v>38</v>
      </c>
      <c r="B40" s="21" t="str">
        <f t="shared" si="5"/>
        <v>202</v>
      </c>
      <c r="C40" s="21" t="str">
        <f>"李丹阳"</f>
        <v>李丹阳</v>
      </c>
      <c r="D40" s="21" t="str">
        <f t="shared" si="7"/>
        <v>女</v>
      </c>
      <c r="E40" s="22" t="str">
        <f>"南昌师范学院"</f>
        <v>南昌师范学院</v>
      </c>
      <c r="F40" s="23"/>
    </row>
    <row r="41" s="2" customFormat="1" ht="20" customHeight="1" spans="1:6">
      <c r="A41" s="14">
        <v>39</v>
      </c>
      <c r="B41" s="21" t="str">
        <f t="shared" si="5"/>
        <v>202</v>
      </c>
      <c r="C41" s="21" t="str">
        <f>"范红鑫"</f>
        <v>范红鑫</v>
      </c>
      <c r="D41" s="21" t="str">
        <f t="shared" si="7"/>
        <v>女</v>
      </c>
      <c r="E41" s="22" t="str">
        <f>"河南师范大学"</f>
        <v>河南师范大学</v>
      </c>
      <c r="F41" s="23"/>
    </row>
    <row r="42" s="2" customFormat="1" ht="20" customHeight="1" spans="1:6">
      <c r="A42" s="14">
        <v>40</v>
      </c>
      <c r="B42" s="21" t="str">
        <f t="shared" si="5"/>
        <v>202</v>
      </c>
      <c r="C42" s="21" t="str">
        <f>"贾俊锋"</f>
        <v>贾俊锋</v>
      </c>
      <c r="D42" s="21" t="str">
        <f t="shared" si="7"/>
        <v>女</v>
      </c>
      <c r="E42" s="22" t="str">
        <f>"南阳师范学院"</f>
        <v>南阳师范学院</v>
      </c>
      <c r="F42" s="23"/>
    </row>
    <row r="43" s="2" customFormat="1" ht="20" customHeight="1" spans="1:6">
      <c r="A43" s="14">
        <v>41</v>
      </c>
      <c r="B43" s="21" t="str">
        <f t="shared" si="5"/>
        <v>202</v>
      </c>
      <c r="C43" s="21" t="str">
        <f>"李峥"</f>
        <v>李峥</v>
      </c>
      <c r="D43" s="21" t="str">
        <f t="shared" si="7"/>
        <v>女</v>
      </c>
      <c r="E43" s="22" t="str">
        <f>"河南大学"</f>
        <v>河南大学</v>
      </c>
      <c r="F43" s="23"/>
    </row>
    <row r="44" s="2" customFormat="1" ht="20" customHeight="1" spans="1:6">
      <c r="A44" s="14">
        <v>42</v>
      </c>
      <c r="B44" s="21" t="str">
        <f t="shared" si="5"/>
        <v>202</v>
      </c>
      <c r="C44" s="21" t="str">
        <f>"王璐瑶"</f>
        <v>王璐瑶</v>
      </c>
      <c r="D44" s="21" t="str">
        <f t="shared" si="7"/>
        <v>女</v>
      </c>
      <c r="E44" s="22" t="str">
        <f>"商丘师范学院"</f>
        <v>商丘师范学院</v>
      </c>
      <c r="F44" s="23"/>
    </row>
    <row r="45" s="2" customFormat="1" ht="20" customHeight="1" spans="1:6">
      <c r="A45" s="14">
        <v>43</v>
      </c>
      <c r="B45" s="17" t="str">
        <f t="shared" si="5"/>
        <v>202</v>
      </c>
      <c r="C45" s="17" t="str">
        <f>"张薇"</f>
        <v>张薇</v>
      </c>
      <c r="D45" s="17" t="str">
        <f t="shared" si="7"/>
        <v>女</v>
      </c>
      <c r="E45" s="16" t="str">
        <f>"华南理工大学"</f>
        <v>华南理工大学</v>
      </c>
      <c r="F45" s="24"/>
    </row>
    <row r="46" s="3" customFormat="1" ht="20" customHeight="1" spans="1:6">
      <c r="A46" s="14">
        <v>44</v>
      </c>
      <c r="B46" s="25" t="str">
        <f t="shared" si="5"/>
        <v>202</v>
      </c>
      <c r="C46" s="25" t="str">
        <f>"王英"</f>
        <v>王英</v>
      </c>
      <c r="D46" s="25" t="str">
        <f t="shared" si="7"/>
        <v>女</v>
      </c>
      <c r="E46" s="22" t="str">
        <f>"南阳师范学院"</f>
        <v>南阳师范学院</v>
      </c>
      <c r="F46" s="26"/>
    </row>
    <row r="47" s="1" customFormat="1" ht="20" customHeight="1" spans="1:21">
      <c r="A47" s="14">
        <v>45</v>
      </c>
      <c r="B47" s="15" t="str">
        <f t="shared" ref="B47:B56" si="8">"203"</f>
        <v>203</v>
      </c>
      <c r="C47" s="15" t="str">
        <f>"薛书宁"</f>
        <v>薛书宁</v>
      </c>
      <c r="D47" s="15" t="str">
        <f t="shared" si="7"/>
        <v>女</v>
      </c>
      <c r="E47" s="16" t="str">
        <f>"暨南大学"</f>
        <v>暨南大学</v>
      </c>
      <c r="F47" s="1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="1" customFormat="1" ht="20" customHeight="1" spans="1:21">
      <c r="A48" s="14">
        <v>46</v>
      </c>
      <c r="B48" s="15" t="str">
        <f t="shared" si="8"/>
        <v>203</v>
      </c>
      <c r="C48" s="15" t="str">
        <f>"李星雨"</f>
        <v>李星雨</v>
      </c>
      <c r="D48" s="15" t="str">
        <f t="shared" si="7"/>
        <v>女</v>
      </c>
      <c r="E48" s="16" t="str">
        <f>"南阳师范学院"</f>
        <v>南阳师范学院</v>
      </c>
      <c r="F48" s="1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="1" customFormat="1" ht="20" customHeight="1" spans="1:21">
      <c r="A49" s="14">
        <v>47</v>
      </c>
      <c r="B49" s="15" t="str">
        <f t="shared" si="8"/>
        <v>203</v>
      </c>
      <c r="C49" s="15" t="str">
        <f>"周静"</f>
        <v>周静</v>
      </c>
      <c r="D49" s="15" t="str">
        <f t="shared" si="7"/>
        <v>女</v>
      </c>
      <c r="E49" s="16" t="str">
        <f>"广西大学"</f>
        <v>广西大学</v>
      </c>
      <c r="F49" s="1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="1" customFormat="1" ht="20" customHeight="1" spans="1:21">
      <c r="A50" s="14">
        <v>48</v>
      </c>
      <c r="B50" s="15" t="str">
        <f t="shared" si="8"/>
        <v>203</v>
      </c>
      <c r="C50" s="15" t="str">
        <f>"周紫平"</f>
        <v>周紫平</v>
      </c>
      <c r="D50" s="15" t="str">
        <f t="shared" si="7"/>
        <v>女</v>
      </c>
      <c r="E50" s="16" t="str">
        <f>"河南科技学院"</f>
        <v>河南科技学院</v>
      </c>
      <c r="F50" s="1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="1" customFormat="1" ht="20" customHeight="1" spans="1:21">
      <c r="A51" s="14">
        <v>49</v>
      </c>
      <c r="B51" s="15" t="str">
        <f t="shared" si="8"/>
        <v>203</v>
      </c>
      <c r="C51" s="15" t="str">
        <f>"惠营东"</f>
        <v>惠营东</v>
      </c>
      <c r="D51" s="15" t="str">
        <f t="shared" si="7"/>
        <v>女</v>
      </c>
      <c r="E51" s="16" t="str">
        <f>"河南科技学院"</f>
        <v>河南科技学院</v>
      </c>
      <c r="F51" s="15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="1" customFormat="1" ht="20" customHeight="1" spans="1:21">
      <c r="A52" s="14">
        <v>50</v>
      </c>
      <c r="B52" s="15" t="str">
        <f t="shared" si="8"/>
        <v>203</v>
      </c>
      <c r="C52" s="15" t="str">
        <f>"段明明"</f>
        <v>段明明</v>
      </c>
      <c r="D52" s="15" t="str">
        <f t="shared" si="7"/>
        <v>女</v>
      </c>
      <c r="E52" s="16" t="s">
        <v>17</v>
      </c>
      <c r="F52" s="1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="1" customFormat="1" ht="20" customHeight="1" spans="1:21">
      <c r="A53" s="14">
        <v>51</v>
      </c>
      <c r="B53" s="15" t="str">
        <f t="shared" si="8"/>
        <v>203</v>
      </c>
      <c r="C53" s="15" t="str">
        <f>"翟嘉莹"</f>
        <v>翟嘉莹</v>
      </c>
      <c r="D53" s="15" t="str">
        <f t="shared" si="7"/>
        <v>女</v>
      </c>
      <c r="E53" s="16" t="str">
        <f>"平顶山学院"</f>
        <v>平顶山学院</v>
      </c>
      <c r="F53" s="1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="1" customFormat="1" ht="20" customHeight="1" spans="1:21">
      <c r="A54" s="14">
        <v>52</v>
      </c>
      <c r="B54" s="15" t="str">
        <f t="shared" si="8"/>
        <v>203</v>
      </c>
      <c r="C54" s="15" t="str">
        <f>"赵晶"</f>
        <v>赵晶</v>
      </c>
      <c r="D54" s="15" t="str">
        <f t="shared" si="7"/>
        <v>女</v>
      </c>
      <c r="E54" s="16" t="str">
        <f>"信阳师范学院"</f>
        <v>信阳师范学院</v>
      </c>
      <c r="F54" s="1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="4" customFormat="1" ht="20" customHeight="1" spans="1:6">
      <c r="A55" s="14">
        <v>53</v>
      </c>
      <c r="B55" s="21" t="str">
        <f t="shared" si="8"/>
        <v>203</v>
      </c>
      <c r="C55" s="21" t="str">
        <f>"张笑蕴"</f>
        <v>张笑蕴</v>
      </c>
      <c r="D55" s="21" t="str">
        <f t="shared" si="7"/>
        <v>女</v>
      </c>
      <c r="E55" s="22" t="str">
        <f t="shared" ref="E55:E59" si="9">"南阳师范学院"</f>
        <v>南阳师范学院</v>
      </c>
      <c r="F55" s="27"/>
    </row>
    <row r="56" s="4" customFormat="1" ht="20" customHeight="1" spans="1:6">
      <c r="A56" s="14">
        <v>54</v>
      </c>
      <c r="B56" s="21" t="str">
        <f t="shared" si="8"/>
        <v>203</v>
      </c>
      <c r="C56" s="21" t="str">
        <f>"杨苏豫"</f>
        <v>杨苏豫</v>
      </c>
      <c r="D56" s="21" t="str">
        <f t="shared" si="7"/>
        <v>女</v>
      </c>
      <c r="E56" s="22" t="str">
        <f>"商丘师范学院"</f>
        <v>商丘师范学院</v>
      </c>
      <c r="F56" s="27"/>
    </row>
    <row r="57" s="1" customFormat="1" ht="20" customHeight="1" spans="1:21">
      <c r="A57" s="14">
        <v>55</v>
      </c>
      <c r="B57" s="15" t="str">
        <f t="shared" ref="B57:B59" si="10">"204"</f>
        <v>204</v>
      </c>
      <c r="C57" s="15" t="str">
        <f>"贺君毅"</f>
        <v>贺君毅</v>
      </c>
      <c r="D57" s="15" t="str">
        <f t="shared" si="7"/>
        <v>女</v>
      </c>
      <c r="E57" s="16" t="str">
        <f t="shared" si="9"/>
        <v>南阳师范学院</v>
      </c>
      <c r="F57" s="1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="1" customFormat="1" ht="20" customHeight="1" spans="1:21">
      <c r="A58" s="14">
        <v>56</v>
      </c>
      <c r="B58" s="15" t="str">
        <f t="shared" si="10"/>
        <v>204</v>
      </c>
      <c r="C58" s="15" t="str">
        <f>"张丽"</f>
        <v>张丽</v>
      </c>
      <c r="D58" s="15" t="str">
        <f t="shared" si="7"/>
        <v>女</v>
      </c>
      <c r="E58" s="16" t="str">
        <f>"周口师范学院"</f>
        <v>周口师范学院</v>
      </c>
      <c r="F58" s="1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="4" customFormat="1" ht="20" customHeight="1" spans="1:6">
      <c r="A59" s="14">
        <v>57</v>
      </c>
      <c r="B59" s="21" t="str">
        <f t="shared" si="10"/>
        <v>204</v>
      </c>
      <c r="C59" s="21" t="str">
        <f>"武赵平"</f>
        <v>武赵平</v>
      </c>
      <c r="D59" s="21" t="str">
        <f t="shared" si="7"/>
        <v>女</v>
      </c>
      <c r="E59" s="22" t="str">
        <f t="shared" si="9"/>
        <v>南阳师范学院</v>
      </c>
      <c r="F59" s="27"/>
    </row>
    <row r="60" s="1" customFormat="1" ht="20" customHeight="1" spans="1:21">
      <c r="A60" s="14">
        <v>58</v>
      </c>
      <c r="B60" s="15" t="str">
        <f>"205"</f>
        <v>205</v>
      </c>
      <c r="C60" s="15" t="str">
        <f>"朱侠柯"</f>
        <v>朱侠柯</v>
      </c>
      <c r="D60" s="15" t="str">
        <f t="shared" si="7"/>
        <v>女</v>
      </c>
      <c r="E60" s="16" t="str">
        <f>"安阳师范学院"</f>
        <v>安阳师范学院</v>
      </c>
      <c r="F60" s="1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="1" customFormat="1" ht="20" customHeight="1" spans="1:21">
      <c r="A61" s="14">
        <v>59</v>
      </c>
      <c r="B61" s="15" t="str">
        <f>"205"</f>
        <v>205</v>
      </c>
      <c r="C61" s="15" t="str">
        <f>"吕琳"</f>
        <v>吕琳</v>
      </c>
      <c r="D61" s="15" t="str">
        <f t="shared" si="7"/>
        <v>女</v>
      </c>
      <c r="E61" s="16" t="str">
        <f>"河南师范大学"</f>
        <v>河南师范大学</v>
      </c>
      <c r="F61" s="1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="1" customFormat="1" ht="20" customHeight="1" spans="1:21">
      <c r="A62" s="14">
        <v>60</v>
      </c>
      <c r="B62" s="15" t="str">
        <f t="shared" ref="B62:B65" si="11">"206"</f>
        <v>206</v>
      </c>
      <c r="C62" s="15" t="str">
        <f>"魏静"</f>
        <v>魏静</v>
      </c>
      <c r="D62" s="15" t="str">
        <f t="shared" si="7"/>
        <v>女</v>
      </c>
      <c r="E62" s="16" t="str">
        <f>"商丘师范学院"</f>
        <v>商丘师范学院</v>
      </c>
      <c r="F62" s="1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="1" customFormat="1" ht="20" customHeight="1" spans="1:21">
      <c r="A63" s="14">
        <v>61</v>
      </c>
      <c r="B63" s="15" t="str">
        <f t="shared" si="11"/>
        <v>206</v>
      </c>
      <c r="C63" s="15" t="str">
        <f>"姜惠"</f>
        <v>姜惠</v>
      </c>
      <c r="D63" s="15" t="str">
        <f t="shared" si="7"/>
        <v>女</v>
      </c>
      <c r="E63" s="16" t="str">
        <f>"信阳学院"</f>
        <v>信阳学院</v>
      </c>
      <c r="F63" s="1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="1" customFormat="1" ht="20" customHeight="1" spans="1:21">
      <c r="A64" s="14">
        <v>62</v>
      </c>
      <c r="B64" s="15" t="str">
        <f t="shared" si="11"/>
        <v>206</v>
      </c>
      <c r="C64" s="15" t="str">
        <f>"孟桔莹"</f>
        <v>孟桔莹</v>
      </c>
      <c r="D64" s="15" t="str">
        <f t="shared" si="7"/>
        <v>女</v>
      </c>
      <c r="E64" s="16" t="str">
        <f>"河南大学"</f>
        <v>河南大学</v>
      </c>
      <c r="F64" s="1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="4" customFormat="1" ht="20" customHeight="1" spans="1:6">
      <c r="A65" s="14">
        <v>63</v>
      </c>
      <c r="B65" s="21" t="str">
        <f t="shared" si="11"/>
        <v>206</v>
      </c>
      <c r="C65" s="21" t="str">
        <f>"魏超"</f>
        <v>魏超</v>
      </c>
      <c r="D65" s="21" t="str">
        <f>"男"</f>
        <v>男</v>
      </c>
      <c r="E65" s="22" t="str">
        <f>"许昌学院"</f>
        <v>许昌学院</v>
      </c>
      <c r="F65" s="27"/>
    </row>
    <row r="66" s="1" customFormat="1" ht="20" customHeight="1" spans="1:21">
      <c r="A66" s="14">
        <v>64</v>
      </c>
      <c r="B66" s="15" t="str">
        <f>"207"</f>
        <v>207</v>
      </c>
      <c r="C66" s="15" t="str">
        <f>"王庆伟"</f>
        <v>王庆伟</v>
      </c>
      <c r="D66" s="15" t="str">
        <f t="shared" ref="D66:D74" si="12">"女"</f>
        <v>女</v>
      </c>
      <c r="E66" s="16" t="str">
        <f>"南阳师范学院"</f>
        <v>南阳师范学院</v>
      </c>
      <c r="F66" s="1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="2" customFormat="1" ht="20" customHeight="1" spans="1:6">
      <c r="A67" s="14">
        <v>65</v>
      </c>
      <c r="B67" s="17" t="s">
        <v>18</v>
      </c>
      <c r="C67" s="17" t="s">
        <v>19</v>
      </c>
      <c r="D67" s="17" t="s">
        <v>10</v>
      </c>
      <c r="E67" s="16" t="s">
        <v>20</v>
      </c>
      <c r="F67" s="28"/>
    </row>
    <row r="68" s="2" customFormat="1" ht="20" customHeight="1" spans="1:6">
      <c r="A68" s="14">
        <v>66</v>
      </c>
      <c r="B68" s="19" t="s">
        <v>18</v>
      </c>
      <c r="C68" s="19" t="s">
        <v>21</v>
      </c>
      <c r="D68" s="19" t="s">
        <v>10</v>
      </c>
      <c r="E68" s="20" t="s">
        <v>22</v>
      </c>
      <c r="F68" s="28"/>
    </row>
    <row r="69" s="3" customFormat="1" ht="20" customHeight="1" spans="1:6">
      <c r="A69" s="14">
        <v>67</v>
      </c>
      <c r="B69" s="25" t="str">
        <f>"208"</f>
        <v>208</v>
      </c>
      <c r="C69" s="25" t="str">
        <f>"李甜"</f>
        <v>李甜</v>
      </c>
      <c r="D69" s="25" t="str">
        <f t="shared" si="12"/>
        <v>女</v>
      </c>
      <c r="E69" s="22" t="str">
        <f>"洛阳师范学院"</f>
        <v>洛阳师范学院</v>
      </c>
      <c r="F69" s="25"/>
    </row>
    <row r="70" s="3" customFormat="1" ht="20" customHeight="1" spans="1:6">
      <c r="A70" s="14">
        <v>68</v>
      </c>
      <c r="B70" s="25" t="str">
        <f>"208"</f>
        <v>208</v>
      </c>
      <c r="C70" s="25" t="str">
        <f>"张扬"</f>
        <v>张扬</v>
      </c>
      <c r="D70" s="25" t="str">
        <f>"男"</f>
        <v>男</v>
      </c>
      <c r="E70" s="22" t="str">
        <f>"山东师范大学"</f>
        <v>山东师范大学</v>
      </c>
      <c r="F70" s="25"/>
    </row>
    <row r="71" s="1" customFormat="1" ht="20" customHeight="1" spans="1:21">
      <c r="A71" s="14">
        <v>69</v>
      </c>
      <c r="B71" s="15" t="str">
        <f t="shared" ref="B71:B74" si="13">"209"</f>
        <v>209</v>
      </c>
      <c r="C71" s="15" t="str">
        <f>"赵涵"</f>
        <v>赵涵</v>
      </c>
      <c r="D71" s="15" t="str">
        <f t="shared" si="12"/>
        <v>女</v>
      </c>
      <c r="E71" s="16" t="str">
        <f>"南昌师范学院"</f>
        <v>南昌师范学院</v>
      </c>
      <c r="F71" s="1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="1" customFormat="1" ht="20" customHeight="1" spans="1:21">
      <c r="A72" s="14">
        <v>70</v>
      </c>
      <c r="B72" s="15" t="str">
        <f t="shared" si="13"/>
        <v>209</v>
      </c>
      <c r="C72" s="15" t="str">
        <f>"杨洁"</f>
        <v>杨洁</v>
      </c>
      <c r="D72" s="15" t="str">
        <f t="shared" si="12"/>
        <v>女</v>
      </c>
      <c r="E72" s="16" t="str">
        <f>"河南科技学院"</f>
        <v>河南科技学院</v>
      </c>
      <c r="F72" s="1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="1" customFormat="1" ht="20" customHeight="1" spans="1:21">
      <c r="A73" s="14">
        <v>71</v>
      </c>
      <c r="B73" s="15" t="str">
        <f t="shared" si="13"/>
        <v>209</v>
      </c>
      <c r="C73" s="15" t="str">
        <f>"仝红阳"</f>
        <v>仝红阳</v>
      </c>
      <c r="D73" s="15" t="str">
        <f t="shared" si="12"/>
        <v>女</v>
      </c>
      <c r="E73" s="16" t="str">
        <f>"上海大学"</f>
        <v>上海大学</v>
      </c>
      <c r="F73" s="1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="4" customFormat="1" ht="20" customHeight="1" spans="1:6">
      <c r="A74" s="14">
        <v>72</v>
      </c>
      <c r="B74" s="21" t="str">
        <f t="shared" si="13"/>
        <v>209</v>
      </c>
      <c r="C74" s="21" t="str">
        <f>"王庆云"</f>
        <v>王庆云</v>
      </c>
      <c r="D74" s="21" t="str">
        <f t="shared" si="12"/>
        <v>女</v>
      </c>
      <c r="E74" s="22" t="str">
        <f>"河南师范大学"</f>
        <v>河南师范大学</v>
      </c>
      <c r="F74" s="27"/>
    </row>
    <row r="75" s="1" customFormat="1" ht="20" customHeight="1" spans="1:21">
      <c r="A75" s="14">
        <v>73</v>
      </c>
      <c r="B75" s="15" t="str">
        <f>"210"</f>
        <v>210</v>
      </c>
      <c r="C75" s="15" t="str">
        <f>"李准"</f>
        <v>李准</v>
      </c>
      <c r="D75" s="15" t="str">
        <f>"男"</f>
        <v>男</v>
      </c>
      <c r="E75" s="16" t="str">
        <f>"新乡学院"</f>
        <v>新乡学院</v>
      </c>
      <c r="F75" s="1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="3" customFormat="1" ht="20" customHeight="1" spans="1:6">
      <c r="A76" s="14">
        <v>74</v>
      </c>
      <c r="B76" s="25" t="str">
        <f>"210"</f>
        <v>210</v>
      </c>
      <c r="C76" s="25" t="str">
        <f>"王丹妮"</f>
        <v>王丹妮</v>
      </c>
      <c r="D76" s="25" t="str">
        <f t="shared" ref="D76:D94" si="14">"女"</f>
        <v>女</v>
      </c>
      <c r="E76" s="22" t="str">
        <f>"贵州师范学院"</f>
        <v>贵州师范学院</v>
      </c>
      <c r="F76" s="25"/>
    </row>
    <row r="77" s="1" customFormat="1" ht="20" customHeight="1" spans="1:21">
      <c r="A77" s="14">
        <v>75</v>
      </c>
      <c r="B77" s="15" t="str">
        <f>"211"</f>
        <v>211</v>
      </c>
      <c r="C77" s="15" t="str">
        <f>"曾韵怡"</f>
        <v>曾韵怡</v>
      </c>
      <c r="D77" s="15" t="str">
        <f t="shared" si="14"/>
        <v>女</v>
      </c>
      <c r="E77" s="16" t="str">
        <f>"渭南师范学院"</f>
        <v>渭南师范学院</v>
      </c>
      <c r="F77" s="1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="2" customFormat="1" ht="20" customHeight="1" spans="1:6">
      <c r="A78" s="14">
        <v>76</v>
      </c>
      <c r="B78" s="17" t="str">
        <f>"211"</f>
        <v>211</v>
      </c>
      <c r="C78" s="17" t="str">
        <f>"许瑞勤"</f>
        <v>许瑞勤</v>
      </c>
      <c r="D78" s="17" t="str">
        <f t="shared" si="14"/>
        <v>女</v>
      </c>
      <c r="E78" s="16" t="str">
        <f>"西安文理学院"</f>
        <v>西安文理学院</v>
      </c>
      <c r="F78" s="28"/>
    </row>
    <row r="79" s="4" customFormat="1" ht="20" customHeight="1" spans="1:6">
      <c r="A79" s="14">
        <v>77</v>
      </c>
      <c r="B79" s="21" t="str">
        <f>"212"</f>
        <v>212</v>
      </c>
      <c r="C79" s="21" t="str">
        <f>"刘丽君"</f>
        <v>刘丽君</v>
      </c>
      <c r="D79" s="21" t="str">
        <f t="shared" si="14"/>
        <v>女</v>
      </c>
      <c r="E79" s="22" t="str">
        <f>"河南科技学院"</f>
        <v>河南科技学院</v>
      </c>
      <c r="F79" s="27"/>
    </row>
    <row r="80" s="2" customFormat="1" ht="20" customHeight="1" spans="1:6">
      <c r="A80" s="14">
        <v>78</v>
      </c>
      <c r="B80" s="17" t="str">
        <f>"212"</f>
        <v>212</v>
      </c>
      <c r="C80" s="17" t="str">
        <f>"朱珊珊"</f>
        <v>朱珊珊</v>
      </c>
      <c r="D80" s="17" t="str">
        <f t="shared" si="14"/>
        <v>女</v>
      </c>
      <c r="E80" s="16" t="str">
        <f>"郑州师范学院"</f>
        <v>郑州师范学院</v>
      </c>
      <c r="F80" s="29"/>
    </row>
    <row r="81" s="1" customFormat="1" ht="20" customHeight="1" spans="1:21">
      <c r="A81" s="14">
        <v>79</v>
      </c>
      <c r="B81" s="15" t="str">
        <f>"213"</f>
        <v>213</v>
      </c>
      <c r="C81" s="15" t="str">
        <f>"罗宇"</f>
        <v>罗宇</v>
      </c>
      <c r="D81" s="15" t="str">
        <f t="shared" si="14"/>
        <v>女</v>
      </c>
      <c r="E81" s="16" t="str">
        <f>"南阳师范学院"</f>
        <v>南阳师范学院</v>
      </c>
      <c r="F81" s="1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="2" customFormat="1" ht="20" customHeight="1" spans="1:6">
      <c r="A82" s="14">
        <v>80</v>
      </c>
      <c r="B82" s="17" t="str">
        <f>"213"</f>
        <v>213</v>
      </c>
      <c r="C82" s="17" t="str">
        <f>"刘平平"</f>
        <v>刘平平</v>
      </c>
      <c r="D82" s="17" t="str">
        <f t="shared" si="14"/>
        <v>女</v>
      </c>
      <c r="E82" s="16" t="str">
        <f>"河南科技学院"</f>
        <v>河南科技学院</v>
      </c>
      <c r="F82" s="28"/>
    </row>
    <row r="83" s="1" customFormat="1" ht="20" customHeight="1" spans="1:21">
      <c r="A83" s="14">
        <v>81</v>
      </c>
      <c r="B83" s="15" t="str">
        <f>"214"</f>
        <v>214</v>
      </c>
      <c r="C83" s="15" t="str">
        <f>"熊萌"</f>
        <v>熊萌</v>
      </c>
      <c r="D83" s="15" t="str">
        <f t="shared" si="14"/>
        <v>女</v>
      </c>
      <c r="E83" s="16" t="s">
        <v>23</v>
      </c>
      <c r="F83" s="15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="1" customFormat="1" ht="20" customHeight="1" spans="1:21">
      <c r="A84" s="14">
        <v>82</v>
      </c>
      <c r="B84" s="15" t="str">
        <f>"214"</f>
        <v>214</v>
      </c>
      <c r="C84" s="15" t="str">
        <f>"徐珊"</f>
        <v>徐珊</v>
      </c>
      <c r="D84" s="15" t="str">
        <f t="shared" si="14"/>
        <v>女</v>
      </c>
      <c r="E84" s="16" t="str">
        <f>"四川外国语大学"</f>
        <v>四川外国语大学</v>
      </c>
      <c r="F84" s="1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="1" customFormat="1" ht="20" customHeight="1" spans="1:21">
      <c r="A85" s="14">
        <v>83</v>
      </c>
      <c r="B85" s="15" t="str">
        <f>"301"</f>
        <v>301</v>
      </c>
      <c r="C85" s="15" t="str">
        <f>"池艳慧"</f>
        <v>池艳慧</v>
      </c>
      <c r="D85" s="15" t="str">
        <f t="shared" si="14"/>
        <v>女</v>
      </c>
      <c r="E85" s="16" t="str">
        <f>"中原工学院信息商务学院"</f>
        <v>中原工学院信息商务学院</v>
      </c>
      <c r="F85" s="1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="1" customFormat="1" ht="20" customHeight="1" spans="1:21">
      <c r="A86" s="14">
        <v>84</v>
      </c>
      <c r="B86" s="15" t="str">
        <f>"301"</f>
        <v>301</v>
      </c>
      <c r="C86" s="15" t="str">
        <f>"梁振焕"</f>
        <v>梁振焕</v>
      </c>
      <c r="D86" s="15" t="str">
        <f t="shared" si="14"/>
        <v>女</v>
      </c>
      <c r="E86" s="16" t="str">
        <f>"河南大学民生学院"</f>
        <v>河南大学民生学院</v>
      </c>
      <c r="F86" s="1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="1" customFormat="1" ht="20" customHeight="1" spans="1:21">
      <c r="A87" s="14">
        <v>85</v>
      </c>
      <c r="B87" s="15" t="str">
        <f t="shared" ref="B87:B89" si="15">"302"</f>
        <v>302</v>
      </c>
      <c r="C87" s="15" t="str">
        <f>"李佳"</f>
        <v>李佳</v>
      </c>
      <c r="D87" s="15" t="str">
        <f t="shared" si="14"/>
        <v>女</v>
      </c>
      <c r="E87" s="16" t="str">
        <f>"中原工学院信息商务学院"</f>
        <v>中原工学院信息商务学院</v>
      </c>
      <c r="F87" s="1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="1" customFormat="1" ht="20" customHeight="1" spans="1:21">
      <c r="A88" s="14">
        <v>86</v>
      </c>
      <c r="B88" s="15" t="str">
        <f t="shared" si="15"/>
        <v>302</v>
      </c>
      <c r="C88" s="15" t="str">
        <f>"董娜"</f>
        <v>董娜</v>
      </c>
      <c r="D88" s="15" t="str">
        <f t="shared" si="14"/>
        <v>女</v>
      </c>
      <c r="E88" s="16" t="str">
        <f>"平顶山学院"</f>
        <v>平顶山学院</v>
      </c>
      <c r="F88" s="1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="4" customFormat="1" ht="20" customHeight="1" spans="1:6">
      <c r="A89" s="14">
        <v>87</v>
      </c>
      <c r="B89" s="21" t="str">
        <f t="shared" si="15"/>
        <v>302</v>
      </c>
      <c r="C89" s="21" t="str">
        <f>"李琛"</f>
        <v>李琛</v>
      </c>
      <c r="D89" s="21" t="str">
        <f t="shared" si="14"/>
        <v>女</v>
      </c>
      <c r="E89" s="22" t="str">
        <f>"南阳理工学院"</f>
        <v>南阳理工学院</v>
      </c>
      <c r="F89" s="27"/>
    </row>
    <row r="90" s="1" customFormat="1" ht="20" customHeight="1" spans="1:21">
      <c r="A90" s="14">
        <v>88</v>
      </c>
      <c r="B90" s="15" t="str">
        <f>"303"</f>
        <v>303</v>
      </c>
      <c r="C90" s="15" t="str">
        <f>"侯小玲"</f>
        <v>侯小玲</v>
      </c>
      <c r="D90" s="15" t="str">
        <f t="shared" si="14"/>
        <v>女</v>
      </c>
      <c r="E90" s="16" t="str">
        <f>"河南师范大学"</f>
        <v>河南师范大学</v>
      </c>
      <c r="F90" s="15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="1" customFormat="1" ht="20" customHeight="1" spans="1:21">
      <c r="A91" s="14">
        <v>89</v>
      </c>
      <c r="B91" s="15" t="str">
        <f>"303"</f>
        <v>303</v>
      </c>
      <c r="C91" s="15" t="str">
        <f>"袁丽"</f>
        <v>袁丽</v>
      </c>
      <c r="D91" s="15" t="str">
        <f t="shared" si="14"/>
        <v>女</v>
      </c>
      <c r="E91" s="16" t="str">
        <f>"商丘师范学院"</f>
        <v>商丘师范学院</v>
      </c>
      <c r="F91" s="15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="1" customFormat="1" ht="20" customHeight="1" spans="1:21">
      <c r="A92" s="14">
        <v>90</v>
      </c>
      <c r="B92" s="15" t="str">
        <f>"303"</f>
        <v>303</v>
      </c>
      <c r="C92" s="15" t="str">
        <f>"邢菊娜"</f>
        <v>邢菊娜</v>
      </c>
      <c r="D92" s="15" t="str">
        <f>"女"</f>
        <v>女</v>
      </c>
      <c r="E92" s="16" t="str">
        <f>"南阳师范学院"</f>
        <v>南阳师范学院</v>
      </c>
      <c r="F92" s="15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="1" customFormat="1" ht="20" customHeight="1" spans="1:21">
      <c r="A93" s="14">
        <v>91</v>
      </c>
      <c r="B93" s="15" t="str">
        <f>"305"</f>
        <v>305</v>
      </c>
      <c r="C93" s="15" t="str">
        <f>"王伟"</f>
        <v>王伟</v>
      </c>
      <c r="D93" s="15" t="str">
        <f>"女"</f>
        <v>女</v>
      </c>
      <c r="E93" s="16" t="str">
        <f>"河南师范大学"</f>
        <v>河南师范大学</v>
      </c>
      <c r="F93" s="15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="1" customFormat="1" ht="20" customHeight="1" spans="1:21">
      <c r="A94" s="14">
        <v>92</v>
      </c>
      <c r="B94" s="15" t="str">
        <f>"305"</f>
        <v>305</v>
      </c>
      <c r="C94" s="15" t="str">
        <f>"叶果"</f>
        <v>叶果</v>
      </c>
      <c r="D94" s="15" t="str">
        <f>"男"</f>
        <v>男</v>
      </c>
      <c r="E94" s="16" t="str">
        <f>"许昌学院"</f>
        <v>许昌学院</v>
      </c>
      <c r="F94" s="1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="2" customFormat="1" ht="20" customHeight="1" spans="1:6">
      <c r="A95" s="14">
        <v>93</v>
      </c>
      <c r="B95" s="17" t="str">
        <f>"307"</f>
        <v>307</v>
      </c>
      <c r="C95" s="17" t="str">
        <f>"马晓博"</f>
        <v>马晓博</v>
      </c>
      <c r="D95" s="17" t="str">
        <f>"男"</f>
        <v>男</v>
      </c>
      <c r="E95" s="16" t="str">
        <f>"安阳工学院"</f>
        <v>安阳工学院</v>
      </c>
      <c r="F95" s="28"/>
    </row>
    <row r="96" s="1" customFormat="1" ht="20" customHeight="1" spans="1:21">
      <c r="A96" s="14">
        <v>94</v>
      </c>
      <c r="B96" s="15" t="str">
        <f>"308"</f>
        <v>308</v>
      </c>
      <c r="C96" s="15" t="str">
        <f>"乔素雅"</f>
        <v>乔素雅</v>
      </c>
      <c r="D96" s="15" t="str">
        <f>"女"</f>
        <v>女</v>
      </c>
      <c r="E96" s="16" t="str">
        <f>"河南城建学院"</f>
        <v>河南城建学院</v>
      </c>
      <c r="F96" s="1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="1" customFormat="1" ht="20" customHeight="1" spans="1:21">
      <c r="A97" s="14">
        <v>95</v>
      </c>
      <c r="B97" s="15" t="str">
        <f>"308"</f>
        <v>308</v>
      </c>
      <c r="C97" s="15" t="str">
        <f>"蔡明明"</f>
        <v>蔡明明</v>
      </c>
      <c r="D97" s="15" t="str">
        <f>"女"</f>
        <v>女</v>
      </c>
      <c r="E97" s="16" t="str">
        <f>"河南科技大学"</f>
        <v>河南科技大学</v>
      </c>
      <c r="F97" s="1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="1" customFormat="1" ht="20" customHeight="1" spans="1:21">
      <c r="A98" s="14">
        <v>96</v>
      </c>
      <c r="B98" s="15" t="str">
        <f>"309"</f>
        <v>309</v>
      </c>
      <c r="C98" s="15" t="str">
        <f>"潘吉超"</f>
        <v>潘吉超</v>
      </c>
      <c r="D98" s="15" t="str">
        <f>"男"</f>
        <v>男</v>
      </c>
      <c r="E98" s="16" t="str">
        <f>"河南科技学院"</f>
        <v>河南科技学院</v>
      </c>
      <c r="F98" s="1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="1" customFormat="1" ht="20" customHeight="1" spans="1:21">
      <c r="A99" s="14">
        <v>97</v>
      </c>
      <c r="B99" s="21" t="str">
        <f t="shared" ref="B99:B116" si="16">"401"</f>
        <v>401</v>
      </c>
      <c r="C99" s="21" t="str">
        <f>"冯祖宇"</f>
        <v>冯祖宇</v>
      </c>
      <c r="D99" s="21" t="str">
        <f t="shared" ref="D99:D103" si="17">"女"</f>
        <v>女</v>
      </c>
      <c r="E99" s="22" t="str">
        <f>"周口师范学院"</f>
        <v>周口师范学院</v>
      </c>
      <c r="F99" s="2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="1" customFormat="1" ht="20" customHeight="1" spans="1:21">
      <c r="A100" s="14">
        <v>98</v>
      </c>
      <c r="B100" s="21" t="str">
        <f t="shared" si="16"/>
        <v>401</v>
      </c>
      <c r="C100" s="21" t="str">
        <f>"闫雪"</f>
        <v>闫雪</v>
      </c>
      <c r="D100" s="21" t="str">
        <f t="shared" si="17"/>
        <v>女</v>
      </c>
      <c r="E100" s="22" t="str">
        <f>"长春大学旅游学院"</f>
        <v>长春大学旅游学院</v>
      </c>
      <c r="F100" s="2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="1" customFormat="1" ht="20" customHeight="1" spans="1:21">
      <c r="A101" s="14">
        <v>99</v>
      </c>
      <c r="B101" s="21" t="str">
        <f t="shared" si="16"/>
        <v>401</v>
      </c>
      <c r="C101" s="21" t="str">
        <f>"丁洁"</f>
        <v>丁洁</v>
      </c>
      <c r="D101" s="21" t="str">
        <f t="shared" si="17"/>
        <v>女</v>
      </c>
      <c r="E101" s="22" t="str">
        <f>"许昌学院"</f>
        <v>许昌学院</v>
      </c>
      <c r="F101" s="2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="1" customFormat="1" ht="20" customHeight="1" spans="1:21">
      <c r="A102" s="14">
        <v>100</v>
      </c>
      <c r="B102" s="21" t="str">
        <f t="shared" si="16"/>
        <v>401</v>
      </c>
      <c r="C102" s="21" t="str">
        <f>"常萌"</f>
        <v>常萌</v>
      </c>
      <c r="D102" s="21" t="str">
        <f t="shared" si="17"/>
        <v>女</v>
      </c>
      <c r="E102" s="22" t="s">
        <v>24</v>
      </c>
      <c r="F102" s="2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="1" customFormat="1" ht="20" customHeight="1" spans="1:21">
      <c r="A103" s="14">
        <v>101</v>
      </c>
      <c r="B103" s="21" t="str">
        <f t="shared" si="16"/>
        <v>401</v>
      </c>
      <c r="C103" s="21" t="str">
        <f>"张英姿"</f>
        <v>张英姿</v>
      </c>
      <c r="D103" s="21" t="str">
        <f t="shared" si="17"/>
        <v>女</v>
      </c>
      <c r="E103" s="22" t="str">
        <f>"河南工业大学"</f>
        <v>河南工业大学</v>
      </c>
      <c r="F103" s="2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="1" customFormat="1" ht="20" customHeight="1" spans="1:21">
      <c r="A104" s="14">
        <v>102</v>
      </c>
      <c r="B104" s="21" t="str">
        <f t="shared" si="16"/>
        <v>401</v>
      </c>
      <c r="C104" s="21" t="str">
        <f>"袁梦达"</f>
        <v>袁梦达</v>
      </c>
      <c r="D104" s="21" t="str">
        <f>"男"</f>
        <v>男</v>
      </c>
      <c r="E104" s="22" t="str">
        <f>"黄淮学院"</f>
        <v>黄淮学院</v>
      </c>
      <c r="F104" s="2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="1" customFormat="1" ht="20" customHeight="1" spans="1:21">
      <c r="A105" s="14">
        <v>103</v>
      </c>
      <c r="B105" s="21" t="str">
        <f t="shared" si="16"/>
        <v>401</v>
      </c>
      <c r="C105" s="21" t="str">
        <f>"王梦"</f>
        <v>王梦</v>
      </c>
      <c r="D105" s="21" t="str">
        <f t="shared" ref="D105:D116" si="18">"女"</f>
        <v>女</v>
      </c>
      <c r="E105" s="22" t="str">
        <f>"安阳师范学院"</f>
        <v>安阳师范学院</v>
      </c>
      <c r="F105" s="2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="1" customFormat="1" ht="20" customHeight="1" spans="1:21">
      <c r="A106" s="14">
        <v>104</v>
      </c>
      <c r="B106" s="21" t="str">
        <f t="shared" si="16"/>
        <v>401</v>
      </c>
      <c r="C106" s="21" t="str">
        <f>"李婷婷"</f>
        <v>李婷婷</v>
      </c>
      <c r="D106" s="21" t="str">
        <f t="shared" si="18"/>
        <v>女</v>
      </c>
      <c r="E106" s="22" t="str">
        <f>"上海电力大学"</f>
        <v>上海电力大学</v>
      </c>
      <c r="F106" s="2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="1" customFormat="1" ht="20" customHeight="1" spans="1:21">
      <c r="A107" s="14">
        <v>105</v>
      </c>
      <c r="B107" s="21" t="str">
        <f t="shared" si="16"/>
        <v>401</v>
      </c>
      <c r="C107" s="21" t="str">
        <f>"薛雁嘉"</f>
        <v>薛雁嘉</v>
      </c>
      <c r="D107" s="21" t="str">
        <f t="shared" si="18"/>
        <v>女</v>
      </c>
      <c r="E107" s="22" t="str">
        <f>"信阳师范学院"</f>
        <v>信阳师范学院</v>
      </c>
      <c r="F107" s="2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="1" customFormat="1" ht="20" customHeight="1" spans="1:21">
      <c r="A108" s="14">
        <v>106</v>
      </c>
      <c r="B108" s="21" t="str">
        <f t="shared" si="16"/>
        <v>401</v>
      </c>
      <c r="C108" s="21" t="str">
        <f>"周锐"</f>
        <v>周锐</v>
      </c>
      <c r="D108" s="21" t="str">
        <f t="shared" si="18"/>
        <v>女</v>
      </c>
      <c r="E108" s="22" t="str">
        <f>"许昌学院"</f>
        <v>许昌学院</v>
      </c>
      <c r="F108" s="2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="1" customFormat="1" ht="20" customHeight="1" spans="1:21">
      <c r="A109" s="14">
        <v>107</v>
      </c>
      <c r="B109" s="21" t="str">
        <f t="shared" si="16"/>
        <v>401</v>
      </c>
      <c r="C109" s="21" t="str">
        <f>"任保正"</f>
        <v>任保正</v>
      </c>
      <c r="D109" s="21" t="str">
        <f t="shared" si="18"/>
        <v>女</v>
      </c>
      <c r="E109" s="22" t="str">
        <f>"南阳师范学院"</f>
        <v>南阳师范学院</v>
      </c>
      <c r="F109" s="2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="1" customFormat="1" ht="20" customHeight="1" spans="1:21">
      <c r="A110" s="14">
        <v>108</v>
      </c>
      <c r="B110" s="21" t="str">
        <f t="shared" si="16"/>
        <v>401</v>
      </c>
      <c r="C110" s="21" t="str">
        <f>"史莹莹"</f>
        <v>史莹莹</v>
      </c>
      <c r="D110" s="21" t="str">
        <f t="shared" si="18"/>
        <v>女</v>
      </c>
      <c r="E110" s="22" t="str">
        <f>"周口师范学院"</f>
        <v>周口师范学院</v>
      </c>
      <c r="F110" s="2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="1" customFormat="1" ht="20" customHeight="1" spans="1:21">
      <c r="A111" s="14">
        <v>109</v>
      </c>
      <c r="B111" s="21" t="str">
        <f t="shared" si="16"/>
        <v>401</v>
      </c>
      <c r="C111" s="21" t="str">
        <f>"忽艳玲"</f>
        <v>忽艳玲</v>
      </c>
      <c r="D111" s="21" t="str">
        <f t="shared" si="18"/>
        <v>女</v>
      </c>
      <c r="E111" s="22" t="str">
        <f>"南阳师范学院"</f>
        <v>南阳师范学院</v>
      </c>
      <c r="F111" s="2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="1" customFormat="1" ht="20" customHeight="1" spans="1:21">
      <c r="A112" s="14">
        <v>110</v>
      </c>
      <c r="B112" s="21" t="str">
        <f t="shared" si="16"/>
        <v>401</v>
      </c>
      <c r="C112" s="21" t="str">
        <f>"刘鹏巧"</f>
        <v>刘鹏巧</v>
      </c>
      <c r="D112" s="21" t="str">
        <f t="shared" si="18"/>
        <v>女</v>
      </c>
      <c r="E112" s="22" t="str">
        <f>"黄淮学院"</f>
        <v>黄淮学院</v>
      </c>
      <c r="F112" s="2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="1" customFormat="1" ht="20" customHeight="1" spans="1:21">
      <c r="A113" s="14">
        <v>111</v>
      </c>
      <c r="B113" s="21" t="str">
        <f t="shared" si="16"/>
        <v>401</v>
      </c>
      <c r="C113" s="21" t="str">
        <f>"田亚楠"</f>
        <v>田亚楠</v>
      </c>
      <c r="D113" s="21" t="str">
        <f t="shared" si="18"/>
        <v>女</v>
      </c>
      <c r="E113" s="22" t="str">
        <f>"河南大学民生学院"</f>
        <v>河南大学民生学院</v>
      </c>
      <c r="F113" s="2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="1" customFormat="1" ht="20" customHeight="1" spans="1:21">
      <c r="A114" s="14">
        <v>112</v>
      </c>
      <c r="B114" s="21" t="str">
        <f t="shared" si="16"/>
        <v>401</v>
      </c>
      <c r="C114" s="21" t="str">
        <f>"贾妞"</f>
        <v>贾妞</v>
      </c>
      <c r="D114" s="21" t="str">
        <f t="shared" si="18"/>
        <v>女</v>
      </c>
      <c r="E114" s="22" t="str">
        <f>"信阳学院"</f>
        <v>信阳学院</v>
      </c>
      <c r="F114" s="2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="2" customFormat="1" ht="20" customHeight="1" spans="1:6">
      <c r="A115" s="14">
        <v>113</v>
      </c>
      <c r="B115" s="21" t="str">
        <f t="shared" si="16"/>
        <v>401</v>
      </c>
      <c r="C115" s="21" t="str">
        <f>"周鹏宇"</f>
        <v>周鹏宇</v>
      </c>
      <c r="D115" s="21" t="str">
        <f t="shared" si="18"/>
        <v>女</v>
      </c>
      <c r="E115" s="22" t="str">
        <f>"河南科技学院"</f>
        <v>河南科技学院</v>
      </c>
      <c r="F115" s="30"/>
    </row>
    <row r="116" s="2" customFormat="1" ht="20" customHeight="1" spans="1:6">
      <c r="A116" s="14">
        <v>114</v>
      </c>
      <c r="B116" s="17" t="str">
        <f t="shared" si="16"/>
        <v>401</v>
      </c>
      <c r="C116" s="17" t="str">
        <f>"田甜"</f>
        <v>田甜</v>
      </c>
      <c r="D116" s="17" t="str">
        <f t="shared" si="18"/>
        <v>女</v>
      </c>
      <c r="E116" s="16" t="s">
        <v>25</v>
      </c>
      <c r="F116" s="18"/>
    </row>
    <row r="117" s="2" customFormat="1" ht="20" customHeight="1" spans="1:6">
      <c r="A117" s="14">
        <v>115</v>
      </c>
      <c r="B117" s="19" t="s">
        <v>26</v>
      </c>
      <c r="C117" s="19" t="s">
        <v>27</v>
      </c>
      <c r="D117" s="19" t="s">
        <v>10</v>
      </c>
      <c r="E117" s="20" t="s">
        <v>28</v>
      </c>
      <c r="F117" s="18"/>
    </row>
    <row r="118" s="2" customFormat="1" ht="20" customHeight="1" spans="1:6">
      <c r="A118" s="14">
        <v>116</v>
      </c>
      <c r="B118" s="19" t="s">
        <v>26</v>
      </c>
      <c r="C118" s="19" t="s">
        <v>29</v>
      </c>
      <c r="D118" s="19" t="s">
        <v>10</v>
      </c>
      <c r="E118" s="20" t="s">
        <v>30</v>
      </c>
      <c r="F118" s="18"/>
    </row>
    <row r="119" s="1" customFormat="1" ht="20" customHeight="1" spans="1:21">
      <c r="A119" s="14">
        <v>117</v>
      </c>
      <c r="B119" s="21" t="str">
        <f t="shared" ref="B119:B132" si="19">"402"</f>
        <v>402</v>
      </c>
      <c r="C119" s="21" t="str">
        <f>"李英"</f>
        <v>李英</v>
      </c>
      <c r="D119" s="21" t="str">
        <f t="shared" ref="D119:D145" si="20">"女"</f>
        <v>女</v>
      </c>
      <c r="E119" s="22" t="str">
        <f>"新乡学院"</f>
        <v>新乡学院</v>
      </c>
      <c r="F119" s="2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="1" customFormat="1" ht="20" customHeight="1" spans="1:21">
      <c r="A120" s="14">
        <v>118</v>
      </c>
      <c r="B120" s="21" t="str">
        <f t="shared" si="19"/>
        <v>402</v>
      </c>
      <c r="C120" s="21" t="str">
        <f>"李彦飞"</f>
        <v>李彦飞</v>
      </c>
      <c r="D120" s="21" t="str">
        <f t="shared" si="20"/>
        <v>女</v>
      </c>
      <c r="E120" s="22" t="str">
        <f>"洛阳师范学院"</f>
        <v>洛阳师范学院</v>
      </c>
      <c r="F120" s="2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="1" customFormat="1" ht="20" customHeight="1" spans="1:21">
      <c r="A121" s="14">
        <v>119</v>
      </c>
      <c r="B121" s="21" t="str">
        <f t="shared" si="19"/>
        <v>402</v>
      </c>
      <c r="C121" s="21" t="str">
        <f>"黄振宛"</f>
        <v>黄振宛</v>
      </c>
      <c r="D121" s="21" t="str">
        <f t="shared" si="20"/>
        <v>女</v>
      </c>
      <c r="E121" s="22" t="str">
        <f>"南阳理工学院"</f>
        <v>南阳理工学院</v>
      </c>
      <c r="F121" s="2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="1" customFormat="1" ht="20" customHeight="1" spans="1:21">
      <c r="A122" s="14">
        <v>120</v>
      </c>
      <c r="B122" s="21" t="str">
        <f t="shared" si="19"/>
        <v>402</v>
      </c>
      <c r="C122" s="21" t="str">
        <f>"裴甜甜"</f>
        <v>裴甜甜</v>
      </c>
      <c r="D122" s="21" t="str">
        <f t="shared" si="20"/>
        <v>女</v>
      </c>
      <c r="E122" s="22" t="str">
        <f>"信阳学院"</f>
        <v>信阳学院</v>
      </c>
      <c r="F122" s="2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="1" customFormat="1" ht="20" customHeight="1" spans="1:21">
      <c r="A123" s="14">
        <v>121</v>
      </c>
      <c r="B123" s="21" t="str">
        <f t="shared" si="19"/>
        <v>402</v>
      </c>
      <c r="C123" s="21" t="str">
        <f>"李莉"</f>
        <v>李莉</v>
      </c>
      <c r="D123" s="21" t="str">
        <f t="shared" si="20"/>
        <v>女</v>
      </c>
      <c r="E123" s="22" t="str">
        <f>"郑州轻工业大学"</f>
        <v>郑州轻工业大学</v>
      </c>
      <c r="F123" s="2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="1" customFormat="1" ht="20" customHeight="1" spans="1:21">
      <c r="A124" s="14">
        <v>122</v>
      </c>
      <c r="B124" s="21" t="str">
        <f t="shared" si="19"/>
        <v>402</v>
      </c>
      <c r="C124" s="21" t="str">
        <f>"王英杰"</f>
        <v>王英杰</v>
      </c>
      <c r="D124" s="21" t="str">
        <f t="shared" si="20"/>
        <v>女</v>
      </c>
      <c r="E124" s="22" t="str">
        <f>"重庆师范大学"</f>
        <v>重庆师范大学</v>
      </c>
      <c r="F124" s="2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="1" customFormat="1" ht="20" customHeight="1" spans="1:21">
      <c r="A125" s="14">
        <v>123</v>
      </c>
      <c r="B125" s="21" t="str">
        <f t="shared" si="19"/>
        <v>402</v>
      </c>
      <c r="C125" s="21" t="str">
        <f>"张露"</f>
        <v>张露</v>
      </c>
      <c r="D125" s="21" t="str">
        <f t="shared" si="20"/>
        <v>女</v>
      </c>
      <c r="E125" s="22" t="str">
        <f>"洛阳师范学院"</f>
        <v>洛阳师范学院</v>
      </c>
      <c r="F125" s="2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="1" customFormat="1" ht="20" customHeight="1" spans="1:21">
      <c r="A126" s="14">
        <v>124</v>
      </c>
      <c r="B126" s="21" t="str">
        <f t="shared" si="19"/>
        <v>402</v>
      </c>
      <c r="C126" s="21" t="str">
        <f>"吕进"</f>
        <v>吕进</v>
      </c>
      <c r="D126" s="21" t="str">
        <f t="shared" si="20"/>
        <v>女</v>
      </c>
      <c r="E126" s="22" t="str">
        <f>"宜春学院"</f>
        <v>宜春学院</v>
      </c>
      <c r="F126" s="2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="1" customFormat="1" ht="20" customHeight="1" spans="1:21">
      <c r="A127" s="14">
        <v>125</v>
      </c>
      <c r="B127" s="21" t="str">
        <f t="shared" si="19"/>
        <v>402</v>
      </c>
      <c r="C127" s="21" t="str">
        <f>"刘洋洋"</f>
        <v>刘洋洋</v>
      </c>
      <c r="D127" s="21" t="str">
        <f t="shared" si="20"/>
        <v>女</v>
      </c>
      <c r="E127" s="22" t="str">
        <f>"信阳学院"</f>
        <v>信阳学院</v>
      </c>
      <c r="F127" s="2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="1" customFormat="1" ht="20" customHeight="1" spans="1:21">
      <c r="A128" s="14">
        <v>126</v>
      </c>
      <c r="B128" s="21" t="str">
        <f t="shared" si="19"/>
        <v>402</v>
      </c>
      <c r="C128" s="21" t="str">
        <f>"唐子清"</f>
        <v>唐子清</v>
      </c>
      <c r="D128" s="21" t="str">
        <f t="shared" si="20"/>
        <v>女</v>
      </c>
      <c r="E128" s="22" t="str">
        <f>"洛阳师范学院"</f>
        <v>洛阳师范学院</v>
      </c>
      <c r="F128" s="2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="1" customFormat="1" ht="20" customHeight="1" spans="1:21">
      <c r="A129" s="14">
        <v>127</v>
      </c>
      <c r="B129" s="21" t="str">
        <f t="shared" si="19"/>
        <v>402</v>
      </c>
      <c r="C129" s="21" t="str">
        <f>"左梦"</f>
        <v>左梦</v>
      </c>
      <c r="D129" s="21" t="str">
        <f t="shared" si="20"/>
        <v>女</v>
      </c>
      <c r="E129" s="22" t="str">
        <f>"南阳理工学院"</f>
        <v>南阳理工学院</v>
      </c>
      <c r="F129" s="2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="1" customFormat="1" ht="20" customHeight="1" spans="1:21">
      <c r="A130" s="14">
        <v>128</v>
      </c>
      <c r="B130" s="21" t="str">
        <f t="shared" si="19"/>
        <v>402</v>
      </c>
      <c r="C130" s="21" t="str">
        <f>"谢杰"</f>
        <v>谢杰</v>
      </c>
      <c r="D130" s="21" t="str">
        <f t="shared" si="20"/>
        <v>女</v>
      </c>
      <c r="E130" s="22" t="str">
        <f>"郑州升达经贸管理学院"</f>
        <v>郑州升达经贸管理学院</v>
      </c>
      <c r="F130" s="2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="1" customFormat="1" ht="20" customHeight="1" spans="1:21">
      <c r="A131" s="14">
        <v>129</v>
      </c>
      <c r="B131" s="21" t="str">
        <f t="shared" si="19"/>
        <v>402</v>
      </c>
      <c r="C131" s="21" t="str">
        <f>"肖正欢"</f>
        <v>肖正欢</v>
      </c>
      <c r="D131" s="21" t="str">
        <f t="shared" si="20"/>
        <v>女</v>
      </c>
      <c r="E131" s="22" t="str">
        <f>"南阳师范学院"</f>
        <v>南阳师范学院</v>
      </c>
      <c r="F131" s="2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="2" customFormat="1" ht="20" customHeight="1" spans="1:6">
      <c r="A132" s="14">
        <v>130</v>
      </c>
      <c r="B132" s="17" t="str">
        <f t="shared" si="19"/>
        <v>402</v>
      </c>
      <c r="C132" s="17" t="str">
        <f>"董玉清"</f>
        <v>董玉清</v>
      </c>
      <c r="D132" s="17" t="str">
        <f t="shared" si="20"/>
        <v>女</v>
      </c>
      <c r="E132" s="16" t="str">
        <f>"信阳师范学院"</f>
        <v>信阳师范学院</v>
      </c>
      <c r="F132" s="18"/>
    </row>
    <row r="133" s="1" customFormat="1" ht="20" customHeight="1" spans="1:21">
      <c r="A133" s="14">
        <v>131</v>
      </c>
      <c r="B133" s="21" t="str">
        <f t="shared" ref="B133:B147" si="21">"403"</f>
        <v>403</v>
      </c>
      <c r="C133" s="21" t="str">
        <f>"任方心雨"</f>
        <v>任方心雨</v>
      </c>
      <c r="D133" s="21" t="str">
        <f t="shared" si="20"/>
        <v>女</v>
      </c>
      <c r="E133" s="22" t="str">
        <f>"普洱学院"</f>
        <v>普洱学院</v>
      </c>
      <c r="F133" s="2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="1" customFormat="1" ht="20" customHeight="1" spans="1:21">
      <c r="A134" s="14">
        <v>132</v>
      </c>
      <c r="B134" s="21" t="str">
        <f t="shared" si="21"/>
        <v>403</v>
      </c>
      <c r="C134" s="21" t="str">
        <f>"杜寒蕾"</f>
        <v>杜寒蕾</v>
      </c>
      <c r="D134" s="21" t="str">
        <f t="shared" si="20"/>
        <v>女</v>
      </c>
      <c r="E134" s="22" t="str">
        <f>"洛阳师范学院"</f>
        <v>洛阳师范学院</v>
      </c>
      <c r="F134" s="2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="1" customFormat="1" ht="20" customHeight="1" spans="1:21">
      <c r="A135" s="14">
        <v>133</v>
      </c>
      <c r="B135" s="21" t="str">
        <f t="shared" si="21"/>
        <v>403</v>
      </c>
      <c r="C135" s="21" t="str">
        <f>"高涵"</f>
        <v>高涵</v>
      </c>
      <c r="D135" s="21" t="str">
        <f t="shared" si="20"/>
        <v>女</v>
      </c>
      <c r="E135" s="22" t="str">
        <f>"河南城建学院"</f>
        <v>河南城建学院</v>
      </c>
      <c r="F135" s="2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="1" customFormat="1" ht="20" customHeight="1" spans="1:21">
      <c r="A136" s="14">
        <v>134</v>
      </c>
      <c r="B136" s="21" t="str">
        <f t="shared" si="21"/>
        <v>403</v>
      </c>
      <c r="C136" s="21" t="str">
        <f>"叶丛丛"</f>
        <v>叶丛丛</v>
      </c>
      <c r="D136" s="21" t="str">
        <f t="shared" si="20"/>
        <v>女</v>
      </c>
      <c r="E136" s="22" t="str">
        <f>"河南师范大学新联学院"</f>
        <v>河南师范大学新联学院</v>
      </c>
      <c r="F136" s="2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="1" customFormat="1" ht="20" customHeight="1" spans="1:21">
      <c r="A137" s="14">
        <v>135</v>
      </c>
      <c r="B137" s="21" t="str">
        <f t="shared" si="21"/>
        <v>403</v>
      </c>
      <c r="C137" s="21" t="str">
        <f>"宋洁"</f>
        <v>宋洁</v>
      </c>
      <c r="D137" s="21" t="str">
        <f t="shared" si="20"/>
        <v>女</v>
      </c>
      <c r="E137" s="22" t="str">
        <f>"河南师范大学新联学院"</f>
        <v>河南师范大学新联学院</v>
      </c>
      <c r="F137" s="2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="1" customFormat="1" ht="20" customHeight="1" spans="1:21">
      <c r="A138" s="14">
        <v>136</v>
      </c>
      <c r="B138" s="21" t="str">
        <f t="shared" si="21"/>
        <v>403</v>
      </c>
      <c r="C138" s="21" t="str">
        <f>"贾杰"</f>
        <v>贾杰</v>
      </c>
      <c r="D138" s="21" t="str">
        <f t="shared" si="20"/>
        <v>女</v>
      </c>
      <c r="E138" s="22" t="str">
        <f>"平顶山学院"</f>
        <v>平顶山学院</v>
      </c>
      <c r="F138" s="2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="1" customFormat="1" ht="20" customHeight="1" spans="1:21">
      <c r="A139" s="14">
        <v>137</v>
      </c>
      <c r="B139" s="21" t="str">
        <f t="shared" si="21"/>
        <v>403</v>
      </c>
      <c r="C139" s="21" t="str">
        <f>"赵林梦"</f>
        <v>赵林梦</v>
      </c>
      <c r="D139" s="21" t="str">
        <f t="shared" si="20"/>
        <v>女</v>
      </c>
      <c r="E139" s="22" t="str">
        <f>"平顶山学院"</f>
        <v>平顶山学院</v>
      </c>
      <c r="F139" s="2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="1" customFormat="1" ht="20" customHeight="1" spans="1:21">
      <c r="A140" s="14">
        <v>138</v>
      </c>
      <c r="B140" s="21" t="str">
        <f t="shared" si="21"/>
        <v>403</v>
      </c>
      <c r="C140" s="21" t="str">
        <f>"杨冰怡"</f>
        <v>杨冰怡</v>
      </c>
      <c r="D140" s="21" t="str">
        <f t="shared" si="20"/>
        <v>女</v>
      </c>
      <c r="E140" s="22" t="s">
        <v>31</v>
      </c>
      <c r="F140" s="2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="1" customFormat="1" ht="20" customHeight="1" spans="1:21">
      <c r="A141" s="14">
        <v>139</v>
      </c>
      <c r="B141" s="21" t="str">
        <f t="shared" si="21"/>
        <v>403</v>
      </c>
      <c r="C141" s="21" t="str">
        <f>"许聪聪"</f>
        <v>许聪聪</v>
      </c>
      <c r="D141" s="21" t="str">
        <f t="shared" si="20"/>
        <v>女</v>
      </c>
      <c r="E141" s="22" t="str">
        <f>"河南城建学院"</f>
        <v>河南城建学院</v>
      </c>
      <c r="F141" s="2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="1" customFormat="1" ht="20" customHeight="1" spans="1:21">
      <c r="A142" s="14">
        <v>140</v>
      </c>
      <c r="B142" s="21" t="str">
        <f t="shared" si="21"/>
        <v>403</v>
      </c>
      <c r="C142" s="21" t="str">
        <f>"刘子璇"</f>
        <v>刘子璇</v>
      </c>
      <c r="D142" s="21" t="str">
        <f t="shared" si="20"/>
        <v>女</v>
      </c>
      <c r="E142" s="22" t="str">
        <f>"郑州升达经贸管理学院"</f>
        <v>郑州升达经贸管理学院</v>
      </c>
      <c r="F142" s="2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="1" customFormat="1" ht="20" customHeight="1" spans="1:21">
      <c r="A143" s="14">
        <v>141</v>
      </c>
      <c r="B143" s="21" t="str">
        <f t="shared" si="21"/>
        <v>403</v>
      </c>
      <c r="C143" s="21" t="str">
        <f>"赵慧哲"</f>
        <v>赵慧哲</v>
      </c>
      <c r="D143" s="21" t="str">
        <f t="shared" si="20"/>
        <v>女</v>
      </c>
      <c r="E143" s="22" t="str">
        <f>"信阳学院"</f>
        <v>信阳学院</v>
      </c>
      <c r="F143" s="2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="2" customFormat="1" ht="20" customHeight="1" spans="1:6">
      <c r="A144" s="14">
        <v>142</v>
      </c>
      <c r="B144" s="17" t="str">
        <f t="shared" si="21"/>
        <v>403</v>
      </c>
      <c r="C144" s="17" t="str">
        <f>"吴青桐"</f>
        <v>吴青桐</v>
      </c>
      <c r="D144" s="17" t="str">
        <f t="shared" si="20"/>
        <v>女</v>
      </c>
      <c r="E144" s="16" t="str">
        <f>"河南农业大学"</f>
        <v>河南农业大学</v>
      </c>
      <c r="F144" s="18"/>
    </row>
    <row r="145" s="2" customFormat="1" ht="20" customHeight="1" spans="1:6">
      <c r="A145" s="14">
        <v>143</v>
      </c>
      <c r="B145" s="17" t="str">
        <f t="shared" si="21"/>
        <v>403</v>
      </c>
      <c r="C145" s="17" t="str">
        <f>"杨晓萌"</f>
        <v>杨晓萌</v>
      </c>
      <c r="D145" s="17" t="str">
        <f t="shared" si="20"/>
        <v>女</v>
      </c>
      <c r="E145" s="16" t="str">
        <f>"南阳师范学院"</f>
        <v>南阳师范学院</v>
      </c>
      <c r="F145" s="18"/>
    </row>
    <row r="146" s="2" customFormat="1" ht="20" customHeight="1" spans="1:6">
      <c r="A146" s="14">
        <v>144</v>
      </c>
      <c r="B146" s="17" t="str">
        <f t="shared" si="21"/>
        <v>403</v>
      </c>
      <c r="C146" s="17" t="str">
        <f>"汤民航"</f>
        <v>汤民航</v>
      </c>
      <c r="D146" s="17" t="str">
        <f>"男"</f>
        <v>男</v>
      </c>
      <c r="E146" s="16" t="str">
        <f>"郑州大学西亚斯国际学院"</f>
        <v>郑州大学西亚斯国际学院</v>
      </c>
      <c r="F146" s="18"/>
    </row>
    <row r="147" s="2" customFormat="1" ht="20" customHeight="1" spans="1:6">
      <c r="A147" s="14">
        <v>145</v>
      </c>
      <c r="B147" s="31" t="str">
        <f t="shared" si="21"/>
        <v>403</v>
      </c>
      <c r="C147" s="31" t="str">
        <f>"杜青"</f>
        <v>杜青</v>
      </c>
      <c r="D147" s="31" t="str">
        <f t="shared" ref="D147:D151" si="22">"女"</f>
        <v>女</v>
      </c>
      <c r="E147" s="32" t="str">
        <f>"郑州航空工业管理学院"</f>
        <v>郑州航空工业管理学院</v>
      </c>
      <c r="F147" s="18"/>
    </row>
    <row r="148" s="1" customFormat="1" ht="20" customHeight="1" spans="1:21">
      <c r="A148" s="14">
        <v>146</v>
      </c>
      <c r="B148" s="21" t="str">
        <f t="shared" ref="B148:B151" si="23">"404"</f>
        <v>404</v>
      </c>
      <c r="C148" s="21" t="str">
        <f>"袁丛"</f>
        <v>袁丛</v>
      </c>
      <c r="D148" s="21" t="str">
        <f t="shared" si="22"/>
        <v>女</v>
      </c>
      <c r="E148" s="22" t="str">
        <f>"洛阳师范学院"</f>
        <v>洛阳师范学院</v>
      </c>
      <c r="F148" s="2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="1" customFormat="1" ht="20" customHeight="1" spans="1:21">
      <c r="A149" s="14">
        <v>147</v>
      </c>
      <c r="B149" s="21" t="str">
        <f t="shared" si="23"/>
        <v>404</v>
      </c>
      <c r="C149" s="21" t="str">
        <f>"王旭"</f>
        <v>王旭</v>
      </c>
      <c r="D149" s="21" t="str">
        <f t="shared" si="22"/>
        <v>女</v>
      </c>
      <c r="E149" s="22" t="str">
        <f>"平顶山学院"</f>
        <v>平顶山学院</v>
      </c>
      <c r="F149" s="2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="1" customFormat="1" ht="20" customHeight="1" spans="1:21">
      <c r="A150" s="14">
        <v>148</v>
      </c>
      <c r="B150" s="21" t="str">
        <f t="shared" si="23"/>
        <v>404</v>
      </c>
      <c r="C150" s="21" t="str">
        <f>"刘新媛"</f>
        <v>刘新媛</v>
      </c>
      <c r="D150" s="21" t="str">
        <f t="shared" si="22"/>
        <v>女</v>
      </c>
      <c r="E150" s="22" t="str">
        <f>"四川外国语大学重庆南方翻译学院"</f>
        <v>四川外国语大学重庆南方翻译学院</v>
      </c>
      <c r="F150" s="3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="1" customFormat="1" ht="20" customHeight="1" spans="1:21">
      <c r="A151" s="14">
        <v>149</v>
      </c>
      <c r="B151" s="21" t="str">
        <f t="shared" si="23"/>
        <v>404</v>
      </c>
      <c r="C151" s="21" t="str">
        <f>"吴爽"</f>
        <v>吴爽</v>
      </c>
      <c r="D151" s="21" t="str">
        <f t="shared" si="22"/>
        <v>女</v>
      </c>
      <c r="E151" s="22" t="str">
        <f>"黄淮学院"</f>
        <v>黄淮学院</v>
      </c>
      <c r="F151" s="3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="1" customFormat="1" ht="20" customHeight="1" spans="1:21">
      <c r="A152" s="14">
        <v>150</v>
      </c>
      <c r="B152" s="21" t="str">
        <f>"405"</f>
        <v>405</v>
      </c>
      <c r="C152" s="21" t="str">
        <f>"党永顺"</f>
        <v>党永顺</v>
      </c>
      <c r="D152" s="21" t="str">
        <f t="shared" ref="D152:D155" si="24">"男"</f>
        <v>男</v>
      </c>
      <c r="E152" s="22" t="str">
        <f>"中北大学"</f>
        <v>中北大学</v>
      </c>
      <c r="F152" s="2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="1" customFormat="1" ht="20" customHeight="1" spans="1:21">
      <c r="A153" s="14">
        <v>151</v>
      </c>
      <c r="B153" s="21" t="str">
        <f>"405"</f>
        <v>405</v>
      </c>
      <c r="C153" s="21" t="str">
        <f>"马哲"</f>
        <v>马哲</v>
      </c>
      <c r="D153" s="21" t="str">
        <f t="shared" si="24"/>
        <v>男</v>
      </c>
      <c r="E153" s="22" t="str">
        <f>"河南牧业经济学院"</f>
        <v>河南牧业经济学院</v>
      </c>
      <c r="F153" s="2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="1" customFormat="1" ht="20" customHeight="1" spans="1:21">
      <c r="A154" s="14">
        <v>152</v>
      </c>
      <c r="B154" s="21" t="str">
        <f>"406"</f>
        <v>406</v>
      </c>
      <c r="C154" s="21" t="str">
        <f>"杨金泉"</f>
        <v>杨金泉</v>
      </c>
      <c r="D154" s="21" t="str">
        <f t="shared" si="24"/>
        <v>男</v>
      </c>
      <c r="E154" s="22" t="str">
        <f>"中原工学院"</f>
        <v>中原工学院</v>
      </c>
      <c r="F154" s="2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="1" customFormat="1" ht="20" customHeight="1" spans="1:21">
      <c r="A155" s="14">
        <v>153</v>
      </c>
      <c r="B155" s="21" t="str">
        <f>"406"</f>
        <v>406</v>
      </c>
      <c r="C155" s="21" t="str">
        <f>"王淼"</f>
        <v>王淼</v>
      </c>
      <c r="D155" s="21" t="str">
        <f t="shared" si="24"/>
        <v>男</v>
      </c>
      <c r="E155" s="22" t="str">
        <f>"南阳师范学院"</f>
        <v>南阳师范学院</v>
      </c>
      <c r="F155" s="3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="1" customFormat="1" ht="20" customHeight="1" spans="1:21">
      <c r="A156" s="14">
        <v>154</v>
      </c>
      <c r="B156" s="21" t="str">
        <f t="shared" ref="B156:B158" si="25">"407"</f>
        <v>407</v>
      </c>
      <c r="C156" s="21" t="str">
        <f>"闫婷"</f>
        <v>闫婷</v>
      </c>
      <c r="D156" s="21" t="str">
        <f t="shared" ref="D156:D170" si="26">"女"</f>
        <v>女</v>
      </c>
      <c r="E156" s="22" t="str">
        <f>"辽宁师范大学"</f>
        <v>辽宁师范大学</v>
      </c>
      <c r="F156" s="2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="1" customFormat="1" ht="20" customHeight="1" spans="1:21">
      <c r="A157" s="14">
        <v>155</v>
      </c>
      <c r="B157" s="21" t="str">
        <f t="shared" si="25"/>
        <v>407</v>
      </c>
      <c r="C157" s="21" t="str">
        <f>"段尚毅"</f>
        <v>段尚毅</v>
      </c>
      <c r="D157" s="21" t="str">
        <f>"男"</f>
        <v>男</v>
      </c>
      <c r="E157" s="22" t="str">
        <f>"洛阳师范学院"</f>
        <v>洛阳师范学院</v>
      </c>
      <c r="F157" s="2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="1" customFormat="1" ht="20" customHeight="1" spans="1:21">
      <c r="A158" s="14">
        <v>156</v>
      </c>
      <c r="B158" s="21" t="str">
        <f t="shared" si="25"/>
        <v>407</v>
      </c>
      <c r="C158" s="21" t="str">
        <f>"孙隽宇"</f>
        <v>孙隽宇</v>
      </c>
      <c r="D158" s="21" t="str">
        <f>"男"</f>
        <v>男</v>
      </c>
      <c r="E158" s="22" t="str">
        <f>"郑州轻工业大学"</f>
        <v>郑州轻工业大学</v>
      </c>
      <c r="F158" s="2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="1" customFormat="1" ht="20" customHeight="1" spans="1:21">
      <c r="A159" s="14">
        <v>157</v>
      </c>
      <c r="B159" s="21" t="str">
        <f t="shared" ref="B159:B162" si="27">"408"</f>
        <v>408</v>
      </c>
      <c r="C159" s="21" t="str">
        <f>"朱梦琦"</f>
        <v>朱梦琦</v>
      </c>
      <c r="D159" s="21" t="str">
        <f t="shared" si="26"/>
        <v>女</v>
      </c>
      <c r="E159" s="22" t="str">
        <f>"郑州工业应用技术学院"</f>
        <v>郑州工业应用技术学院</v>
      </c>
      <c r="F159" s="2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="1" customFormat="1" ht="20" customHeight="1" spans="1:21">
      <c r="A160" s="14">
        <v>158</v>
      </c>
      <c r="B160" s="21" t="str">
        <f t="shared" si="27"/>
        <v>408</v>
      </c>
      <c r="C160" s="21" t="str">
        <f>"刘畅"</f>
        <v>刘畅</v>
      </c>
      <c r="D160" s="21" t="str">
        <f t="shared" si="26"/>
        <v>女</v>
      </c>
      <c r="E160" s="22" t="str">
        <f t="shared" ref="E160:E165" si="28">"南阳师范学院"</f>
        <v>南阳师范学院</v>
      </c>
      <c r="F160" s="2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="1" customFormat="1" ht="20" customHeight="1" spans="1:21">
      <c r="A161" s="14">
        <v>159</v>
      </c>
      <c r="B161" s="21" t="str">
        <f t="shared" si="27"/>
        <v>408</v>
      </c>
      <c r="C161" s="21" t="str">
        <f>"李秀蓥"</f>
        <v>李秀蓥</v>
      </c>
      <c r="D161" s="21" t="str">
        <f t="shared" si="26"/>
        <v>女</v>
      </c>
      <c r="E161" s="22" t="str">
        <f>"河南大学民生学院"</f>
        <v>河南大学民生学院</v>
      </c>
      <c r="F161" s="2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="1" customFormat="1" ht="20" customHeight="1" spans="1:21">
      <c r="A162" s="14">
        <v>160</v>
      </c>
      <c r="B162" s="21" t="str">
        <f t="shared" si="27"/>
        <v>408</v>
      </c>
      <c r="C162" s="21" t="str">
        <f>"季谦"</f>
        <v>季谦</v>
      </c>
      <c r="D162" s="21" t="str">
        <f t="shared" si="26"/>
        <v>女</v>
      </c>
      <c r="E162" s="22" t="str">
        <f t="shared" si="28"/>
        <v>南阳师范学院</v>
      </c>
      <c r="F162" s="2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="1" customFormat="1" ht="20" customHeight="1" spans="1:21">
      <c r="A163" s="14">
        <v>161</v>
      </c>
      <c r="B163" s="21" t="str">
        <f>"409"</f>
        <v>409</v>
      </c>
      <c r="C163" s="21" t="str">
        <f>"郭潇方"</f>
        <v>郭潇方</v>
      </c>
      <c r="D163" s="21" t="str">
        <f t="shared" si="26"/>
        <v>女</v>
      </c>
      <c r="E163" s="22" t="str">
        <f>"信阳农林学院"</f>
        <v>信阳农林学院</v>
      </c>
      <c r="F163" s="2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="1" customFormat="1" ht="20" customHeight="1" spans="1:21">
      <c r="A164" s="14">
        <v>162</v>
      </c>
      <c r="B164" s="21" t="str">
        <f>"409"</f>
        <v>409</v>
      </c>
      <c r="C164" s="21" t="str">
        <f>"张真真"</f>
        <v>张真真</v>
      </c>
      <c r="D164" s="21" t="str">
        <f t="shared" si="26"/>
        <v>女</v>
      </c>
      <c r="E164" s="22" t="str">
        <f>"黄淮学院"</f>
        <v>黄淮学院</v>
      </c>
      <c r="F164" s="2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="1" customFormat="1" ht="20" customHeight="1" spans="1:21">
      <c r="A165" s="14">
        <v>163</v>
      </c>
      <c r="B165" s="21" t="str">
        <f t="shared" ref="B165:B186" si="29">"501"</f>
        <v>501</v>
      </c>
      <c r="C165" s="21" t="str">
        <f>"刘畅"</f>
        <v>刘畅</v>
      </c>
      <c r="D165" s="21" t="str">
        <f t="shared" si="26"/>
        <v>女</v>
      </c>
      <c r="E165" s="22" t="str">
        <f t="shared" si="28"/>
        <v>南阳师范学院</v>
      </c>
      <c r="F165" s="2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="1" customFormat="1" ht="20" customHeight="1" spans="1:21">
      <c r="A166" s="14">
        <v>164</v>
      </c>
      <c r="B166" s="21" t="str">
        <f t="shared" si="29"/>
        <v>501</v>
      </c>
      <c r="C166" s="21" t="str">
        <f>"李婷婷"</f>
        <v>李婷婷</v>
      </c>
      <c r="D166" s="21" t="str">
        <f t="shared" si="26"/>
        <v>女</v>
      </c>
      <c r="E166" s="22" t="str">
        <f>"河南财政金融学院"</f>
        <v>河南财政金融学院</v>
      </c>
      <c r="F166" s="2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="1" customFormat="1" ht="20" customHeight="1" spans="1:21">
      <c r="A167" s="14">
        <v>165</v>
      </c>
      <c r="B167" s="21" t="str">
        <f t="shared" si="29"/>
        <v>501</v>
      </c>
      <c r="C167" s="21" t="str">
        <f>"侯风娜"</f>
        <v>侯风娜</v>
      </c>
      <c r="D167" s="21" t="str">
        <f t="shared" si="26"/>
        <v>女</v>
      </c>
      <c r="E167" s="22" t="str">
        <f>"郑州轻工业大学"</f>
        <v>郑州轻工业大学</v>
      </c>
      <c r="F167" s="2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="1" customFormat="1" ht="20" customHeight="1" spans="1:21">
      <c r="A168" s="14">
        <v>166</v>
      </c>
      <c r="B168" s="21" t="str">
        <f t="shared" si="29"/>
        <v>501</v>
      </c>
      <c r="C168" s="21" t="str">
        <f>"钟莹莹"</f>
        <v>钟莹莹</v>
      </c>
      <c r="D168" s="21" t="str">
        <f t="shared" si="26"/>
        <v>女</v>
      </c>
      <c r="E168" s="22" t="str">
        <f>"南阳师范学院"</f>
        <v>南阳师范学院</v>
      </c>
      <c r="F168" s="2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="1" customFormat="1" ht="20" customHeight="1" spans="1:21">
      <c r="A169" s="14">
        <v>167</v>
      </c>
      <c r="B169" s="21" t="str">
        <f t="shared" si="29"/>
        <v>501</v>
      </c>
      <c r="C169" s="21" t="str">
        <f>" 徐佩园"</f>
        <v> 徐佩园</v>
      </c>
      <c r="D169" s="21" t="str">
        <f t="shared" si="26"/>
        <v>女</v>
      </c>
      <c r="E169" s="22" t="str">
        <f>"郑州升达经贸管理学院"</f>
        <v>郑州升达经贸管理学院</v>
      </c>
      <c r="F169" s="2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="1" customFormat="1" ht="20" customHeight="1" spans="1:21">
      <c r="A170" s="14">
        <v>168</v>
      </c>
      <c r="B170" s="21" t="str">
        <f t="shared" si="29"/>
        <v>501</v>
      </c>
      <c r="C170" s="21" t="str">
        <f>"张凡"</f>
        <v>张凡</v>
      </c>
      <c r="D170" s="21" t="str">
        <f t="shared" si="26"/>
        <v>女</v>
      </c>
      <c r="E170" s="22" t="str">
        <f>"新乡学院"</f>
        <v>新乡学院</v>
      </c>
      <c r="F170" s="2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="1" customFormat="1" ht="20" customHeight="1" spans="1:21">
      <c r="A171" s="14">
        <v>169</v>
      </c>
      <c r="B171" s="21" t="str">
        <f t="shared" si="29"/>
        <v>501</v>
      </c>
      <c r="C171" s="21" t="str">
        <f>"丁毅"</f>
        <v>丁毅</v>
      </c>
      <c r="D171" s="21" t="str">
        <f>"男"</f>
        <v>男</v>
      </c>
      <c r="E171" s="22" t="str">
        <f>"商丘工学院"</f>
        <v>商丘工学院</v>
      </c>
      <c r="F171" s="2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="1" customFormat="1" ht="20" customHeight="1" spans="1:21">
      <c r="A172" s="14">
        <v>170</v>
      </c>
      <c r="B172" s="21" t="str">
        <f t="shared" si="29"/>
        <v>501</v>
      </c>
      <c r="C172" s="21" t="str">
        <f>"李一凡"</f>
        <v>李一凡</v>
      </c>
      <c r="D172" s="21" t="str">
        <f t="shared" ref="D172:D186" si="30">"女"</f>
        <v>女</v>
      </c>
      <c r="E172" s="22" t="str">
        <f>"郑州航空工业管理学院"</f>
        <v>郑州航空工业管理学院</v>
      </c>
      <c r="F172" s="2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="1" customFormat="1" ht="20" customHeight="1" spans="1:21">
      <c r="A173" s="14">
        <v>171</v>
      </c>
      <c r="B173" s="21" t="str">
        <f t="shared" si="29"/>
        <v>501</v>
      </c>
      <c r="C173" s="21" t="str">
        <f>"包梦桃"</f>
        <v>包梦桃</v>
      </c>
      <c r="D173" s="21" t="str">
        <f t="shared" si="30"/>
        <v>女</v>
      </c>
      <c r="E173" s="22" t="s">
        <v>30</v>
      </c>
      <c r="F173" s="2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="1" customFormat="1" ht="20" customHeight="1" spans="1:21">
      <c r="A174" s="14">
        <v>172</v>
      </c>
      <c r="B174" s="21" t="str">
        <f t="shared" si="29"/>
        <v>501</v>
      </c>
      <c r="C174" s="21" t="str">
        <f>"李璐"</f>
        <v>李璐</v>
      </c>
      <c r="D174" s="21" t="str">
        <f t="shared" si="30"/>
        <v>女</v>
      </c>
      <c r="E174" s="22" t="str">
        <f>"南阳师范学院"</f>
        <v>南阳师范学院</v>
      </c>
      <c r="F174" s="2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="1" customFormat="1" ht="20" customHeight="1" spans="1:21">
      <c r="A175" s="14">
        <v>173</v>
      </c>
      <c r="B175" s="21" t="str">
        <f t="shared" si="29"/>
        <v>501</v>
      </c>
      <c r="C175" s="21" t="str">
        <f>"韩斐"</f>
        <v>韩斐</v>
      </c>
      <c r="D175" s="21" t="str">
        <f t="shared" si="30"/>
        <v>女</v>
      </c>
      <c r="E175" s="22" t="str">
        <f>"中原工学院信息商务学院"</f>
        <v>中原工学院信息商务学院</v>
      </c>
      <c r="F175" s="2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="1" customFormat="1" ht="20" customHeight="1" spans="1:21">
      <c r="A176" s="14">
        <v>174</v>
      </c>
      <c r="B176" s="21" t="str">
        <f t="shared" si="29"/>
        <v>501</v>
      </c>
      <c r="C176" s="21" t="str">
        <f>"张乾"</f>
        <v>张乾</v>
      </c>
      <c r="D176" s="21" t="str">
        <f t="shared" si="30"/>
        <v>女</v>
      </c>
      <c r="E176" s="22" t="str">
        <f>"商丘师范学院"</f>
        <v>商丘师范学院</v>
      </c>
      <c r="F176" s="2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="1" customFormat="1" ht="20" customHeight="1" spans="1:21">
      <c r="A177" s="14">
        <v>175</v>
      </c>
      <c r="B177" s="21" t="str">
        <f t="shared" si="29"/>
        <v>501</v>
      </c>
      <c r="C177" s="21" t="str">
        <f>"李爽"</f>
        <v>李爽</v>
      </c>
      <c r="D177" s="21" t="str">
        <f t="shared" si="30"/>
        <v>女</v>
      </c>
      <c r="E177" s="22" t="str">
        <f>"安阳工学院"</f>
        <v>安阳工学院</v>
      </c>
      <c r="F177" s="2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="1" customFormat="1" ht="20" customHeight="1" spans="1:21">
      <c r="A178" s="14">
        <v>176</v>
      </c>
      <c r="B178" s="21" t="str">
        <f t="shared" si="29"/>
        <v>501</v>
      </c>
      <c r="C178" s="21" t="str">
        <f>"丁晨"</f>
        <v>丁晨</v>
      </c>
      <c r="D178" s="21" t="str">
        <f t="shared" si="30"/>
        <v>女</v>
      </c>
      <c r="E178" s="22" t="str">
        <f>"河南师范大学新联学院"</f>
        <v>河南师范大学新联学院</v>
      </c>
      <c r="F178" s="2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="1" customFormat="1" ht="20" customHeight="1" spans="1:21">
      <c r="A179" s="14">
        <v>177</v>
      </c>
      <c r="B179" s="21" t="str">
        <f t="shared" si="29"/>
        <v>501</v>
      </c>
      <c r="C179" s="21" t="str">
        <f>"李军毅"</f>
        <v>李军毅</v>
      </c>
      <c r="D179" s="21" t="str">
        <f t="shared" si="30"/>
        <v>女</v>
      </c>
      <c r="E179" s="22" t="str">
        <f>"南阳师范学院"</f>
        <v>南阳师范学院</v>
      </c>
      <c r="F179" s="2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="1" customFormat="1" ht="20" customHeight="1" spans="1:21">
      <c r="A180" s="14">
        <v>178</v>
      </c>
      <c r="B180" s="21" t="str">
        <f t="shared" si="29"/>
        <v>501</v>
      </c>
      <c r="C180" s="21" t="str">
        <f>"吴思曼"</f>
        <v>吴思曼</v>
      </c>
      <c r="D180" s="21" t="str">
        <f t="shared" si="30"/>
        <v>女</v>
      </c>
      <c r="E180" s="22" t="str">
        <f>"郑州升达经贸管理学院"</f>
        <v>郑州升达经贸管理学院</v>
      </c>
      <c r="F180" s="2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="1" customFormat="1" ht="20" customHeight="1" spans="1:21">
      <c r="A181" s="14">
        <v>179</v>
      </c>
      <c r="B181" s="21" t="str">
        <f t="shared" si="29"/>
        <v>501</v>
      </c>
      <c r="C181" s="21" t="str">
        <f>"王静"</f>
        <v>王静</v>
      </c>
      <c r="D181" s="21" t="str">
        <f t="shared" si="30"/>
        <v>女</v>
      </c>
      <c r="E181" s="22" t="str">
        <f>"南阳师范学院"</f>
        <v>南阳师范学院</v>
      </c>
      <c r="F181" s="2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="1" customFormat="1" ht="20" customHeight="1" spans="1:21">
      <c r="A182" s="14">
        <v>180</v>
      </c>
      <c r="B182" s="21" t="str">
        <f t="shared" si="29"/>
        <v>501</v>
      </c>
      <c r="C182" s="21" t="str">
        <f>"尹延勤"</f>
        <v>尹延勤</v>
      </c>
      <c r="D182" s="21" t="str">
        <f t="shared" si="30"/>
        <v>女</v>
      </c>
      <c r="E182" s="22" t="str">
        <f>"信阳职业技术学院"</f>
        <v>信阳职业技术学院</v>
      </c>
      <c r="F182" s="2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="1" customFormat="1" ht="20" customHeight="1" spans="1:21">
      <c r="A183" s="14">
        <v>181</v>
      </c>
      <c r="B183" s="21" t="str">
        <f t="shared" si="29"/>
        <v>501</v>
      </c>
      <c r="C183" s="21" t="str">
        <f>"徐琛钰"</f>
        <v>徐琛钰</v>
      </c>
      <c r="D183" s="21" t="str">
        <f t="shared" si="30"/>
        <v>女</v>
      </c>
      <c r="E183" s="22" t="str">
        <f>"湖北理工学院"</f>
        <v>湖北理工学院</v>
      </c>
      <c r="F183" s="2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="2" customFormat="1" ht="20" customHeight="1" spans="1:6">
      <c r="A184" s="14">
        <v>182</v>
      </c>
      <c r="B184" s="17" t="str">
        <f t="shared" si="29"/>
        <v>501</v>
      </c>
      <c r="C184" s="17" t="str">
        <f>"葛乙兰"</f>
        <v>葛乙兰</v>
      </c>
      <c r="D184" s="17" t="str">
        <f t="shared" si="30"/>
        <v>女</v>
      </c>
      <c r="E184" s="16" t="str">
        <f>"安阳学院"</f>
        <v>安阳学院</v>
      </c>
      <c r="F184" s="18"/>
    </row>
    <row r="185" s="2" customFormat="1" ht="20" customHeight="1" spans="1:6">
      <c r="A185" s="14">
        <v>183</v>
      </c>
      <c r="B185" s="17" t="str">
        <f t="shared" si="29"/>
        <v>501</v>
      </c>
      <c r="C185" s="17" t="str">
        <f>"苏佩"</f>
        <v>苏佩</v>
      </c>
      <c r="D185" s="17" t="str">
        <f t="shared" si="30"/>
        <v>女</v>
      </c>
      <c r="E185" s="16" t="str">
        <f>"商丘学院"</f>
        <v>商丘学院</v>
      </c>
      <c r="F185" s="18"/>
    </row>
    <row r="186" s="2" customFormat="1" ht="20" customHeight="1" spans="1:6">
      <c r="A186" s="14">
        <v>184</v>
      </c>
      <c r="B186" s="17" t="str">
        <f t="shared" si="29"/>
        <v>501</v>
      </c>
      <c r="C186" s="17" t="str">
        <f>"黄珊珊"</f>
        <v>黄珊珊</v>
      </c>
      <c r="D186" s="17" t="str">
        <f t="shared" si="30"/>
        <v>女</v>
      </c>
      <c r="E186" s="16" t="s">
        <v>30</v>
      </c>
      <c r="F186" s="18"/>
    </row>
    <row r="187" s="2" customFormat="1" ht="20" customHeight="1" spans="1:6">
      <c r="A187" s="14">
        <v>185</v>
      </c>
      <c r="B187" s="19" t="s">
        <v>32</v>
      </c>
      <c r="C187" s="19" t="s">
        <v>33</v>
      </c>
      <c r="D187" s="19" t="s">
        <v>10</v>
      </c>
      <c r="E187" s="20" t="s">
        <v>34</v>
      </c>
      <c r="F187" s="18"/>
    </row>
    <row r="188" s="2" customFormat="1" ht="20" customHeight="1" spans="1:6">
      <c r="A188" s="14">
        <v>186</v>
      </c>
      <c r="B188" s="17" t="s">
        <v>32</v>
      </c>
      <c r="C188" s="17" t="s">
        <v>35</v>
      </c>
      <c r="D188" s="17" t="s">
        <v>10</v>
      </c>
      <c r="E188" s="16" t="s">
        <v>13</v>
      </c>
      <c r="F188" s="18"/>
    </row>
    <row r="189" s="1" customFormat="1" ht="20" customHeight="1" spans="1:21">
      <c r="A189" s="14">
        <v>187</v>
      </c>
      <c r="B189" s="21" t="str">
        <f t="shared" ref="B189:B209" si="31">"502"</f>
        <v>502</v>
      </c>
      <c r="C189" s="21" t="str">
        <f>"杨敏"</f>
        <v>杨敏</v>
      </c>
      <c r="D189" s="21" t="str">
        <f t="shared" ref="D189:D209" si="32">"女"</f>
        <v>女</v>
      </c>
      <c r="E189" s="22" t="str">
        <f>"河南师范大学新联学院"</f>
        <v>河南师范大学新联学院</v>
      </c>
      <c r="F189" s="2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="1" customFormat="1" ht="20" customHeight="1" spans="1:21">
      <c r="A190" s="14">
        <v>188</v>
      </c>
      <c r="B190" s="21" t="str">
        <f t="shared" si="31"/>
        <v>502</v>
      </c>
      <c r="C190" s="21" t="str">
        <f>"李聪"</f>
        <v>李聪</v>
      </c>
      <c r="D190" s="21" t="str">
        <f t="shared" si="32"/>
        <v>女</v>
      </c>
      <c r="E190" s="22" t="str">
        <f>"西京学院"</f>
        <v>西京学院</v>
      </c>
      <c r="F190" s="2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="1" customFormat="1" ht="20" customHeight="1" spans="1:21">
      <c r="A191" s="14">
        <v>189</v>
      </c>
      <c r="B191" s="21" t="str">
        <f t="shared" si="31"/>
        <v>502</v>
      </c>
      <c r="C191" s="21" t="str">
        <f>"毛宛飞"</f>
        <v>毛宛飞</v>
      </c>
      <c r="D191" s="21" t="str">
        <f t="shared" si="32"/>
        <v>女</v>
      </c>
      <c r="E191" s="22" t="str">
        <f>"南阳师范学院"</f>
        <v>南阳师范学院</v>
      </c>
      <c r="F191" s="2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="1" customFormat="1" ht="20" customHeight="1" spans="1:21">
      <c r="A192" s="14">
        <v>190</v>
      </c>
      <c r="B192" s="21" t="str">
        <f t="shared" si="31"/>
        <v>502</v>
      </c>
      <c r="C192" s="21" t="str">
        <f>"郅延丽"</f>
        <v>郅延丽</v>
      </c>
      <c r="D192" s="21" t="str">
        <f t="shared" si="32"/>
        <v>女</v>
      </c>
      <c r="E192" s="22" t="str">
        <f>"青岛大学"</f>
        <v>青岛大学</v>
      </c>
      <c r="F192" s="2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="1" customFormat="1" ht="20" customHeight="1" spans="1:21">
      <c r="A193" s="14">
        <v>191</v>
      </c>
      <c r="B193" s="21" t="str">
        <f t="shared" si="31"/>
        <v>502</v>
      </c>
      <c r="C193" s="21" t="str">
        <f>"宁彤彤"</f>
        <v>宁彤彤</v>
      </c>
      <c r="D193" s="21" t="str">
        <f t="shared" si="32"/>
        <v>女</v>
      </c>
      <c r="E193" s="22" t="str">
        <f>"南阳理工学院"</f>
        <v>南阳理工学院</v>
      </c>
      <c r="F193" s="2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="1" customFormat="1" ht="20" customHeight="1" spans="1:21">
      <c r="A194" s="14">
        <v>192</v>
      </c>
      <c r="B194" s="21" t="str">
        <f t="shared" si="31"/>
        <v>502</v>
      </c>
      <c r="C194" s="21" t="str">
        <f>"张梦璐"</f>
        <v>张梦璐</v>
      </c>
      <c r="D194" s="21" t="str">
        <f t="shared" si="32"/>
        <v>女</v>
      </c>
      <c r="E194" s="22" t="str">
        <f>"天津师范大学津沽学院"</f>
        <v>天津师范大学津沽学院</v>
      </c>
      <c r="F194" s="2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="1" customFormat="1" ht="20" customHeight="1" spans="1:21">
      <c r="A195" s="14">
        <v>193</v>
      </c>
      <c r="B195" s="21" t="str">
        <f t="shared" si="31"/>
        <v>502</v>
      </c>
      <c r="C195" s="21" t="str">
        <f>"陶正甜"</f>
        <v>陶正甜</v>
      </c>
      <c r="D195" s="21" t="str">
        <f t="shared" si="32"/>
        <v>女</v>
      </c>
      <c r="E195" s="22" t="str">
        <f>"新乡学院"</f>
        <v>新乡学院</v>
      </c>
      <c r="F195" s="2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="1" customFormat="1" ht="20" customHeight="1" spans="1:21">
      <c r="A196" s="14">
        <v>194</v>
      </c>
      <c r="B196" s="21" t="str">
        <f t="shared" si="31"/>
        <v>502</v>
      </c>
      <c r="C196" s="21" t="str">
        <f>"殷富丽"</f>
        <v>殷富丽</v>
      </c>
      <c r="D196" s="21" t="str">
        <f t="shared" si="32"/>
        <v>女</v>
      </c>
      <c r="E196" s="22" t="str">
        <f>"洛阳理工学院"</f>
        <v>洛阳理工学院</v>
      </c>
      <c r="F196" s="2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="1" customFormat="1" ht="20" customHeight="1" spans="1:21">
      <c r="A197" s="14">
        <v>195</v>
      </c>
      <c r="B197" s="21" t="str">
        <f t="shared" si="31"/>
        <v>502</v>
      </c>
      <c r="C197" s="21" t="str">
        <f>"闫存旋"</f>
        <v>闫存旋</v>
      </c>
      <c r="D197" s="21" t="str">
        <f t="shared" si="32"/>
        <v>女</v>
      </c>
      <c r="E197" s="22" t="str">
        <f>"南阳理工学院"</f>
        <v>南阳理工学院</v>
      </c>
      <c r="F197" s="2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="1" customFormat="1" ht="20" customHeight="1" spans="1:21">
      <c r="A198" s="14">
        <v>196</v>
      </c>
      <c r="B198" s="21" t="str">
        <f t="shared" si="31"/>
        <v>502</v>
      </c>
      <c r="C198" s="21" t="str">
        <f>"牛裕龙"</f>
        <v>牛裕龙</v>
      </c>
      <c r="D198" s="21" t="str">
        <f t="shared" si="32"/>
        <v>女</v>
      </c>
      <c r="E198" s="22" t="str">
        <f>"信阳农林学院"</f>
        <v>信阳农林学院</v>
      </c>
      <c r="F198" s="2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="1" customFormat="1" ht="20" customHeight="1" spans="1:21">
      <c r="A199" s="14">
        <v>197</v>
      </c>
      <c r="B199" s="21" t="str">
        <f t="shared" si="31"/>
        <v>502</v>
      </c>
      <c r="C199" s="21" t="str">
        <f>"包童 "</f>
        <v>包童 </v>
      </c>
      <c r="D199" s="21" t="str">
        <f t="shared" si="32"/>
        <v>女</v>
      </c>
      <c r="E199" s="22" t="str">
        <f>"南阳师范学院"</f>
        <v>南阳师范学院</v>
      </c>
      <c r="F199" s="2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="1" customFormat="1" ht="20" customHeight="1" spans="1:21">
      <c r="A200" s="14">
        <v>198</v>
      </c>
      <c r="B200" s="21" t="str">
        <f t="shared" si="31"/>
        <v>502</v>
      </c>
      <c r="C200" s="21" t="str">
        <f>"赵玮"</f>
        <v>赵玮</v>
      </c>
      <c r="D200" s="21" t="str">
        <f t="shared" si="32"/>
        <v>女</v>
      </c>
      <c r="E200" s="22" t="str">
        <f>"南阳师范学院"</f>
        <v>南阳师范学院</v>
      </c>
      <c r="F200" s="2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="2" customFormat="1" ht="20" customHeight="1" spans="1:6">
      <c r="A201" s="14">
        <v>199</v>
      </c>
      <c r="B201" s="21" t="str">
        <f t="shared" si="31"/>
        <v>502</v>
      </c>
      <c r="C201" s="21" t="str">
        <f>"张莹"</f>
        <v>张莹</v>
      </c>
      <c r="D201" s="21" t="str">
        <f t="shared" si="32"/>
        <v>女</v>
      </c>
      <c r="E201" s="22" t="str">
        <f>"商丘师范学院"</f>
        <v>商丘师范学院</v>
      </c>
      <c r="F201" s="30"/>
    </row>
    <row r="202" s="2" customFormat="1" ht="20" customHeight="1" spans="1:6">
      <c r="A202" s="14">
        <v>200</v>
      </c>
      <c r="B202" s="17" t="str">
        <f t="shared" si="31"/>
        <v>502</v>
      </c>
      <c r="C202" s="17" t="str">
        <f>"赵迎新"</f>
        <v>赵迎新</v>
      </c>
      <c r="D202" s="17" t="str">
        <f t="shared" si="32"/>
        <v>女</v>
      </c>
      <c r="E202" s="16" t="str">
        <f>"焦作师范高等专科学校"</f>
        <v>焦作师范高等专科学校</v>
      </c>
      <c r="F202" s="18"/>
    </row>
    <row r="203" s="2" customFormat="1" ht="20" customHeight="1" spans="1:6">
      <c r="A203" s="14">
        <v>201</v>
      </c>
      <c r="B203" s="17" t="str">
        <f t="shared" si="31"/>
        <v>502</v>
      </c>
      <c r="C203" s="17" t="str">
        <f>"左亚平"</f>
        <v>左亚平</v>
      </c>
      <c r="D203" s="17" t="str">
        <f t="shared" si="32"/>
        <v>女</v>
      </c>
      <c r="E203" s="16" t="str">
        <f>"郑州城市职业学院"</f>
        <v>郑州城市职业学院</v>
      </c>
      <c r="F203" s="18"/>
    </row>
    <row r="204" s="2" customFormat="1" ht="20" customHeight="1" spans="1:6">
      <c r="A204" s="14">
        <v>202</v>
      </c>
      <c r="B204" s="17" t="str">
        <f t="shared" si="31"/>
        <v>502</v>
      </c>
      <c r="C204" s="17" t="str">
        <f>"李佳昱"</f>
        <v>李佳昱</v>
      </c>
      <c r="D204" s="17" t="str">
        <f t="shared" si="32"/>
        <v>女</v>
      </c>
      <c r="E204" s="16" t="str">
        <f>"黄河科技学院"</f>
        <v>黄河科技学院</v>
      </c>
      <c r="F204" s="18"/>
    </row>
    <row r="205" s="2" customFormat="1" ht="20" customHeight="1" spans="1:6">
      <c r="A205" s="14">
        <v>203</v>
      </c>
      <c r="B205" s="17" t="str">
        <f t="shared" si="31"/>
        <v>502</v>
      </c>
      <c r="C205" s="17" t="str">
        <f>"袁承诺"</f>
        <v>袁承诺</v>
      </c>
      <c r="D205" s="17" t="str">
        <f t="shared" si="32"/>
        <v>女</v>
      </c>
      <c r="E205" s="16" t="str">
        <f>"南通大学杏林学院"</f>
        <v>南通大学杏林学院</v>
      </c>
      <c r="F205" s="18"/>
    </row>
    <row r="206" s="2" customFormat="1" ht="20" customHeight="1" spans="1:6">
      <c r="A206" s="14">
        <v>204</v>
      </c>
      <c r="B206" s="17" t="str">
        <f t="shared" si="31"/>
        <v>502</v>
      </c>
      <c r="C206" s="17" t="str">
        <f>"刘佳"</f>
        <v>刘佳</v>
      </c>
      <c r="D206" s="17" t="str">
        <f t="shared" si="32"/>
        <v>女</v>
      </c>
      <c r="E206" s="16" t="str">
        <f>"南阳师范学院"</f>
        <v>南阳师范学院</v>
      </c>
      <c r="F206" s="18"/>
    </row>
    <row r="207" s="2" customFormat="1" ht="20" customHeight="1" spans="1:6">
      <c r="A207" s="14">
        <v>205</v>
      </c>
      <c r="B207" s="17" t="str">
        <f t="shared" si="31"/>
        <v>502</v>
      </c>
      <c r="C207" s="17" t="str">
        <f>"林珂"</f>
        <v>林珂</v>
      </c>
      <c r="D207" s="17" t="str">
        <f t="shared" si="32"/>
        <v>女</v>
      </c>
      <c r="E207" s="16" t="str">
        <f>"南阳理工学院"</f>
        <v>南阳理工学院</v>
      </c>
      <c r="F207" s="18"/>
    </row>
    <row r="208" s="2" customFormat="1" ht="20" customHeight="1" spans="1:6">
      <c r="A208" s="14">
        <v>206</v>
      </c>
      <c r="B208" s="17" t="str">
        <f t="shared" si="31"/>
        <v>502</v>
      </c>
      <c r="C208" s="17" t="str">
        <f>"秦亚岭"</f>
        <v>秦亚岭</v>
      </c>
      <c r="D208" s="17" t="str">
        <f t="shared" si="32"/>
        <v>女</v>
      </c>
      <c r="E208" s="16" t="str">
        <f>"焦作师范高等专科学校"</f>
        <v>焦作师范高等专科学校</v>
      </c>
      <c r="F208" s="18"/>
    </row>
    <row r="209" s="2" customFormat="1" ht="20" customHeight="1" spans="1:6">
      <c r="A209" s="14">
        <v>207</v>
      </c>
      <c r="B209" s="17" t="str">
        <f t="shared" si="31"/>
        <v>502</v>
      </c>
      <c r="C209" s="17" t="str">
        <f>"侯怡帆"</f>
        <v>侯怡帆</v>
      </c>
      <c r="D209" s="17" t="str">
        <f t="shared" si="32"/>
        <v>女</v>
      </c>
      <c r="E209" s="16" t="str">
        <f>"郑州幼儿师范高等专科学校"</f>
        <v>郑州幼儿师范高等专科学校</v>
      </c>
      <c r="F209" s="18"/>
    </row>
    <row r="210" s="2" customFormat="1" ht="20" customHeight="1" spans="1:6">
      <c r="A210" s="14">
        <v>208</v>
      </c>
      <c r="B210" s="17" t="s">
        <v>36</v>
      </c>
      <c r="C210" s="17" t="s">
        <v>37</v>
      </c>
      <c r="D210" s="17" t="s">
        <v>10</v>
      </c>
      <c r="E210" s="16" t="s">
        <v>38</v>
      </c>
      <c r="F210" s="18"/>
    </row>
    <row r="211" s="2" customFormat="1" ht="20" customHeight="1" spans="1:6">
      <c r="A211" s="14">
        <v>209</v>
      </c>
      <c r="B211" s="17" t="s">
        <v>36</v>
      </c>
      <c r="C211" s="17" t="s">
        <v>39</v>
      </c>
      <c r="D211" s="17" t="s">
        <v>10</v>
      </c>
      <c r="E211" s="16" t="s">
        <v>40</v>
      </c>
      <c r="F211" s="18"/>
    </row>
    <row r="212" s="2" customFormat="1" ht="20" customHeight="1" spans="1:6">
      <c r="A212" s="14">
        <v>210</v>
      </c>
      <c r="B212" s="17" t="s">
        <v>36</v>
      </c>
      <c r="C212" s="17" t="s">
        <v>41</v>
      </c>
      <c r="D212" s="17" t="s">
        <v>10</v>
      </c>
      <c r="E212" s="16" t="s">
        <v>42</v>
      </c>
      <c r="F212" s="18"/>
    </row>
    <row r="213" s="3" customFormat="1" ht="20" customHeight="1" spans="1:6">
      <c r="A213" s="14">
        <v>211</v>
      </c>
      <c r="B213" s="25" t="str">
        <f>"502"</f>
        <v>502</v>
      </c>
      <c r="C213" s="25" t="str">
        <f>"惠捷"</f>
        <v>惠捷</v>
      </c>
      <c r="D213" s="25" t="str">
        <f>"男"</f>
        <v>男</v>
      </c>
      <c r="E213" s="22" t="str">
        <f>"南阳理工学院"</f>
        <v>南阳理工学院</v>
      </c>
      <c r="F213" s="25"/>
    </row>
    <row r="214" s="1" customFormat="1" ht="20" customHeight="1" spans="1:21">
      <c r="A214" s="14">
        <v>212</v>
      </c>
      <c r="B214" s="21" t="str">
        <f t="shared" ref="B214:B223" si="33">"503"</f>
        <v>503</v>
      </c>
      <c r="C214" s="21" t="str">
        <f>"马飒"</f>
        <v>马飒</v>
      </c>
      <c r="D214" s="21" t="str">
        <f t="shared" ref="D214:D217" si="34">"女"</f>
        <v>女</v>
      </c>
      <c r="E214" s="22" t="str">
        <f>"郑州升达经贸管理学院"</f>
        <v>郑州升达经贸管理学院</v>
      </c>
      <c r="F214" s="2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="1" customFormat="1" ht="20" customHeight="1" spans="1:21">
      <c r="A215" s="14">
        <v>213</v>
      </c>
      <c r="B215" s="21" t="str">
        <f t="shared" si="33"/>
        <v>503</v>
      </c>
      <c r="C215" s="21" t="str">
        <f>"高凌晨"</f>
        <v>高凌晨</v>
      </c>
      <c r="D215" s="21" t="str">
        <f t="shared" si="34"/>
        <v>女</v>
      </c>
      <c r="E215" s="22" t="str">
        <f>"信阳职业技术学院"</f>
        <v>信阳职业技术学院</v>
      </c>
      <c r="F215" s="2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="1" customFormat="1" ht="20" customHeight="1" spans="1:21">
      <c r="A216" s="14">
        <v>214</v>
      </c>
      <c r="B216" s="21" t="str">
        <f t="shared" si="33"/>
        <v>503</v>
      </c>
      <c r="C216" s="21" t="str">
        <f>"刘俊丽"</f>
        <v>刘俊丽</v>
      </c>
      <c r="D216" s="21" t="str">
        <f t="shared" si="34"/>
        <v>女</v>
      </c>
      <c r="E216" s="22" t="str">
        <f>"焦作师范高等专科学校"</f>
        <v>焦作师范高等专科学校</v>
      </c>
      <c r="F216" s="2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="1" customFormat="1" ht="20" customHeight="1" spans="1:21">
      <c r="A217" s="14">
        <v>215</v>
      </c>
      <c r="B217" s="21" t="str">
        <f t="shared" si="33"/>
        <v>503</v>
      </c>
      <c r="C217" s="21" t="str">
        <f>"袁永辉"</f>
        <v>袁永辉</v>
      </c>
      <c r="D217" s="21" t="str">
        <f t="shared" si="34"/>
        <v>女</v>
      </c>
      <c r="E217" s="22" t="str">
        <f>"南阳师范学院"</f>
        <v>南阳师范学院</v>
      </c>
      <c r="F217" s="2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="1" customFormat="1" ht="20" customHeight="1" spans="1:21">
      <c r="A218" s="14">
        <v>216</v>
      </c>
      <c r="B218" s="21" t="str">
        <f t="shared" si="33"/>
        <v>503</v>
      </c>
      <c r="C218" s="21" t="str">
        <f>"冉明"</f>
        <v>冉明</v>
      </c>
      <c r="D218" s="21" t="str">
        <f>"男"</f>
        <v>男</v>
      </c>
      <c r="E218" s="22" t="str">
        <f>"河南科技大学"</f>
        <v>河南科技大学</v>
      </c>
      <c r="F218" s="2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="1" customFormat="1" ht="20" customHeight="1" spans="1:21">
      <c r="A219" s="14">
        <v>217</v>
      </c>
      <c r="B219" s="21" t="str">
        <f t="shared" si="33"/>
        <v>503</v>
      </c>
      <c r="C219" s="21" t="str">
        <f>"卓越"</f>
        <v>卓越</v>
      </c>
      <c r="D219" s="21" t="str">
        <f t="shared" ref="D219:D223" si="35">"女"</f>
        <v>女</v>
      </c>
      <c r="E219" s="22" t="str">
        <f>"广东茂名幼儿师范专科学校"</f>
        <v>广东茂名幼儿师范专科学校</v>
      </c>
      <c r="F219" s="2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="1" customFormat="1" ht="20" customHeight="1" spans="1:21">
      <c r="A220" s="14">
        <v>218</v>
      </c>
      <c r="B220" s="21" t="str">
        <f t="shared" si="33"/>
        <v>503</v>
      </c>
      <c r="C220" s="21" t="str">
        <f>"张艺苑"</f>
        <v>张艺苑</v>
      </c>
      <c r="D220" s="21" t="str">
        <f t="shared" si="35"/>
        <v>女</v>
      </c>
      <c r="E220" s="22" t="str">
        <f>"郑州升达经贸管理学院"</f>
        <v>郑州升达经贸管理学院</v>
      </c>
      <c r="F220" s="2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="2" customFormat="1" ht="20" customHeight="1" spans="1:6">
      <c r="A221" s="14">
        <v>219</v>
      </c>
      <c r="B221" s="21" t="str">
        <f t="shared" si="33"/>
        <v>503</v>
      </c>
      <c r="C221" s="21" t="str">
        <f>"鞠玥"</f>
        <v>鞠玥</v>
      </c>
      <c r="D221" s="21" t="str">
        <f t="shared" si="35"/>
        <v>女</v>
      </c>
      <c r="E221" s="22" t="str">
        <f>"郑州科技学院"</f>
        <v>郑州科技学院</v>
      </c>
      <c r="F221" s="30"/>
    </row>
    <row r="222" s="2" customFormat="1" ht="20" customHeight="1" spans="1:6">
      <c r="A222" s="14">
        <v>220</v>
      </c>
      <c r="B222" s="21" t="str">
        <f t="shared" si="33"/>
        <v>503</v>
      </c>
      <c r="C222" s="21" t="str">
        <f>"王楠"</f>
        <v>王楠</v>
      </c>
      <c r="D222" s="21" t="str">
        <f t="shared" si="35"/>
        <v>女</v>
      </c>
      <c r="E222" s="22" t="str">
        <f>"郑州科技学院"</f>
        <v>郑州科技学院</v>
      </c>
      <c r="F222" s="30"/>
    </row>
    <row r="223" s="2" customFormat="1" ht="20" customHeight="1" spans="1:6">
      <c r="A223" s="14">
        <v>221</v>
      </c>
      <c r="B223" s="17" t="str">
        <f t="shared" si="33"/>
        <v>503</v>
      </c>
      <c r="C223" s="17" t="str">
        <f>"锁梦瑶"</f>
        <v>锁梦瑶</v>
      </c>
      <c r="D223" s="17" t="str">
        <f t="shared" si="35"/>
        <v>女</v>
      </c>
      <c r="E223" s="16" t="str">
        <f>"洛阳师范学院"</f>
        <v>洛阳师范学院</v>
      </c>
      <c r="F223" s="18"/>
    </row>
    <row r="224" s="1" customFormat="1" ht="20" customHeight="1" spans="1:21">
      <c r="A224" s="14">
        <v>222</v>
      </c>
      <c r="B224" s="21" t="str">
        <f t="shared" ref="B224:B227" si="36">"504"</f>
        <v>504</v>
      </c>
      <c r="C224" s="21" t="str">
        <f>"薛万臣"</f>
        <v>薛万臣</v>
      </c>
      <c r="D224" s="21" t="str">
        <f t="shared" ref="D224:D227" si="37">"男"</f>
        <v>男</v>
      </c>
      <c r="E224" s="22" t="str">
        <f>"焦作师范高等专科学校"</f>
        <v>焦作师范高等专科学校</v>
      </c>
      <c r="F224" s="22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="1" customFormat="1" ht="20" customHeight="1" spans="1:21">
      <c r="A225" s="14">
        <v>223</v>
      </c>
      <c r="B225" s="21" t="str">
        <f t="shared" si="36"/>
        <v>504</v>
      </c>
      <c r="C225" s="21" t="str">
        <f>"吕崇"</f>
        <v>吕崇</v>
      </c>
      <c r="D225" s="21" t="str">
        <f t="shared" si="37"/>
        <v>男</v>
      </c>
      <c r="E225" s="22" t="str">
        <f>"信阳师范学院"</f>
        <v>信阳师范学院</v>
      </c>
      <c r="F225" s="22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="1" customFormat="1" ht="20" customHeight="1" spans="1:21">
      <c r="A226" s="14">
        <v>224</v>
      </c>
      <c r="B226" s="21" t="str">
        <f t="shared" si="36"/>
        <v>504</v>
      </c>
      <c r="C226" s="21" t="str">
        <f>"贾晓辉"</f>
        <v>贾晓辉</v>
      </c>
      <c r="D226" s="21" t="str">
        <f t="shared" si="37"/>
        <v>男</v>
      </c>
      <c r="E226" s="22" t="str">
        <f>"南阳师范学院"</f>
        <v>南阳师范学院</v>
      </c>
      <c r="F226" s="22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="2" customFormat="1" ht="20" customHeight="1" spans="1:6">
      <c r="A227" s="14">
        <v>225</v>
      </c>
      <c r="B227" s="17" t="str">
        <f t="shared" si="36"/>
        <v>504</v>
      </c>
      <c r="C227" s="17" t="str">
        <f>"吕伟"</f>
        <v>吕伟</v>
      </c>
      <c r="D227" s="17" t="str">
        <f t="shared" si="37"/>
        <v>男</v>
      </c>
      <c r="E227" s="16" t="str">
        <f>"沈阳体育学院"</f>
        <v>沈阳体育学院</v>
      </c>
      <c r="F227" s="18"/>
    </row>
    <row r="228" s="1" customFormat="1" ht="20" customHeight="1" spans="1:21">
      <c r="A228" s="14">
        <v>226</v>
      </c>
      <c r="B228" s="21" t="str">
        <f t="shared" ref="B228:B231" si="38">"505"</f>
        <v>505</v>
      </c>
      <c r="C228" s="21" t="str">
        <f>"昝建洋"</f>
        <v>昝建洋</v>
      </c>
      <c r="D228" s="21" t="str">
        <f t="shared" ref="D228:D231" si="39">"女"</f>
        <v>女</v>
      </c>
      <c r="E228" s="22" t="str">
        <f>"南阳师范学院"</f>
        <v>南阳师范学院</v>
      </c>
      <c r="F228" s="3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="1" customFormat="1" ht="20" customHeight="1" spans="1:21">
      <c r="A229" s="14">
        <v>227</v>
      </c>
      <c r="B229" s="21" t="str">
        <f t="shared" si="38"/>
        <v>505</v>
      </c>
      <c r="C229" s="21" t="str">
        <f>"姚玺"</f>
        <v>姚玺</v>
      </c>
      <c r="D229" s="21" t="str">
        <f>"男"</f>
        <v>男</v>
      </c>
      <c r="E229" s="22" t="str">
        <f>"信阳农林学院"</f>
        <v>信阳农林学院</v>
      </c>
      <c r="F229" s="3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="1" customFormat="1" ht="20" customHeight="1" spans="1:21">
      <c r="A230" s="14">
        <v>228</v>
      </c>
      <c r="B230" s="21" t="str">
        <f t="shared" si="38"/>
        <v>505</v>
      </c>
      <c r="C230" s="21" t="str">
        <f>"王玲"</f>
        <v>王玲</v>
      </c>
      <c r="D230" s="21" t="str">
        <f t="shared" si="39"/>
        <v>女</v>
      </c>
      <c r="E230" s="22" t="str">
        <f>"郑州大学"</f>
        <v>郑州大学</v>
      </c>
      <c r="F230" s="3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="1" customFormat="1" ht="20" customHeight="1" spans="1:21">
      <c r="A231" s="14">
        <v>229</v>
      </c>
      <c r="B231" s="21" t="str">
        <f t="shared" si="38"/>
        <v>505</v>
      </c>
      <c r="C231" s="21" t="str">
        <f>"赵阳璐"</f>
        <v>赵阳璐</v>
      </c>
      <c r="D231" s="21" t="str">
        <f t="shared" si="39"/>
        <v>女</v>
      </c>
      <c r="E231" s="22" t="str">
        <f>"安阳学院"</f>
        <v>安阳学院</v>
      </c>
      <c r="F231" s="3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="2" customFormat="1" ht="20" customHeight="1" spans="1:6">
      <c r="A232" s="14">
        <v>230</v>
      </c>
      <c r="B232" s="17" t="s">
        <v>43</v>
      </c>
      <c r="C232" s="17" t="s">
        <v>44</v>
      </c>
      <c r="D232" s="17" t="s">
        <v>10</v>
      </c>
      <c r="E232" s="16" t="s">
        <v>25</v>
      </c>
      <c r="F232" s="18"/>
    </row>
    <row r="233" s="1" customFormat="1" ht="20" customHeight="1" spans="1:21">
      <c r="A233" s="14">
        <v>231</v>
      </c>
      <c r="B233" s="21" t="str">
        <f t="shared" ref="B233:B237" si="40">"506"</f>
        <v>506</v>
      </c>
      <c r="C233" s="21" t="str">
        <f>"葛欢"</f>
        <v>葛欢</v>
      </c>
      <c r="D233" s="21" t="str">
        <f t="shared" ref="D233:D237" si="41">"女"</f>
        <v>女</v>
      </c>
      <c r="E233" s="22" t="str">
        <f>"许昌学院"</f>
        <v>许昌学院</v>
      </c>
      <c r="F233" s="22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="1" customFormat="1" ht="20" customHeight="1" spans="1:21">
      <c r="A234" s="14">
        <v>232</v>
      </c>
      <c r="B234" s="21" t="str">
        <f t="shared" si="40"/>
        <v>506</v>
      </c>
      <c r="C234" s="21" t="str">
        <f>"尚雪岩"</f>
        <v>尚雪岩</v>
      </c>
      <c r="D234" s="21" t="str">
        <f t="shared" si="41"/>
        <v>女</v>
      </c>
      <c r="E234" s="22" t="str">
        <f>"西安美术学院"</f>
        <v>西安美术学院</v>
      </c>
      <c r="F234" s="22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="1" customFormat="1" ht="20" customHeight="1" spans="1:21">
      <c r="A235" s="14">
        <v>233</v>
      </c>
      <c r="B235" s="21" t="str">
        <f t="shared" si="40"/>
        <v>506</v>
      </c>
      <c r="C235" s="21" t="str">
        <f>"董鹏鸿"</f>
        <v>董鹏鸿</v>
      </c>
      <c r="D235" s="21" t="str">
        <f t="shared" si="41"/>
        <v>女</v>
      </c>
      <c r="E235" s="22" t="str">
        <f>"南昌工程学院"</f>
        <v>南昌工程学院</v>
      </c>
      <c r="F235" s="22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="1" customFormat="1" ht="20" customHeight="1" spans="1:21">
      <c r="A236" s="14">
        <v>234</v>
      </c>
      <c r="B236" s="21" t="str">
        <f t="shared" si="40"/>
        <v>506</v>
      </c>
      <c r="C236" s="21" t="str">
        <f>"王惠聪"</f>
        <v>王惠聪</v>
      </c>
      <c r="D236" s="21" t="str">
        <f t="shared" si="41"/>
        <v>女</v>
      </c>
      <c r="E236" s="22" t="str">
        <f>"周口师范学院"</f>
        <v>周口师范学院</v>
      </c>
      <c r="F236" s="22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="3" customFormat="1" ht="20" customHeight="1" spans="1:6">
      <c r="A237" s="14">
        <v>235</v>
      </c>
      <c r="B237" s="25" t="str">
        <f t="shared" si="40"/>
        <v>506</v>
      </c>
      <c r="C237" s="25" t="str">
        <f>"张雪怡"</f>
        <v>张雪怡</v>
      </c>
      <c r="D237" s="25" t="str">
        <f t="shared" si="41"/>
        <v>女</v>
      </c>
      <c r="E237" s="22" t="str">
        <f>"南阳理工学院"</f>
        <v>南阳理工学院</v>
      </c>
      <c r="F237" s="25"/>
    </row>
    <row r="238" s="1" customFormat="1" ht="20" customHeight="1" spans="1:21">
      <c r="A238" s="14">
        <v>236</v>
      </c>
      <c r="B238" s="21" t="str">
        <f t="shared" ref="B238:B241" si="42">"507"</f>
        <v>507</v>
      </c>
      <c r="C238" s="21" t="str">
        <f>"董城垒"</f>
        <v>董城垒</v>
      </c>
      <c r="D238" s="21" t="str">
        <f>"男"</f>
        <v>男</v>
      </c>
      <c r="E238" s="22" t="str">
        <f>"郑州工商学院"</f>
        <v>郑州工商学院</v>
      </c>
      <c r="F238" s="22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="1" customFormat="1" ht="20" customHeight="1" spans="1:21">
      <c r="A239" s="14">
        <v>237</v>
      </c>
      <c r="B239" s="21" t="str">
        <f t="shared" si="42"/>
        <v>507</v>
      </c>
      <c r="C239" s="21" t="str">
        <f>"王菲"</f>
        <v>王菲</v>
      </c>
      <c r="D239" s="21" t="str">
        <f t="shared" ref="D239:D244" si="43">"女"</f>
        <v>女</v>
      </c>
      <c r="E239" s="22" t="str">
        <f>"南阳师范学院"</f>
        <v>南阳师范学院</v>
      </c>
      <c r="F239" s="22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="2" customFormat="1" ht="20" customHeight="1" spans="1:6">
      <c r="A240" s="14">
        <v>238</v>
      </c>
      <c r="B240" s="21" t="str">
        <f t="shared" si="42"/>
        <v>507</v>
      </c>
      <c r="C240" s="21" t="str">
        <f>"孙培茹"</f>
        <v>孙培茹</v>
      </c>
      <c r="D240" s="21" t="str">
        <f t="shared" si="43"/>
        <v>女</v>
      </c>
      <c r="E240" s="22" t="str">
        <f>"南阳师范学院"</f>
        <v>南阳师范学院</v>
      </c>
      <c r="F240" s="30"/>
    </row>
    <row r="241" s="2" customFormat="1" ht="20" customHeight="1" spans="1:6">
      <c r="A241" s="14">
        <v>239</v>
      </c>
      <c r="B241" s="21" t="str">
        <f t="shared" si="42"/>
        <v>507</v>
      </c>
      <c r="C241" s="21" t="str">
        <f>"李杨"</f>
        <v>李杨</v>
      </c>
      <c r="D241" s="21" t="str">
        <f>"男"</f>
        <v>男</v>
      </c>
      <c r="E241" s="22" t="str">
        <f>"郑州航空工业管理学院"</f>
        <v>郑州航空工业管理学院</v>
      </c>
      <c r="F241" s="30"/>
    </row>
    <row r="242" s="3" customFormat="1" ht="20" customHeight="1" spans="1:6">
      <c r="A242" s="14">
        <v>240</v>
      </c>
      <c r="B242" s="21" t="str">
        <f>"601"</f>
        <v>601</v>
      </c>
      <c r="C242" s="21" t="str">
        <f>"刘畅"</f>
        <v>刘畅</v>
      </c>
      <c r="D242" s="21" t="str">
        <f t="shared" si="43"/>
        <v>女</v>
      </c>
      <c r="E242" s="22" t="s">
        <v>25</v>
      </c>
      <c r="F242" s="26"/>
    </row>
    <row r="243" s="3" customFormat="1" ht="20" customHeight="1" spans="1:6">
      <c r="A243" s="14">
        <v>241</v>
      </c>
      <c r="B243" s="21" t="str">
        <f>"601"</f>
        <v>601</v>
      </c>
      <c r="C243" s="21" t="str">
        <f>"王艳民"</f>
        <v>王艳民</v>
      </c>
      <c r="D243" s="21" t="str">
        <f t="shared" si="43"/>
        <v>女</v>
      </c>
      <c r="E243" s="22" t="str">
        <f>"平顶山教育学院"</f>
        <v>平顶山教育学院</v>
      </c>
      <c r="F243" s="26"/>
    </row>
    <row r="244" s="3" customFormat="1" ht="20" customHeight="1" spans="1:6">
      <c r="A244" s="14">
        <v>242</v>
      </c>
      <c r="B244" s="21">
        <v>601</v>
      </c>
      <c r="C244" s="21" t="str">
        <f>"王爽"</f>
        <v>王爽</v>
      </c>
      <c r="D244" s="21" t="str">
        <f t="shared" si="43"/>
        <v>女</v>
      </c>
      <c r="E244" s="22" t="str">
        <f>"商丘师范学院"</f>
        <v>商丘师范学院</v>
      </c>
      <c r="F244" s="30"/>
    </row>
    <row r="245" s="3" customFormat="1" ht="20" customHeight="1" spans="1:6">
      <c r="A245" s="14">
        <v>243</v>
      </c>
      <c r="B245" s="21" t="str">
        <f t="shared" ref="B245:B249" si="44">"602"</f>
        <v>602</v>
      </c>
      <c r="C245" s="21" t="str">
        <f>" 王海成"</f>
        <v> 王海成</v>
      </c>
      <c r="D245" s="21" t="str">
        <f>"男"</f>
        <v>男</v>
      </c>
      <c r="E245" s="22" t="str">
        <f>"南阳市第五师范学校"</f>
        <v>南阳市第五师范学校</v>
      </c>
      <c r="F245" s="26"/>
    </row>
    <row r="246" s="3" customFormat="1" ht="20" customHeight="1" spans="1:6">
      <c r="A246" s="14">
        <v>244</v>
      </c>
      <c r="B246" s="21" t="str">
        <f t="shared" si="44"/>
        <v>602</v>
      </c>
      <c r="C246" s="21" t="str">
        <f>"冯滢哲"</f>
        <v>冯滢哲</v>
      </c>
      <c r="D246" s="21" t="str">
        <f t="shared" ref="D246:D254" si="45">"女"</f>
        <v>女</v>
      </c>
      <c r="E246" s="22" t="str">
        <f t="shared" ref="E246:E251" si="46">"南阳师范学院"</f>
        <v>南阳师范学院</v>
      </c>
      <c r="F246" s="26"/>
    </row>
    <row r="247" s="3" customFormat="1" ht="20" customHeight="1" spans="1:6">
      <c r="A247" s="14">
        <v>245</v>
      </c>
      <c r="B247" s="21" t="str">
        <f t="shared" si="44"/>
        <v>602</v>
      </c>
      <c r="C247" s="21" t="str">
        <f>"宋汉昌"</f>
        <v>宋汉昌</v>
      </c>
      <c r="D247" s="21" t="str">
        <f>"男"</f>
        <v>男</v>
      </c>
      <c r="E247" s="22" t="str">
        <f t="shared" si="46"/>
        <v>南阳师范学院</v>
      </c>
      <c r="F247" s="26"/>
    </row>
    <row r="248" s="3" customFormat="1" ht="20" customHeight="1" spans="1:6">
      <c r="A248" s="14">
        <v>246</v>
      </c>
      <c r="B248" s="21" t="str">
        <f t="shared" si="44"/>
        <v>602</v>
      </c>
      <c r="C248" s="21" t="str">
        <f>"杨运玲"</f>
        <v>杨运玲</v>
      </c>
      <c r="D248" s="21" t="str">
        <f t="shared" si="45"/>
        <v>女</v>
      </c>
      <c r="E248" s="22" t="str">
        <f>"河南教育学院"</f>
        <v>河南教育学院</v>
      </c>
      <c r="F248" s="26"/>
    </row>
    <row r="249" s="3" customFormat="1" ht="20" customHeight="1" spans="1:6">
      <c r="A249" s="14">
        <v>247</v>
      </c>
      <c r="B249" s="21" t="str">
        <f t="shared" si="44"/>
        <v>602</v>
      </c>
      <c r="C249" s="21" t="str">
        <f>"刘荣阁"</f>
        <v>刘荣阁</v>
      </c>
      <c r="D249" s="21" t="str">
        <f t="shared" si="45"/>
        <v>女</v>
      </c>
      <c r="E249" s="22" t="str">
        <f t="shared" si="46"/>
        <v>南阳师范学院</v>
      </c>
      <c r="F249" s="26"/>
    </row>
    <row r="250" s="3" customFormat="1" ht="20" customHeight="1" spans="1:6">
      <c r="A250" s="14">
        <v>248</v>
      </c>
      <c r="B250" s="21" t="str">
        <f>"603"</f>
        <v>603</v>
      </c>
      <c r="C250" s="21" t="str">
        <f>"刘荦"</f>
        <v>刘荦</v>
      </c>
      <c r="D250" s="21" t="str">
        <f t="shared" si="45"/>
        <v>女</v>
      </c>
      <c r="E250" s="22" t="str">
        <f t="shared" si="46"/>
        <v>南阳师范学院</v>
      </c>
      <c r="F250" s="26"/>
    </row>
    <row r="251" s="3" customFormat="1" ht="20" customHeight="1" spans="1:6">
      <c r="A251" s="14">
        <v>249</v>
      </c>
      <c r="B251" s="21" t="str">
        <f>"603"</f>
        <v>603</v>
      </c>
      <c r="C251" s="21" t="str">
        <f>"丁成新"</f>
        <v>丁成新</v>
      </c>
      <c r="D251" s="21" t="str">
        <f t="shared" si="45"/>
        <v>女</v>
      </c>
      <c r="E251" s="22" t="str">
        <f t="shared" si="46"/>
        <v>南阳师范学院</v>
      </c>
      <c r="F251" s="26"/>
    </row>
    <row r="252" s="3" customFormat="1" ht="20" customHeight="1" spans="1:6">
      <c r="A252" s="14">
        <v>250</v>
      </c>
      <c r="B252" s="21">
        <v>603</v>
      </c>
      <c r="C252" s="21" t="str">
        <f>"宋叶"</f>
        <v>宋叶</v>
      </c>
      <c r="D252" s="21" t="str">
        <f t="shared" si="45"/>
        <v>女</v>
      </c>
      <c r="E252" s="22" t="str">
        <f>"河南教育学院"</f>
        <v>河南教育学院</v>
      </c>
      <c r="F252" s="30"/>
    </row>
    <row r="253" s="3" customFormat="1" ht="20" customHeight="1" spans="1:6">
      <c r="A253" s="14">
        <v>251</v>
      </c>
      <c r="B253" s="21" t="str">
        <f t="shared" ref="B253:B255" si="47">"604"</f>
        <v>604</v>
      </c>
      <c r="C253" s="21" t="str">
        <f>"马青"</f>
        <v>马青</v>
      </c>
      <c r="D253" s="21" t="str">
        <f t="shared" si="45"/>
        <v>女</v>
      </c>
      <c r="E253" s="22" t="str">
        <f>"商丘师范学院"</f>
        <v>商丘师范学院</v>
      </c>
      <c r="F253" s="26"/>
    </row>
    <row r="254" s="3" customFormat="1" ht="20" customHeight="1" spans="1:6">
      <c r="A254" s="14">
        <v>252</v>
      </c>
      <c r="B254" s="21" t="str">
        <f t="shared" si="47"/>
        <v>604</v>
      </c>
      <c r="C254" s="21" t="str">
        <f>"李春荣"</f>
        <v>李春荣</v>
      </c>
      <c r="D254" s="21" t="str">
        <f t="shared" si="45"/>
        <v>女</v>
      </c>
      <c r="E254" s="22" t="str">
        <f>"南阳市第五师范学校"</f>
        <v>南阳市第五师范学校</v>
      </c>
      <c r="F254" s="26"/>
    </row>
    <row r="255" s="3" customFormat="1" ht="20" customHeight="1" spans="1:6">
      <c r="A255" s="14">
        <v>253</v>
      </c>
      <c r="B255" s="21" t="str">
        <f t="shared" si="47"/>
        <v>604</v>
      </c>
      <c r="C255" s="21" t="str">
        <f>"吴永超"</f>
        <v>吴永超</v>
      </c>
      <c r="D255" s="21" t="str">
        <f>"男"</f>
        <v>男</v>
      </c>
      <c r="E255" s="22" t="str">
        <f>"南阳一师"</f>
        <v>南阳一师</v>
      </c>
      <c r="F255" s="26"/>
    </row>
    <row r="256" s="3" customFormat="1" ht="20" customHeight="1" spans="1:6">
      <c r="A256" s="14">
        <v>254</v>
      </c>
      <c r="B256" s="21" t="str">
        <f t="shared" ref="B256:B258" si="48">"605"</f>
        <v>605</v>
      </c>
      <c r="C256" s="21" t="str">
        <f>"曹伦"</f>
        <v>曹伦</v>
      </c>
      <c r="D256" s="21" t="str">
        <f t="shared" ref="D256:D296" si="49">"女"</f>
        <v>女</v>
      </c>
      <c r="E256" s="22" t="str">
        <f t="shared" ref="E256:E262" si="50">"南阳幼儿师范学校"</f>
        <v>南阳幼儿师范学校</v>
      </c>
      <c r="F256" s="26"/>
    </row>
    <row r="257" s="3" customFormat="1" ht="20" customHeight="1" spans="1:6">
      <c r="A257" s="14">
        <v>255</v>
      </c>
      <c r="B257" s="21" t="str">
        <f t="shared" si="48"/>
        <v>605</v>
      </c>
      <c r="C257" s="21" t="str">
        <f>"秦钦南"</f>
        <v>秦钦南</v>
      </c>
      <c r="D257" s="21" t="str">
        <f t="shared" si="49"/>
        <v>女</v>
      </c>
      <c r="E257" s="22" t="str">
        <f>"南阳师范学院"</f>
        <v>南阳师范学院</v>
      </c>
      <c r="F257" s="26"/>
    </row>
    <row r="258" s="3" customFormat="1" ht="20" customHeight="1" spans="1:6">
      <c r="A258" s="14">
        <v>256</v>
      </c>
      <c r="B258" s="21" t="str">
        <f t="shared" si="48"/>
        <v>605</v>
      </c>
      <c r="C258" s="21" t="str">
        <f>"陈亭含"</f>
        <v>陈亭含</v>
      </c>
      <c r="D258" s="21" t="str">
        <f t="shared" si="49"/>
        <v>女</v>
      </c>
      <c r="E258" s="22" t="str">
        <f>"南阳师范学院"</f>
        <v>南阳师范学院</v>
      </c>
      <c r="F258" s="26"/>
    </row>
    <row r="259" s="3" customFormat="1" ht="20" customHeight="1" spans="1:6">
      <c r="A259" s="14">
        <v>257</v>
      </c>
      <c r="B259" s="21" t="str">
        <f t="shared" ref="B259:B261" si="51">"606"</f>
        <v>606</v>
      </c>
      <c r="C259" s="21" t="str">
        <f>"马琰"</f>
        <v>马琰</v>
      </c>
      <c r="D259" s="21" t="str">
        <f t="shared" si="49"/>
        <v>女</v>
      </c>
      <c r="E259" s="22" t="str">
        <f t="shared" si="50"/>
        <v>南阳幼儿师范学校</v>
      </c>
      <c r="F259" s="26"/>
    </row>
    <row r="260" s="3" customFormat="1" ht="20" customHeight="1" spans="1:6">
      <c r="A260" s="14">
        <v>258</v>
      </c>
      <c r="B260" s="21" t="str">
        <f t="shared" si="51"/>
        <v>606</v>
      </c>
      <c r="C260" s="21" t="str">
        <f>"黄风洋"</f>
        <v>黄风洋</v>
      </c>
      <c r="D260" s="21" t="str">
        <f t="shared" si="49"/>
        <v>女</v>
      </c>
      <c r="E260" s="22" t="str">
        <f t="shared" si="50"/>
        <v>南阳幼儿师范学校</v>
      </c>
      <c r="F260" s="26"/>
    </row>
    <row r="261" s="3" customFormat="1" ht="20" customHeight="1" spans="1:6">
      <c r="A261" s="14">
        <v>259</v>
      </c>
      <c r="B261" s="21" t="str">
        <f t="shared" si="51"/>
        <v>606</v>
      </c>
      <c r="C261" s="21" t="str">
        <f>"邓丹丹"</f>
        <v>邓丹丹</v>
      </c>
      <c r="D261" s="21" t="str">
        <f t="shared" si="49"/>
        <v>女</v>
      </c>
      <c r="E261" s="22" t="str">
        <f t="shared" si="50"/>
        <v>南阳幼儿师范学校</v>
      </c>
      <c r="F261" s="26"/>
    </row>
    <row r="262" s="3" customFormat="1" ht="20" customHeight="1" spans="1:6">
      <c r="A262" s="14">
        <v>260</v>
      </c>
      <c r="B262" s="21" t="str">
        <f t="shared" ref="B262:B296" si="52">"611"</f>
        <v>611</v>
      </c>
      <c r="C262" s="21" t="str">
        <f>"刘冰"</f>
        <v>刘冰</v>
      </c>
      <c r="D262" s="21" t="str">
        <f t="shared" si="49"/>
        <v>女</v>
      </c>
      <c r="E262" s="22" t="str">
        <f t="shared" si="50"/>
        <v>南阳幼儿师范学校</v>
      </c>
      <c r="F262" s="26"/>
    </row>
    <row r="263" s="3" customFormat="1" ht="20" customHeight="1" spans="1:6">
      <c r="A263" s="14">
        <v>261</v>
      </c>
      <c r="B263" s="21" t="str">
        <f t="shared" si="52"/>
        <v>611</v>
      </c>
      <c r="C263" s="21" t="str">
        <f>"贾佳"</f>
        <v>贾佳</v>
      </c>
      <c r="D263" s="21" t="str">
        <f t="shared" si="49"/>
        <v>女</v>
      </c>
      <c r="E263" s="22" t="str">
        <f>"南阳农业职业学院"</f>
        <v>南阳农业职业学院</v>
      </c>
      <c r="F263" s="26"/>
    </row>
    <row r="264" s="3" customFormat="1" ht="20" customHeight="1" spans="1:6">
      <c r="A264" s="14">
        <v>262</v>
      </c>
      <c r="B264" s="21" t="str">
        <f t="shared" si="52"/>
        <v>611</v>
      </c>
      <c r="C264" s="21" t="str">
        <f>"黄闪闪"</f>
        <v>黄闪闪</v>
      </c>
      <c r="D264" s="21" t="str">
        <f t="shared" si="49"/>
        <v>女</v>
      </c>
      <c r="E264" s="22" t="str">
        <f>"南阳师范学院"</f>
        <v>南阳师范学院</v>
      </c>
      <c r="F264" s="26"/>
    </row>
    <row r="265" s="3" customFormat="1" ht="20" customHeight="1" spans="1:6">
      <c r="A265" s="14">
        <v>263</v>
      </c>
      <c r="B265" s="21" t="str">
        <f t="shared" si="52"/>
        <v>611</v>
      </c>
      <c r="C265" s="21" t="str">
        <f>"刘星君"</f>
        <v>刘星君</v>
      </c>
      <c r="D265" s="21" t="str">
        <f t="shared" si="49"/>
        <v>女</v>
      </c>
      <c r="E265" s="22" t="str">
        <f>"郑州幼儿师范高等专科学校"</f>
        <v>郑州幼儿师范高等专科学校</v>
      </c>
      <c r="F265" s="26"/>
    </row>
    <row r="266" s="3" customFormat="1" ht="20" customHeight="1" spans="1:6">
      <c r="A266" s="14">
        <v>264</v>
      </c>
      <c r="B266" s="21" t="str">
        <f t="shared" si="52"/>
        <v>611</v>
      </c>
      <c r="C266" s="21" t="str">
        <f>"刘玲"</f>
        <v>刘玲</v>
      </c>
      <c r="D266" s="21" t="str">
        <f t="shared" si="49"/>
        <v>女</v>
      </c>
      <c r="E266" s="22" t="str">
        <f>"信阳学院"</f>
        <v>信阳学院</v>
      </c>
      <c r="F266" s="26"/>
    </row>
    <row r="267" s="3" customFormat="1" ht="20" customHeight="1" spans="1:6">
      <c r="A267" s="14">
        <v>265</v>
      </c>
      <c r="B267" s="21" t="str">
        <f t="shared" si="52"/>
        <v>611</v>
      </c>
      <c r="C267" s="21" t="str">
        <f>"罗龙珠"</f>
        <v>罗龙珠</v>
      </c>
      <c r="D267" s="21" t="str">
        <f t="shared" si="49"/>
        <v>女</v>
      </c>
      <c r="E267" s="22" t="str">
        <f>"南阳幼儿师范学校"</f>
        <v>南阳幼儿师范学校</v>
      </c>
      <c r="F267" s="26"/>
    </row>
    <row r="268" s="3" customFormat="1" ht="20" customHeight="1" spans="1:6">
      <c r="A268" s="14">
        <v>266</v>
      </c>
      <c r="B268" s="21" t="str">
        <f t="shared" si="52"/>
        <v>611</v>
      </c>
      <c r="C268" s="21" t="str">
        <f>"宋欣叶"</f>
        <v>宋欣叶</v>
      </c>
      <c r="D268" s="21" t="str">
        <f t="shared" si="49"/>
        <v>女</v>
      </c>
      <c r="E268" s="22" t="str">
        <f>"南阳师范学院"</f>
        <v>南阳师范学院</v>
      </c>
      <c r="F268" s="26"/>
    </row>
    <row r="269" s="3" customFormat="1" ht="20" customHeight="1" spans="1:6">
      <c r="A269" s="14">
        <v>267</v>
      </c>
      <c r="B269" s="21" t="str">
        <f t="shared" si="52"/>
        <v>611</v>
      </c>
      <c r="C269" s="21" t="str">
        <f>"张海筠"</f>
        <v>张海筠</v>
      </c>
      <c r="D269" s="21" t="str">
        <f t="shared" si="49"/>
        <v>女</v>
      </c>
      <c r="E269" s="22" t="str">
        <f>"南阳幼儿师范学校"</f>
        <v>南阳幼儿师范学校</v>
      </c>
      <c r="F269" s="26"/>
    </row>
    <row r="270" s="3" customFormat="1" ht="20" customHeight="1" spans="1:6">
      <c r="A270" s="14">
        <v>268</v>
      </c>
      <c r="B270" s="21" t="str">
        <f t="shared" si="52"/>
        <v>611</v>
      </c>
      <c r="C270" s="21" t="str">
        <f>"郁林夏"</f>
        <v>郁林夏</v>
      </c>
      <c r="D270" s="21" t="str">
        <f t="shared" si="49"/>
        <v>女</v>
      </c>
      <c r="E270" s="22" t="str">
        <f>"南阳师范学院"</f>
        <v>南阳师范学院</v>
      </c>
      <c r="F270" s="26"/>
    </row>
    <row r="271" s="3" customFormat="1" ht="20" customHeight="1" spans="1:6">
      <c r="A271" s="14">
        <v>269</v>
      </c>
      <c r="B271" s="21" t="str">
        <f t="shared" si="52"/>
        <v>611</v>
      </c>
      <c r="C271" s="21" t="str">
        <f>"纪文冰"</f>
        <v>纪文冰</v>
      </c>
      <c r="D271" s="21" t="str">
        <f t="shared" si="49"/>
        <v>女</v>
      </c>
      <c r="E271" s="22" t="str">
        <f>"三门峡职业技术学院"</f>
        <v>三门峡职业技术学院</v>
      </c>
      <c r="F271" s="26"/>
    </row>
    <row r="272" s="3" customFormat="1" ht="20" customHeight="1" spans="1:6">
      <c r="A272" s="14">
        <v>270</v>
      </c>
      <c r="B272" s="21" t="str">
        <f t="shared" si="52"/>
        <v>611</v>
      </c>
      <c r="C272" s="21" t="str">
        <f>"张冉"</f>
        <v>张冉</v>
      </c>
      <c r="D272" s="21" t="str">
        <f t="shared" si="49"/>
        <v>女</v>
      </c>
      <c r="E272" s="22" t="str">
        <f>"黄河科技学院"</f>
        <v>黄河科技学院</v>
      </c>
      <c r="F272" s="26"/>
    </row>
    <row r="273" s="5" customFormat="1" ht="20" customHeight="1" spans="1:6">
      <c r="A273" s="14">
        <v>271</v>
      </c>
      <c r="B273" s="34" t="str">
        <f t="shared" si="52"/>
        <v>611</v>
      </c>
      <c r="C273" s="34" t="str">
        <f>"张韵颖"</f>
        <v>张韵颖</v>
      </c>
      <c r="D273" s="34" t="str">
        <f t="shared" si="49"/>
        <v>女</v>
      </c>
      <c r="E273" s="35" t="str">
        <f>"安阳幼儿师范高等专科学校"</f>
        <v>安阳幼儿师范高等专科学校</v>
      </c>
      <c r="F273" s="36"/>
    </row>
    <row r="274" s="3" customFormat="1" ht="20" customHeight="1" spans="1:6">
      <c r="A274" s="14">
        <v>272</v>
      </c>
      <c r="B274" s="21" t="str">
        <f t="shared" si="52"/>
        <v>611</v>
      </c>
      <c r="C274" s="21" t="str">
        <f>"胡洋溢"</f>
        <v>胡洋溢</v>
      </c>
      <c r="D274" s="21" t="str">
        <f t="shared" si="49"/>
        <v>女</v>
      </c>
      <c r="E274" s="22" t="str">
        <f>"漯河职业技术学院"</f>
        <v>漯河职业技术学院</v>
      </c>
      <c r="F274" s="26"/>
    </row>
    <row r="275" s="3" customFormat="1" ht="20" customHeight="1" spans="1:6">
      <c r="A275" s="14">
        <v>273</v>
      </c>
      <c r="B275" s="21" t="str">
        <f t="shared" si="52"/>
        <v>611</v>
      </c>
      <c r="C275" s="21" t="str">
        <f>"李佳"</f>
        <v>李佳</v>
      </c>
      <c r="D275" s="21" t="str">
        <f t="shared" si="49"/>
        <v>女</v>
      </c>
      <c r="E275" s="22" t="str">
        <f>"南阳幼儿师范学校 "</f>
        <v>南阳幼儿师范学校 </v>
      </c>
      <c r="F275" s="26"/>
    </row>
    <row r="276" s="3" customFormat="1" ht="20" customHeight="1" spans="1:6">
      <c r="A276" s="14">
        <v>274</v>
      </c>
      <c r="B276" s="21" t="str">
        <f t="shared" si="52"/>
        <v>611</v>
      </c>
      <c r="C276" s="21" t="str">
        <f>"焦萌萌"</f>
        <v>焦萌萌</v>
      </c>
      <c r="D276" s="21" t="str">
        <f t="shared" si="49"/>
        <v>女</v>
      </c>
      <c r="E276" s="22" t="str">
        <f>"陕西学前师范学院"</f>
        <v>陕西学前师范学院</v>
      </c>
      <c r="F276" s="26"/>
    </row>
    <row r="277" s="3" customFormat="1" ht="20" customHeight="1" spans="1:6">
      <c r="A277" s="14">
        <v>275</v>
      </c>
      <c r="B277" s="21" t="str">
        <f t="shared" si="52"/>
        <v>611</v>
      </c>
      <c r="C277" s="21" t="str">
        <f>"高歌"</f>
        <v>高歌</v>
      </c>
      <c r="D277" s="21" t="str">
        <f t="shared" si="49"/>
        <v>女</v>
      </c>
      <c r="E277" s="22" t="str">
        <f>"南阳幼儿师范学校"</f>
        <v>南阳幼儿师范学校</v>
      </c>
      <c r="F277" s="26"/>
    </row>
    <row r="278" s="3" customFormat="1" ht="20" customHeight="1" spans="1:6">
      <c r="A278" s="14">
        <v>276</v>
      </c>
      <c r="B278" s="21" t="str">
        <f t="shared" si="52"/>
        <v>611</v>
      </c>
      <c r="C278" s="21" t="str">
        <f>"张佳林"</f>
        <v>张佳林</v>
      </c>
      <c r="D278" s="21" t="str">
        <f t="shared" si="49"/>
        <v>女</v>
      </c>
      <c r="E278" s="22" t="str">
        <f>"新乡学院"</f>
        <v>新乡学院</v>
      </c>
      <c r="F278" s="26"/>
    </row>
    <row r="279" s="3" customFormat="1" ht="20" customHeight="1" spans="1:6">
      <c r="A279" s="14">
        <v>277</v>
      </c>
      <c r="B279" s="21" t="str">
        <f t="shared" si="52"/>
        <v>611</v>
      </c>
      <c r="C279" s="21" t="str">
        <f>"胡田甜"</f>
        <v>胡田甜</v>
      </c>
      <c r="D279" s="21" t="str">
        <f t="shared" si="49"/>
        <v>女</v>
      </c>
      <c r="E279" s="22" t="str">
        <f>"漯河职业技术学院"</f>
        <v>漯河职业技术学院</v>
      </c>
      <c r="F279" s="26"/>
    </row>
    <row r="280" s="3" customFormat="1" ht="20" customHeight="1" spans="1:6">
      <c r="A280" s="14">
        <v>278</v>
      </c>
      <c r="B280" s="21" t="str">
        <f t="shared" si="52"/>
        <v>611</v>
      </c>
      <c r="C280" s="21" t="str">
        <f>"郁真"</f>
        <v>郁真</v>
      </c>
      <c r="D280" s="21" t="str">
        <f t="shared" si="49"/>
        <v>女</v>
      </c>
      <c r="E280" s="22" t="str">
        <f>"漯河职业技术学院"</f>
        <v>漯河职业技术学院</v>
      </c>
      <c r="F280" s="26"/>
    </row>
    <row r="281" s="3" customFormat="1" ht="20" customHeight="1" spans="1:6">
      <c r="A281" s="14">
        <v>279</v>
      </c>
      <c r="B281" s="21" t="str">
        <f t="shared" si="52"/>
        <v>611</v>
      </c>
      <c r="C281" s="21" t="str">
        <f>"杜亚娴"</f>
        <v>杜亚娴</v>
      </c>
      <c r="D281" s="21" t="str">
        <f t="shared" si="49"/>
        <v>女</v>
      </c>
      <c r="E281" s="22" t="str">
        <f>"郑州师范学院"</f>
        <v>郑州师范学院</v>
      </c>
      <c r="F281" s="26"/>
    </row>
    <row r="282" s="3" customFormat="1" ht="20" customHeight="1" spans="1:6">
      <c r="A282" s="14">
        <v>280</v>
      </c>
      <c r="B282" s="21" t="str">
        <f t="shared" si="52"/>
        <v>611</v>
      </c>
      <c r="C282" s="21" t="str">
        <f>"王宁"</f>
        <v>王宁</v>
      </c>
      <c r="D282" s="21" t="str">
        <f t="shared" si="49"/>
        <v>女</v>
      </c>
      <c r="E282" s="22" t="str">
        <f>"南阳师范学院"</f>
        <v>南阳师范学院</v>
      </c>
      <c r="F282" s="26"/>
    </row>
    <row r="283" s="3" customFormat="1" ht="20" customHeight="1" spans="1:6">
      <c r="A283" s="14">
        <v>281</v>
      </c>
      <c r="B283" s="21" t="str">
        <f t="shared" si="52"/>
        <v>611</v>
      </c>
      <c r="C283" s="21" t="str">
        <f>"马雯倩"</f>
        <v>马雯倩</v>
      </c>
      <c r="D283" s="21" t="str">
        <f t="shared" si="49"/>
        <v>女</v>
      </c>
      <c r="E283" s="22" t="str">
        <f>"南阳师范学院"</f>
        <v>南阳师范学院</v>
      </c>
      <c r="F283" s="26"/>
    </row>
    <row r="284" s="3" customFormat="1" ht="20" customHeight="1" spans="1:6">
      <c r="A284" s="14">
        <v>282</v>
      </c>
      <c r="B284" s="21" t="str">
        <f t="shared" si="52"/>
        <v>611</v>
      </c>
      <c r="C284" s="21" t="str">
        <f>"刘秋艳"</f>
        <v>刘秋艳</v>
      </c>
      <c r="D284" s="21" t="str">
        <f t="shared" si="49"/>
        <v>女</v>
      </c>
      <c r="E284" s="22" t="s">
        <v>25</v>
      </c>
      <c r="F284" s="26"/>
    </row>
    <row r="285" s="3" customFormat="1" ht="20" customHeight="1" spans="1:6">
      <c r="A285" s="14">
        <v>283</v>
      </c>
      <c r="B285" s="21" t="str">
        <f t="shared" si="52"/>
        <v>611</v>
      </c>
      <c r="C285" s="21" t="str">
        <f>"杨洋"</f>
        <v>杨洋</v>
      </c>
      <c r="D285" s="21" t="str">
        <f t="shared" si="49"/>
        <v>女</v>
      </c>
      <c r="E285" s="22" t="str">
        <f>"许昌职业技术学院"</f>
        <v>许昌职业技术学院</v>
      </c>
      <c r="F285" s="26"/>
    </row>
    <row r="286" s="3" customFormat="1" ht="20" customHeight="1" spans="1:6">
      <c r="A286" s="14">
        <v>284</v>
      </c>
      <c r="B286" s="21" t="str">
        <f t="shared" si="52"/>
        <v>611</v>
      </c>
      <c r="C286" s="21" t="str">
        <f>"樊刘阳"</f>
        <v>樊刘阳</v>
      </c>
      <c r="D286" s="21" t="str">
        <f t="shared" si="49"/>
        <v>女</v>
      </c>
      <c r="E286" s="22" t="str">
        <f>"漯河职业技术学院"</f>
        <v>漯河职业技术学院</v>
      </c>
      <c r="F286" s="26"/>
    </row>
    <row r="287" s="3" customFormat="1" ht="20" customHeight="1" spans="1:6">
      <c r="A287" s="14">
        <v>285</v>
      </c>
      <c r="B287" s="21" t="str">
        <f t="shared" si="52"/>
        <v>611</v>
      </c>
      <c r="C287" s="21" t="str">
        <f>"任玉培"</f>
        <v>任玉培</v>
      </c>
      <c r="D287" s="21" t="str">
        <f t="shared" si="49"/>
        <v>女</v>
      </c>
      <c r="E287" s="22" t="str">
        <f>"德州学院"</f>
        <v>德州学院</v>
      </c>
      <c r="F287" s="26"/>
    </row>
    <row r="288" s="3" customFormat="1" ht="20" customHeight="1" spans="1:6">
      <c r="A288" s="14">
        <v>286</v>
      </c>
      <c r="B288" s="21" t="str">
        <f t="shared" si="52"/>
        <v>611</v>
      </c>
      <c r="C288" s="21" t="str">
        <f>"李玉颖"</f>
        <v>李玉颖</v>
      </c>
      <c r="D288" s="21" t="str">
        <f t="shared" si="49"/>
        <v>女</v>
      </c>
      <c r="E288" s="22" t="str">
        <f>"开封文化艺术职业学院"</f>
        <v>开封文化艺术职业学院</v>
      </c>
      <c r="F288" s="26"/>
    </row>
    <row r="289" s="3" customFormat="1" ht="20" customHeight="1" spans="1:6">
      <c r="A289" s="14">
        <v>287</v>
      </c>
      <c r="B289" s="21" t="str">
        <f t="shared" si="52"/>
        <v>611</v>
      </c>
      <c r="C289" s="21" t="str">
        <f>"陈梦伟"</f>
        <v>陈梦伟</v>
      </c>
      <c r="D289" s="21" t="str">
        <f t="shared" si="49"/>
        <v>女</v>
      </c>
      <c r="E289" s="22" t="str">
        <f>"郑州科技学院"</f>
        <v>郑州科技学院</v>
      </c>
      <c r="F289" s="26"/>
    </row>
    <row r="290" s="3" customFormat="1" ht="20" customHeight="1" spans="1:6">
      <c r="A290" s="14">
        <v>288</v>
      </c>
      <c r="B290" s="21" t="str">
        <f t="shared" si="52"/>
        <v>611</v>
      </c>
      <c r="C290" s="21" t="str">
        <f>"王绪娟"</f>
        <v>王绪娟</v>
      </c>
      <c r="D290" s="21" t="str">
        <f t="shared" si="49"/>
        <v>女</v>
      </c>
      <c r="E290" s="22" t="str">
        <f t="shared" ref="E290:E293" si="53">"南阳师范学院"</f>
        <v>南阳师范学院</v>
      </c>
      <c r="F290" s="26"/>
    </row>
    <row r="291" s="3" customFormat="1" ht="20" customHeight="1" spans="1:6">
      <c r="A291" s="14">
        <v>289</v>
      </c>
      <c r="B291" s="21" t="str">
        <f t="shared" si="52"/>
        <v>611</v>
      </c>
      <c r="C291" s="21" t="str">
        <f>"郑甜甜"</f>
        <v>郑甜甜</v>
      </c>
      <c r="D291" s="21" t="str">
        <f t="shared" si="49"/>
        <v>女</v>
      </c>
      <c r="E291" s="22" t="str">
        <f t="shared" si="53"/>
        <v>南阳师范学院</v>
      </c>
      <c r="F291" s="26"/>
    </row>
    <row r="292" s="3" customFormat="1" ht="20" customHeight="1" spans="1:6">
      <c r="A292" s="14">
        <v>290</v>
      </c>
      <c r="B292" s="21" t="str">
        <f t="shared" si="52"/>
        <v>611</v>
      </c>
      <c r="C292" s="21" t="str">
        <f>"张月"</f>
        <v>张月</v>
      </c>
      <c r="D292" s="21" t="str">
        <f t="shared" si="49"/>
        <v>女</v>
      </c>
      <c r="E292" s="22" t="str">
        <f>"河南师范大学新联学院"</f>
        <v>河南师范大学新联学院</v>
      </c>
      <c r="F292" s="26"/>
    </row>
    <row r="293" s="3" customFormat="1" ht="20" customHeight="1" spans="1:6">
      <c r="A293" s="14">
        <v>291</v>
      </c>
      <c r="B293" s="21" t="str">
        <f t="shared" si="52"/>
        <v>611</v>
      </c>
      <c r="C293" s="21" t="str">
        <f>"刘琼蔚"</f>
        <v>刘琼蔚</v>
      </c>
      <c r="D293" s="21" t="str">
        <f t="shared" si="49"/>
        <v>女</v>
      </c>
      <c r="E293" s="22" t="str">
        <f t="shared" si="53"/>
        <v>南阳师范学院</v>
      </c>
      <c r="F293" s="26"/>
    </row>
    <row r="294" s="3" customFormat="1" ht="20" customHeight="1" spans="1:6">
      <c r="A294" s="14">
        <v>292</v>
      </c>
      <c r="B294" s="21" t="str">
        <f t="shared" si="52"/>
        <v>611</v>
      </c>
      <c r="C294" s="21" t="str">
        <f>"刘茜"</f>
        <v>刘茜</v>
      </c>
      <c r="D294" s="21" t="str">
        <f t="shared" si="49"/>
        <v>女</v>
      </c>
      <c r="E294" s="22" t="str">
        <f>"郑州幼儿师范高等专科学校"</f>
        <v>郑州幼儿师范高等专科学校</v>
      </c>
      <c r="F294" s="26"/>
    </row>
    <row r="295" s="3" customFormat="1" ht="20" customHeight="1" spans="1:6">
      <c r="A295" s="14">
        <v>293</v>
      </c>
      <c r="B295" s="21" t="str">
        <f t="shared" si="52"/>
        <v>611</v>
      </c>
      <c r="C295" s="21" t="str">
        <f>"冯哲洋"</f>
        <v>冯哲洋</v>
      </c>
      <c r="D295" s="21" t="str">
        <f t="shared" si="49"/>
        <v>女</v>
      </c>
      <c r="E295" s="22" t="str">
        <f>"平顶山职业技术学院"</f>
        <v>平顶山职业技术学院</v>
      </c>
      <c r="F295" s="26"/>
    </row>
    <row r="296" s="2" customFormat="1" ht="20" customHeight="1" spans="1:6">
      <c r="A296" s="14">
        <v>294</v>
      </c>
      <c r="B296" s="21" t="str">
        <f t="shared" si="52"/>
        <v>611</v>
      </c>
      <c r="C296" s="21" t="str">
        <f>"张静恩"</f>
        <v>张静恩</v>
      </c>
      <c r="D296" s="21" t="str">
        <f t="shared" si="49"/>
        <v>女</v>
      </c>
      <c r="E296" s="22" t="str">
        <f>"郑州城市职业学院"</f>
        <v>郑州城市职业学院</v>
      </c>
      <c r="F296" s="30"/>
    </row>
    <row r="297" s="2" customFormat="1" ht="20" customHeight="1" spans="1:6">
      <c r="A297" s="14">
        <v>295</v>
      </c>
      <c r="B297" s="21" t="s">
        <v>45</v>
      </c>
      <c r="C297" s="21" t="s">
        <v>46</v>
      </c>
      <c r="D297" s="21" t="s">
        <v>10</v>
      </c>
      <c r="E297" s="22" t="s">
        <v>47</v>
      </c>
      <c r="F297" s="30"/>
    </row>
    <row r="298" s="2" customFormat="1" ht="20" customHeight="1" spans="1:6">
      <c r="A298" s="14">
        <v>296</v>
      </c>
      <c r="B298" s="21" t="s">
        <v>45</v>
      </c>
      <c r="C298" s="21" t="s">
        <v>48</v>
      </c>
      <c r="D298" s="21" t="s">
        <v>10</v>
      </c>
      <c r="E298" s="22" t="s">
        <v>13</v>
      </c>
      <c r="F298" s="30"/>
    </row>
    <row r="299" s="2" customFormat="1" ht="20" customHeight="1" spans="1:6">
      <c r="A299" s="14">
        <v>297</v>
      </c>
      <c r="B299" s="21" t="s">
        <v>45</v>
      </c>
      <c r="C299" s="21" t="s">
        <v>49</v>
      </c>
      <c r="D299" s="21" t="s">
        <v>10</v>
      </c>
      <c r="E299" s="22" t="s">
        <v>50</v>
      </c>
      <c r="F299" s="30"/>
    </row>
    <row r="300" s="2" customFormat="1" ht="20" customHeight="1" spans="1:6">
      <c r="A300" s="14">
        <v>298</v>
      </c>
      <c r="B300" s="21" t="s">
        <v>45</v>
      </c>
      <c r="C300" s="21" t="s">
        <v>51</v>
      </c>
      <c r="D300" s="21" t="s">
        <v>10</v>
      </c>
      <c r="E300" s="22" t="s">
        <v>52</v>
      </c>
      <c r="F300" s="30"/>
    </row>
    <row r="301" s="2" customFormat="1" ht="20" customHeight="1" spans="1:6">
      <c r="A301" s="14">
        <v>299</v>
      </c>
      <c r="B301" s="21" t="s">
        <v>45</v>
      </c>
      <c r="C301" s="21" t="s">
        <v>53</v>
      </c>
      <c r="D301" s="21" t="s">
        <v>10</v>
      </c>
      <c r="E301" s="22" t="s">
        <v>25</v>
      </c>
      <c r="F301" s="30"/>
    </row>
    <row r="302" s="2" customFormat="1" ht="20" customHeight="1" spans="1:6">
      <c r="A302" s="14">
        <v>300</v>
      </c>
      <c r="B302" s="21" t="s">
        <v>45</v>
      </c>
      <c r="C302" s="21" t="s">
        <v>54</v>
      </c>
      <c r="D302" s="21" t="s">
        <v>10</v>
      </c>
      <c r="E302" s="22" t="s">
        <v>55</v>
      </c>
      <c r="F302" s="30"/>
    </row>
    <row r="303" s="2" customFormat="1" ht="20" customHeight="1" spans="1:6">
      <c r="A303" s="14">
        <v>301</v>
      </c>
      <c r="B303" s="21" t="s">
        <v>45</v>
      </c>
      <c r="C303" s="21" t="s">
        <v>56</v>
      </c>
      <c r="D303" s="21" t="s">
        <v>10</v>
      </c>
      <c r="E303" s="22" t="s">
        <v>25</v>
      </c>
      <c r="F303" s="30"/>
    </row>
    <row r="304" s="2" customFormat="1" ht="20" customHeight="1" spans="1:6">
      <c r="A304" s="14">
        <v>302</v>
      </c>
      <c r="B304" s="21" t="s">
        <v>45</v>
      </c>
      <c r="C304" s="21" t="s">
        <v>57</v>
      </c>
      <c r="D304" s="21" t="s">
        <v>10</v>
      </c>
      <c r="E304" s="22" t="s">
        <v>58</v>
      </c>
      <c r="F304" s="30"/>
    </row>
    <row r="305" s="2" customFormat="1" ht="20" customHeight="1" spans="1:6">
      <c r="A305" s="14">
        <v>303</v>
      </c>
      <c r="B305" s="21" t="s">
        <v>45</v>
      </c>
      <c r="C305" s="21" t="s">
        <v>59</v>
      </c>
      <c r="D305" s="21" t="s">
        <v>10</v>
      </c>
      <c r="E305" s="22" t="s">
        <v>60</v>
      </c>
      <c r="F305" s="21"/>
    </row>
    <row r="306" s="2" customFormat="1" ht="20" customHeight="1" spans="1:6">
      <c r="A306" s="14">
        <v>304</v>
      </c>
      <c r="B306" s="21" t="s">
        <v>45</v>
      </c>
      <c r="C306" s="21" t="s">
        <v>61</v>
      </c>
      <c r="D306" s="21" t="s">
        <v>10</v>
      </c>
      <c r="E306" s="22" t="s">
        <v>62</v>
      </c>
      <c r="F306" s="30"/>
    </row>
    <row r="307" s="2" customFormat="1" ht="20" customHeight="1" spans="1:6">
      <c r="A307" s="14">
        <v>305</v>
      </c>
      <c r="B307" s="21" t="s">
        <v>45</v>
      </c>
      <c r="C307" s="21" t="s">
        <v>63</v>
      </c>
      <c r="D307" s="21" t="s">
        <v>10</v>
      </c>
      <c r="E307" s="22" t="s">
        <v>25</v>
      </c>
      <c r="F307" s="30"/>
    </row>
    <row r="308" s="2" customFormat="1" ht="20" customHeight="1" spans="1:6">
      <c r="A308" s="14">
        <v>306</v>
      </c>
      <c r="B308" s="17" t="str">
        <f t="shared" ref="B308:B311" si="54">"611"</f>
        <v>611</v>
      </c>
      <c r="C308" s="17" t="str">
        <f>"曲良鑫"</f>
        <v>曲良鑫</v>
      </c>
      <c r="D308" s="17" t="str">
        <f t="shared" ref="D308:D317" si="55">"女"</f>
        <v>女</v>
      </c>
      <c r="E308" s="16" t="str">
        <f>"平顶山教育学院"</f>
        <v>平顶山教育学院</v>
      </c>
      <c r="F308" s="18"/>
    </row>
    <row r="309" s="2" customFormat="1" ht="20" customHeight="1" spans="1:6">
      <c r="A309" s="14">
        <v>307</v>
      </c>
      <c r="B309" s="17" t="str">
        <f t="shared" si="54"/>
        <v>611</v>
      </c>
      <c r="C309" s="17" t="str">
        <f>"杨玉珍"</f>
        <v>杨玉珍</v>
      </c>
      <c r="D309" s="17" t="str">
        <f t="shared" si="55"/>
        <v>女</v>
      </c>
      <c r="E309" s="16" t="str">
        <f t="shared" ref="E309:E311" si="56">"南阳师范学院"</f>
        <v>南阳师范学院</v>
      </c>
      <c r="F309" s="18"/>
    </row>
    <row r="310" s="2" customFormat="1" ht="20" customHeight="1" spans="1:6">
      <c r="A310" s="14">
        <v>308</v>
      </c>
      <c r="B310" s="17" t="str">
        <f t="shared" si="54"/>
        <v>611</v>
      </c>
      <c r="C310" s="17" t="str">
        <f>"司光娜"</f>
        <v>司光娜</v>
      </c>
      <c r="D310" s="17" t="str">
        <f t="shared" si="55"/>
        <v>女</v>
      </c>
      <c r="E310" s="16" t="str">
        <f t="shared" si="56"/>
        <v>南阳师范学院</v>
      </c>
      <c r="F310" s="18"/>
    </row>
    <row r="311" s="2" customFormat="1" ht="20" customHeight="1" spans="1:6">
      <c r="A311" s="14">
        <v>309</v>
      </c>
      <c r="B311" s="17" t="str">
        <f t="shared" si="54"/>
        <v>611</v>
      </c>
      <c r="C311" s="17" t="str">
        <f>"王皓玥"</f>
        <v>王皓玥</v>
      </c>
      <c r="D311" s="17" t="str">
        <f t="shared" si="55"/>
        <v>女</v>
      </c>
      <c r="E311" s="16" t="str">
        <f t="shared" si="56"/>
        <v>南阳师范学院</v>
      </c>
      <c r="F311" s="18"/>
    </row>
    <row r="312" ht="20" customHeight="1" spans="1:6">
      <c r="A312" s="14">
        <v>310</v>
      </c>
      <c r="B312" s="37" t="str">
        <f>"701"</f>
        <v>701</v>
      </c>
      <c r="C312" s="37" t="str">
        <f>"黄淯婉"</f>
        <v>黄淯婉</v>
      </c>
      <c r="D312" s="37" t="str">
        <f t="shared" si="55"/>
        <v>女</v>
      </c>
      <c r="E312" s="38" t="str">
        <f>"四川省社会科学院"</f>
        <v>四川省社会科学院</v>
      </c>
      <c r="F312" s="38"/>
    </row>
    <row r="313" ht="20" customHeight="1" spans="1:6">
      <c r="A313" s="14">
        <v>311</v>
      </c>
      <c r="B313" s="37" t="str">
        <f>"702"</f>
        <v>702</v>
      </c>
      <c r="C313" s="37" t="str">
        <f>"孙杰依"</f>
        <v>孙杰依</v>
      </c>
      <c r="D313" s="37" t="str">
        <f t="shared" si="55"/>
        <v>女</v>
      </c>
      <c r="E313" s="38" t="str">
        <f>"河南工业大学"</f>
        <v>河南工业大学</v>
      </c>
      <c r="F313" s="38"/>
    </row>
    <row r="314" ht="20" customHeight="1" spans="1:6">
      <c r="A314" s="14">
        <v>312</v>
      </c>
      <c r="B314" s="37" t="str">
        <f>"703"</f>
        <v>703</v>
      </c>
      <c r="C314" s="37" t="str">
        <f>"别晨萌"</f>
        <v>别晨萌</v>
      </c>
      <c r="D314" s="37" t="str">
        <f t="shared" si="55"/>
        <v>女</v>
      </c>
      <c r="E314" s="38" t="str">
        <f>"浙江财经大学"</f>
        <v>浙江财经大学</v>
      </c>
      <c r="F314" s="38"/>
    </row>
    <row r="315" ht="20" customHeight="1" spans="1:6">
      <c r="A315" s="14">
        <v>313</v>
      </c>
      <c r="B315" s="37" t="str">
        <f>"704"</f>
        <v>704</v>
      </c>
      <c r="C315" s="37" t="str">
        <f>"李一卓"</f>
        <v>李一卓</v>
      </c>
      <c r="D315" s="37" t="str">
        <f t="shared" si="55"/>
        <v>女</v>
      </c>
      <c r="E315" s="38" t="str">
        <f>"南阳师范学院"</f>
        <v>南阳师范学院</v>
      </c>
      <c r="F315" s="38"/>
    </row>
    <row r="316" ht="20" customHeight="1" spans="1:6">
      <c r="A316" s="14">
        <v>314</v>
      </c>
      <c r="B316" s="37" t="str">
        <f>"705"</f>
        <v>705</v>
      </c>
      <c r="C316" s="37" t="str">
        <f>"杨一帆"</f>
        <v>杨一帆</v>
      </c>
      <c r="D316" s="37" t="str">
        <f t="shared" si="55"/>
        <v>女</v>
      </c>
      <c r="E316" s="38" t="str">
        <f>"渤海大学"</f>
        <v>渤海大学</v>
      </c>
      <c r="F316" s="38"/>
    </row>
    <row r="317" ht="20" customHeight="1" spans="1:6">
      <c r="A317" s="14">
        <v>315</v>
      </c>
      <c r="B317" s="37" t="str">
        <f>"705"</f>
        <v>705</v>
      </c>
      <c r="C317" s="37" t="str">
        <f>"井晓雅"</f>
        <v>井晓雅</v>
      </c>
      <c r="D317" s="37" t="str">
        <f t="shared" si="55"/>
        <v>女</v>
      </c>
      <c r="E317" s="38" t="str">
        <f>"西安财经大学"</f>
        <v>西安财经大学</v>
      </c>
      <c r="F317" s="39"/>
    </row>
    <row r="318" ht="20" customHeight="1" spans="1:6">
      <c r="A318" s="14">
        <v>316</v>
      </c>
      <c r="B318" s="37" t="str">
        <f>"706"</f>
        <v>706</v>
      </c>
      <c r="C318" s="37" t="str">
        <f>"翟洪震"</f>
        <v>翟洪震</v>
      </c>
      <c r="D318" s="37" t="str">
        <f>"男"</f>
        <v>男</v>
      </c>
      <c r="E318" s="38" t="str">
        <f>"浙江海洋大学东海科学技术学院"</f>
        <v>浙江海洋大学东海科学技术学院</v>
      </c>
      <c r="F318" s="38"/>
    </row>
    <row r="319" ht="20" customHeight="1" spans="1:6">
      <c r="A319" s="14">
        <v>317</v>
      </c>
      <c r="B319" s="37" t="str">
        <f t="shared" ref="B319:B321" si="57">"707"</f>
        <v>707</v>
      </c>
      <c r="C319" s="37" t="str">
        <f>"张祖媛"</f>
        <v>张祖媛</v>
      </c>
      <c r="D319" s="37" t="str">
        <f t="shared" ref="D319:D322" si="58">"女"</f>
        <v>女</v>
      </c>
      <c r="E319" s="38" t="str">
        <f>"河南财经政法大学"</f>
        <v>河南财经政法大学</v>
      </c>
      <c r="F319" s="38"/>
    </row>
    <row r="320" ht="20" customHeight="1" spans="1:6">
      <c r="A320" s="14">
        <v>318</v>
      </c>
      <c r="B320" s="37" t="str">
        <f t="shared" si="57"/>
        <v>707</v>
      </c>
      <c r="C320" s="37" t="str">
        <f>"张艺范"</f>
        <v>张艺范</v>
      </c>
      <c r="D320" s="37" t="str">
        <f t="shared" si="58"/>
        <v>女</v>
      </c>
      <c r="E320" s="38" t="str">
        <f>"安阳学院"</f>
        <v>安阳学院</v>
      </c>
      <c r="F320" s="38"/>
    </row>
    <row r="321" ht="20" customHeight="1" spans="1:6">
      <c r="A321" s="14">
        <v>319</v>
      </c>
      <c r="B321" s="37" t="str">
        <f t="shared" si="57"/>
        <v>707</v>
      </c>
      <c r="C321" s="37" t="str">
        <f>"李翔"</f>
        <v>李翔</v>
      </c>
      <c r="D321" s="37" t="str">
        <f t="shared" si="58"/>
        <v>女</v>
      </c>
      <c r="E321" s="38" t="str">
        <f>"黄河科技学院"</f>
        <v>黄河科技学院</v>
      </c>
      <c r="F321" s="38"/>
    </row>
    <row r="322" ht="20" customHeight="1" spans="1:6">
      <c r="A322" s="14">
        <v>320</v>
      </c>
      <c r="B322" s="37" t="str">
        <f>"708"</f>
        <v>708</v>
      </c>
      <c r="C322" s="37" t="str">
        <f>"赵静"</f>
        <v>赵静</v>
      </c>
      <c r="D322" s="37" t="str">
        <f t="shared" si="58"/>
        <v>女</v>
      </c>
      <c r="E322" s="38" t="str">
        <f>"东北农业大学"</f>
        <v>东北农业大学</v>
      </c>
      <c r="F322" s="38"/>
    </row>
    <row r="323" ht="20" customHeight="1" spans="1:6">
      <c r="A323" s="14">
        <v>321</v>
      </c>
      <c r="B323" s="37" t="str">
        <f>"708"</f>
        <v>708</v>
      </c>
      <c r="C323" s="37" t="str">
        <f>"叶建帮"</f>
        <v>叶建帮</v>
      </c>
      <c r="D323" s="37" t="str">
        <f>"男"</f>
        <v>男</v>
      </c>
      <c r="E323" s="38" t="str">
        <f>"河南财经政法大学"</f>
        <v>河南财经政法大学</v>
      </c>
      <c r="F323" s="38"/>
    </row>
    <row r="324" ht="20" customHeight="1" spans="1:6">
      <c r="A324" s="14">
        <v>322</v>
      </c>
      <c r="B324" s="37" t="str">
        <f>"709"</f>
        <v>709</v>
      </c>
      <c r="C324" s="37" t="str">
        <f>"王姝婉"</f>
        <v>王姝婉</v>
      </c>
      <c r="D324" s="37" t="str">
        <f t="shared" ref="D324:D329" si="59">"女"</f>
        <v>女</v>
      </c>
      <c r="E324" s="38" t="str">
        <f>"南阳师范学院"</f>
        <v>南阳师范学院</v>
      </c>
      <c r="F324" s="38"/>
    </row>
    <row r="325" ht="20" customHeight="1" spans="1:6">
      <c r="A325" s="14">
        <v>323</v>
      </c>
      <c r="B325" s="37" t="str">
        <f>"710"</f>
        <v>710</v>
      </c>
      <c r="C325" s="37" t="str">
        <f>"王一帆"</f>
        <v>王一帆</v>
      </c>
      <c r="D325" s="37" t="str">
        <f>"男"</f>
        <v>男</v>
      </c>
      <c r="E325" s="38" t="str">
        <f>"黄淮学院"</f>
        <v>黄淮学院</v>
      </c>
      <c r="F325" s="38"/>
    </row>
    <row r="326" ht="20" customHeight="1" spans="1:6">
      <c r="A326" s="14">
        <v>324</v>
      </c>
      <c r="B326" s="37" t="str">
        <f>"710"</f>
        <v>710</v>
      </c>
      <c r="C326" s="37" t="str">
        <f>"冯雪楠"</f>
        <v>冯雪楠</v>
      </c>
      <c r="D326" s="37" t="str">
        <f t="shared" si="59"/>
        <v>女</v>
      </c>
      <c r="E326" s="38" t="str">
        <f>"南阳师范学院"</f>
        <v>南阳师范学院</v>
      </c>
      <c r="F326" s="38"/>
    </row>
    <row r="327" ht="20" customHeight="1" spans="1:6">
      <c r="A327" s="14">
        <v>325</v>
      </c>
      <c r="B327" s="37" t="str">
        <f t="shared" ref="B327:B331" si="60">"711"</f>
        <v>711</v>
      </c>
      <c r="C327" s="37" t="str">
        <f>"丁玉"</f>
        <v>丁玉</v>
      </c>
      <c r="D327" s="37" t="str">
        <f t="shared" si="59"/>
        <v>女</v>
      </c>
      <c r="E327" s="38" t="str">
        <f>"华北水利水电大学"</f>
        <v>华北水利水电大学</v>
      </c>
      <c r="F327" s="38"/>
    </row>
    <row r="328" ht="20" customHeight="1" spans="1:6">
      <c r="A328" s="14">
        <v>326</v>
      </c>
      <c r="B328" s="37" t="str">
        <f t="shared" si="60"/>
        <v>711</v>
      </c>
      <c r="C328" s="37" t="str">
        <f>"魏崇晖"</f>
        <v>魏崇晖</v>
      </c>
      <c r="D328" s="37" t="str">
        <f t="shared" si="59"/>
        <v>女</v>
      </c>
      <c r="E328" s="38" t="str">
        <f>"洛阳师范学院"</f>
        <v>洛阳师范学院</v>
      </c>
      <c r="F328" s="38"/>
    </row>
    <row r="329" ht="20" customHeight="1" spans="1:6">
      <c r="A329" s="14">
        <v>327</v>
      </c>
      <c r="B329" s="37" t="str">
        <f t="shared" si="60"/>
        <v>711</v>
      </c>
      <c r="C329" s="37" t="str">
        <f>"朱琳"</f>
        <v>朱琳</v>
      </c>
      <c r="D329" s="37" t="str">
        <f t="shared" si="59"/>
        <v>女</v>
      </c>
      <c r="E329" s="38" t="str">
        <f>"宁夏大学"</f>
        <v>宁夏大学</v>
      </c>
      <c r="F329" s="38"/>
    </row>
    <row r="330" ht="20" customHeight="1" spans="1:6">
      <c r="A330" s="14">
        <v>328</v>
      </c>
      <c r="B330" s="37" t="str">
        <f t="shared" si="60"/>
        <v>711</v>
      </c>
      <c r="C330" s="37" t="str">
        <f>"卢新辉"</f>
        <v>卢新辉</v>
      </c>
      <c r="D330" s="37" t="str">
        <f t="shared" ref="D330:D335" si="61">"男"</f>
        <v>男</v>
      </c>
      <c r="E330" s="38" t="str">
        <f>"河南科技学院"</f>
        <v>河南科技学院</v>
      </c>
      <c r="F330" s="38"/>
    </row>
    <row r="331" ht="20" customHeight="1" spans="1:6">
      <c r="A331" s="14">
        <v>329</v>
      </c>
      <c r="B331" s="37" t="str">
        <f t="shared" si="60"/>
        <v>711</v>
      </c>
      <c r="C331" s="37" t="str">
        <f>"范理想"</f>
        <v>范理想</v>
      </c>
      <c r="D331" s="37" t="str">
        <f t="shared" si="61"/>
        <v>男</v>
      </c>
      <c r="E331" s="38" t="str">
        <f>"河南科技学院"</f>
        <v>河南科技学院</v>
      </c>
      <c r="F331" s="38"/>
    </row>
    <row r="332" ht="20" customHeight="1" spans="1:6">
      <c r="A332" s="14">
        <v>330</v>
      </c>
      <c r="B332" s="37" t="str">
        <f>"712"</f>
        <v>712</v>
      </c>
      <c r="C332" s="37" t="str">
        <f>"杨丹"</f>
        <v>杨丹</v>
      </c>
      <c r="D332" s="37" t="str">
        <f t="shared" ref="D332:D337" si="62">"女"</f>
        <v>女</v>
      </c>
      <c r="E332" s="38" t="str">
        <f>"天津财经大学"</f>
        <v>天津财经大学</v>
      </c>
      <c r="F332" s="38"/>
    </row>
    <row r="333" ht="20" customHeight="1" spans="1:6">
      <c r="A333" s="14">
        <v>331</v>
      </c>
      <c r="B333" s="37" t="str">
        <f>"712"</f>
        <v>712</v>
      </c>
      <c r="C333" s="37" t="str">
        <f>"周名扬"</f>
        <v>周名扬</v>
      </c>
      <c r="D333" s="37" t="str">
        <f t="shared" si="61"/>
        <v>男</v>
      </c>
      <c r="E333" s="38" t="str">
        <f>"商丘师范学院"</f>
        <v>商丘师范学院</v>
      </c>
      <c r="F333" s="38"/>
    </row>
    <row r="334" ht="20" customHeight="1" spans="1:6">
      <c r="A334" s="14">
        <v>332</v>
      </c>
      <c r="B334" s="37" t="str">
        <f>"713"</f>
        <v>713</v>
      </c>
      <c r="C334" s="37" t="str">
        <f>"周浩"</f>
        <v>周浩</v>
      </c>
      <c r="D334" s="37" t="str">
        <f t="shared" si="61"/>
        <v>男</v>
      </c>
      <c r="E334" s="38" t="str">
        <f>"西南大学"</f>
        <v>西南大学</v>
      </c>
      <c r="F334" s="38"/>
    </row>
    <row r="335" ht="20" customHeight="1" spans="1:6">
      <c r="A335" s="14">
        <v>333</v>
      </c>
      <c r="B335" s="37" t="str">
        <f>"713"</f>
        <v>713</v>
      </c>
      <c r="C335" s="37" t="str">
        <f>"李仪佳"</f>
        <v>李仪佳</v>
      </c>
      <c r="D335" s="37" t="str">
        <f t="shared" si="61"/>
        <v>男</v>
      </c>
      <c r="E335" s="38" t="str">
        <f>"南阳师范学院"</f>
        <v>南阳师范学院</v>
      </c>
      <c r="F335" s="38"/>
    </row>
    <row r="336" ht="20" customHeight="1" spans="1:6">
      <c r="A336" s="14">
        <v>334</v>
      </c>
      <c r="B336" s="37" t="str">
        <f>"714"</f>
        <v>714</v>
      </c>
      <c r="C336" s="37" t="str">
        <f>"郭奥"</f>
        <v>郭奥</v>
      </c>
      <c r="D336" s="37" t="str">
        <f t="shared" si="62"/>
        <v>女</v>
      </c>
      <c r="E336" s="38" t="str">
        <f>"河南大学"</f>
        <v>河南大学</v>
      </c>
      <c r="F336" s="38"/>
    </row>
    <row r="337" ht="20" customHeight="1" spans="1:6">
      <c r="A337" s="14">
        <v>335</v>
      </c>
      <c r="B337" s="37" t="str">
        <f>"714"</f>
        <v>714</v>
      </c>
      <c r="C337" s="37" t="str">
        <f>"李其睿"</f>
        <v>李其睿</v>
      </c>
      <c r="D337" s="37" t="str">
        <f t="shared" si="62"/>
        <v>女</v>
      </c>
      <c r="E337" s="38" t="str">
        <f>"周口师范学院"</f>
        <v>周口师范学院</v>
      </c>
      <c r="F337" s="38"/>
    </row>
    <row r="338" ht="20" customHeight="1" spans="1:6">
      <c r="A338" s="14">
        <v>336</v>
      </c>
      <c r="B338" s="37" t="str">
        <f>"715"</f>
        <v>715</v>
      </c>
      <c r="C338" s="37" t="str">
        <f>"赵亮"</f>
        <v>赵亮</v>
      </c>
      <c r="D338" s="37" t="str">
        <f t="shared" ref="D338:D343" si="63">"男"</f>
        <v>男</v>
      </c>
      <c r="E338" s="38" t="str">
        <f>"解放军信息工程大学"</f>
        <v>解放军信息工程大学</v>
      </c>
      <c r="F338" s="38"/>
    </row>
    <row r="339" ht="20" customHeight="1" spans="1:6">
      <c r="A339" s="14">
        <v>337</v>
      </c>
      <c r="B339" s="37" t="str">
        <f>"715"</f>
        <v>715</v>
      </c>
      <c r="C339" s="37" t="str">
        <f>"郑大治"</f>
        <v>郑大治</v>
      </c>
      <c r="D339" s="37" t="str">
        <f t="shared" si="63"/>
        <v>男</v>
      </c>
      <c r="E339" s="38" t="str">
        <f>"河南农业大学华豫学院"</f>
        <v>河南农业大学华豫学院</v>
      </c>
      <c r="F339" s="38"/>
    </row>
    <row r="340" ht="20" customHeight="1" spans="1:6">
      <c r="A340" s="14">
        <v>338</v>
      </c>
      <c r="B340" s="37" t="str">
        <f>"716"</f>
        <v>716</v>
      </c>
      <c r="C340" s="37" t="str">
        <f>"姜熙"</f>
        <v>姜熙</v>
      </c>
      <c r="D340" s="37" t="str">
        <f t="shared" ref="D340:D342" si="64">"女"</f>
        <v>女</v>
      </c>
      <c r="E340" s="38" t="str">
        <f>"南阳师范学院"</f>
        <v>南阳师范学院</v>
      </c>
      <c r="F340" s="38"/>
    </row>
    <row r="341" ht="20" customHeight="1" spans="1:6">
      <c r="A341" s="14">
        <v>339</v>
      </c>
      <c r="B341" s="37" t="str">
        <f>"717"</f>
        <v>717</v>
      </c>
      <c r="C341" s="37" t="str">
        <f>"杜建玲"</f>
        <v>杜建玲</v>
      </c>
      <c r="D341" s="37" t="str">
        <f t="shared" si="64"/>
        <v>女</v>
      </c>
      <c r="E341" s="40" t="s">
        <v>64</v>
      </c>
      <c r="F341" s="38"/>
    </row>
    <row r="342" ht="20" customHeight="1" spans="1:6">
      <c r="A342" s="14">
        <v>340</v>
      </c>
      <c r="B342" s="37" t="str">
        <f>"718"</f>
        <v>718</v>
      </c>
      <c r="C342" s="37" t="str">
        <f>"芦梦晗"</f>
        <v>芦梦晗</v>
      </c>
      <c r="D342" s="37" t="str">
        <f t="shared" si="64"/>
        <v>女</v>
      </c>
      <c r="E342" s="38" t="str">
        <f>"河南财政金融学院"</f>
        <v>河南财政金融学院</v>
      </c>
      <c r="F342" s="38"/>
    </row>
    <row r="343" ht="20" customHeight="1" spans="1:6">
      <c r="A343" s="14">
        <v>341</v>
      </c>
      <c r="B343" s="37" t="str">
        <f>"719"</f>
        <v>719</v>
      </c>
      <c r="C343" s="37" t="str">
        <f>"裴云行"</f>
        <v>裴云行</v>
      </c>
      <c r="D343" s="37" t="str">
        <f t="shared" si="63"/>
        <v>男</v>
      </c>
      <c r="E343" s="38" t="str">
        <f>"信阳农林学院"</f>
        <v>信阳农林学院</v>
      </c>
      <c r="F343" s="38"/>
    </row>
    <row r="344" ht="20" customHeight="1" spans="1:6">
      <c r="A344" s="14">
        <v>342</v>
      </c>
      <c r="B344" s="37" t="str">
        <f>"720"</f>
        <v>720</v>
      </c>
      <c r="C344" s="37" t="str">
        <f>"魏合新"</f>
        <v>魏合新</v>
      </c>
      <c r="D344" s="37" t="str">
        <f t="shared" ref="D344:D347" si="65">"女"</f>
        <v>女</v>
      </c>
      <c r="E344" s="38" t="str">
        <f>"河南工程学院"</f>
        <v>河南工程学院</v>
      </c>
      <c r="F344" s="38"/>
    </row>
    <row r="345" ht="20" customHeight="1" spans="1:6">
      <c r="A345" s="14">
        <v>343</v>
      </c>
      <c r="B345" s="37" t="str">
        <f>"721"</f>
        <v>721</v>
      </c>
      <c r="C345" s="37" t="str">
        <f>"闫昊"</f>
        <v>闫昊</v>
      </c>
      <c r="D345" s="37" t="str">
        <f>"男"</f>
        <v>男</v>
      </c>
      <c r="E345" s="38" t="str">
        <f>"河南大学"</f>
        <v>河南大学</v>
      </c>
      <c r="F345" s="38"/>
    </row>
    <row r="346" ht="20" customHeight="1" spans="1:6">
      <c r="A346" s="14">
        <v>344</v>
      </c>
      <c r="B346" s="37" t="str">
        <f>"722"</f>
        <v>722</v>
      </c>
      <c r="C346" s="37" t="str">
        <f>"张童"</f>
        <v>张童</v>
      </c>
      <c r="D346" s="37" t="str">
        <f t="shared" si="65"/>
        <v>女</v>
      </c>
      <c r="E346" s="38" t="str">
        <f>"商丘工学院"</f>
        <v>商丘工学院</v>
      </c>
      <c r="F346" s="38"/>
    </row>
    <row r="347" ht="20" customHeight="1" spans="1:6">
      <c r="A347" s="14">
        <v>345</v>
      </c>
      <c r="B347" s="37" t="str">
        <f t="shared" ref="B347:B349" si="66">"723"</f>
        <v>723</v>
      </c>
      <c r="C347" s="37" t="str">
        <f>"徐晗"</f>
        <v>徐晗</v>
      </c>
      <c r="D347" s="37" t="str">
        <f t="shared" si="65"/>
        <v>女</v>
      </c>
      <c r="E347" s="38" t="str">
        <f>"南阳师范学院"</f>
        <v>南阳师范学院</v>
      </c>
      <c r="F347" s="38"/>
    </row>
    <row r="348" ht="20" customHeight="1" spans="1:6">
      <c r="A348" s="14">
        <v>346</v>
      </c>
      <c r="B348" s="37" t="str">
        <f t="shared" si="66"/>
        <v>723</v>
      </c>
      <c r="C348" s="37" t="str">
        <f>"徐铸"</f>
        <v>徐铸</v>
      </c>
      <c r="D348" s="37" t="str">
        <f>"男"</f>
        <v>男</v>
      </c>
      <c r="E348" s="38" t="str">
        <f>"中南财经政法大学"</f>
        <v>中南财经政法大学</v>
      </c>
      <c r="F348" s="38"/>
    </row>
    <row r="349" ht="20" customHeight="1" spans="1:6">
      <c r="A349" s="14">
        <v>347</v>
      </c>
      <c r="B349" s="37" t="str">
        <f t="shared" si="66"/>
        <v>723</v>
      </c>
      <c r="C349" s="37" t="str">
        <f>"杨晨"</f>
        <v>杨晨</v>
      </c>
      <c r="D349" s="37" t="str">
        <f t="shared" ref="D349:D352" si="67">"女"</f>
        <v>女</v>
      </c>
      <c r="E349" s="38" t="str">
        <f>"南阳师范学院"</f>
        <v>南阳师范学院</v>
      </c>
      <c r="F349" s="38"/>
    </row>
    <row r="350" ht="20" customHeight="1" spans="1:6">
      <c r="A350" s="14">
        <v>348</v>
      </c>
      <c r="B350" s="37" t="str">
        <f>"724"</f>
        <v>724</v>
      </c>
      <c r="C350" s="37" t="str">
        <f>"贺燕"</f>
        <v>贺燕</v>
      </c>
      <c r="D350" s="37" t="str">
        <f t="shared" si="67"/>
        <v>女</v>
      </c>
      <c r="E350" s="38" t="str">
        <f>"华北理工大学"</f>
        <v>华北理工大学</v>
      </c>
      <c r="F350" s="38"/>
    </row>
    <row r="351" ht="20" customHeight="1" spans="1:6">
      <c r="A351" s="14">
        <v>349</v>
      </c>
      <c r="B351" s="37" t="str">
        <f>"725"</f>
        <v>725</v>
      </c>
      <c r="C351" s="37" t="str">
        <f>"董国良"</f>
        <v>董国良</v>
      </c>
      <c r="D351" s="37" t="str">
        <f>"男"</f>
        <v>男</v>
      </c>
      <c r="E351" s="38" t="str">
        <f>"郑州航空工业管理学院"</f>
        <v>郑州航空工业管理学院</v>
      </c>
      <c r="F351" s="38"/>
    </row>
    <row r="352" ht="20" customHeight="1" spans="1:6">
      <c r="A352" s="14">
        <v>350</v>
      </c>
      <c r="B352" s="37" t="str">
        <f>"726"</f>
        <v>726</v>
      </c>
      <c r="C352" s="37" t="str">
        <f>"樊怡雯"</f>
        <v>樊怡雯</v>
      </c>
      <c r="D352" s="37" t="str">
        <f t="shared" si="67"/>
        <v>女</v>
      </c>
      <c r="E352" s="38" t="str">
        <f>"郑州大学"</f>
        <v>郑州大学</v>
      </c>
      <c r="F352" s="38"/>
    </row>
    <row r="353" ht="20" customHeight="1" spans="1:6">
      <c r="A353" s="14">
        <v>351</v>
      </c>
      <c r="B353" s="37" t="str">
        <f>"726"</f>
        <v>726</v>
      </c>
      <c r="C353" s="41" t="s">
        <v>65</v>
      </c>
      <c r="D353" s="41" t="s">
        <v>10</v>
      </c>
      <c r="E353" s="38" t="str">
        <f>"华北水利水电大学"</f>
        <v>华北水利水电大学</v>
      </c>
      <c r="F353" s="38"/>
    </row>
    <row r="354" ht="20" customHeight="1" spans="1:6">
      <c r="A354" s="14">
        <v>352</v>
      </c>
      <c r="B354" s="37" t="str">
        <f>"727"</f>
        <v>727</v>
      </c>
      <c r="C354" s="37" t="str">
        <f>"石向梅"</f>
        <v>石向梅</v>
      </c>
      <c r="D354" s="37" t="str">
        <f t="shared" ref="D354:D359" si="68">"女"</f>
        <v>女</v>
      </c>
      <c r="E354" s="38" t="str">
        <f>"桂林电子科技大学"</f>
        <v>桂林电子科技大学</v>
      </c>
      <c r="F354" s="38"/>
    </row>
    <row r="355" ht="20" customHeight="1" spans="1:6">
      <c r="A355" s="14">
        <v>353</v>
      </c>
      <c r="B355" s="37" t="str">
        <f>"727"</f>
        <v>727</v>
      </c>
      <c r="C355" s="37" t="str">
        <f>"宋朋"</f>
        <v>宋朋</v>
      </c>
      <c r="D355" s="37" t="str">
        <f t="shared" si="68"/>
        <v>女</v>
      </c>
      <c r="E355" s="38" t="str">
        <f>"郑州工商学院"</f>
        <v>郑州工商学院</v>
      </c>
      <c r="F355" s="38"/>
    </row>
    <row r="356" ht="20" customHeight="1" spans="1:6">
      <c r="A356" s="14">
        <v>354</v>
      </c>
      <c r="B356" s="37" t="str">
        <f>"728"</f>
        <v>728</v>
      </c>
      <c r="C356" s="37" t="str">
        <f>"张港"</f>
        <v>张港</v>
      </c>
      <c r="D356" s="37" t="str">
        <f t="shared" ref="D356:D360" si="69">"男"</f>
        <v>男</v>
      </c>
      <c r="E356" s="38" t="str">
        <f>"长治学院"</f>
        <v>长治学院</v>
      </c>
      <c r="F356" s="38"/>
    </row>
    <row r="357" ht="20" customHeight="1" spans="1:6">
      <c r="A357" s="14">
        <v>355</v>
      </c>
      <c r="B357" s="37" t="str">
        <f>"730"</f>
        <v>730</v>
      </c>
      <c r="C357" s="37" t="str">
        <f>"李新策"</f>
        <v>李新策</v>
      </c>
      <c r="D357" s="37" t="str">
        <f t="shared" si="69"/>
        <v>男</v>
      </c>
      <c r="E357" s="38" t="str">
        <f t="shared" ref="E357:E361" si="70">"南阳师范学院"</f>
        <v>南阳师范学院</v>
      </c>
      <c r="F357" s="38"/>
    </row>
    <row r="358" ht="20" customHeight="1" spans="1:6">
      <c r="A358" s="14">
        <v>356</v>
      </c>
      <c r="B358" s="37" t="str">
        <f>"731"</f>
        <v>731</v>
      </c>
      <c r="C358" s="37" t="str">
        <f>"王朝阳"</f>
        <v>王朝阳</v>
      </c>
      <c r="D358" s="37" t="str">
        <f t="shared" si="68"/>
        <v>女</v>
      </c>
      <c r="E358" s="38" t="str">
        <f>"黄河科技学院"</f>
        <v>黄河科技学院</v>
      </c>
      <c r="F358" s="38"/>
    </row>
    <row r="359" ht="20" customHeight="1" spans="1:6">
      <c r="A359" s="14">
        <v>357</v>
      </c>
      <c r="B359" s="37" t="str">
        <f>"732"</f>
        <v>732</v>
      </c>
      <c r="C359" s="37" t="str">
        <f>"郭静楠"</f>
        <v>郭静楠</v>
      </c>
      <c r="D359" s="37" t="str">
        <f t="shared" si="68"/>
        <v>女</v>
      </c>
      <c r="E359" s="38" t="str">
        <f>"郑州商学院"</f>
        <v>郑州商学院</v>
      </c>
      <c r="F359" s="38"/>
    </row>
    <row r="360" ht="20" customHeight="1" spans="1:6">
      <c r="A360" s="14">
        <v>358</v>
      </c>
      <c r="B360" s="37" t="str">
        <f t="shared" ref="B360:B369" si="71">"733"</f>
        <v>733</v>
      </c>
      <c r="C360" s="37" t="str">
        <f>"王向前"</f>
        <v>王向前</v>
      </c>
      <c r="D360" s="37" t="str">
        <f t="shared" si="69"/>
        <v>男</v>
      </c>
      <c r="E360" s="38" t="str">
        <f t="shared" si="70"/>
        <v>南阳师范学院</v>
      </c>
      <c r="F360" s="38"/>
    </row>
    <row r="361" ht="20" customHeight="1" spans="1:6">
      <c r="A361" s="14">
        <v>359</v>
      </c>
      <c r="B361" s="37" t="str">
        <f t="shared" si="71"/>
        <v>733</v>
      </c>
      <c r="C361" s="37" t="str">
        <f>"王晓露"</f>
        <v>王晓露</v>
      </c>
      <c r="D361" s="37" t="str">
        <f t="shared" ref="D361:D363" si="72">"女"</f>
        <v>女</v>
      </c>
      <c r="E361" s="38" t="str">
        <f t="shared" si="70"/>
        <v>南阳师范学院</v>
      </c>
      <c r="F361" s="38"/>
    </row>
    <row r="362" ht="20" customHeight="1" spans="1:6">
      <c r="A362" s="14">
        <v>360</v>
      </c>
      <c r="B362" s="37" t="str">
        <f t="shared" si="71"/>
        <v>733</v>
      </c>
      <c r="C362" s="37" t="str">
        <f>"丁琦"</f>
        <v>丁琦</v>
      </c>
      <c r="D362" s="37" t="str">
        <f t="shared" si="72"/>
        <v>女</v>
      </c>
      <c r="E362" s="38" t="str">
        <f>"河南科技学院"</f>
        <v>河南科技学院</v>
      </c>
      <c r="F362" s="38"/>
    </row>
    <row r="363" ht="20" customHeight="1" spans="1:6">
      <c r="A363" s="14">
        <v>361</v>
      </c>
      <c r="B363" s="37" t="str">
        <f t="shared" si="71"/>
        <v>733</v>
      </c>
      <c r="C363" s="37" t="str">
        <f>"张青雲"</f>
        <v>张青雲</v>
      </c>
      <c r="D363" s="37" t="str">
        <f t="shared" si="72"/>
        <v>女</v>
      </c>
      <c r="E363" s="38" t="str">
        <f>"山东财经大学东方学院"</f>
        <v>山东财经大学东方学院</v>
      </c>
      <c r="F363" s="38"/>
    </row>
    <row r="364" ht="20" customHeight="1" spans="1:6">
      <c r="A364" s="14">
        <v>362</v>
      </c>
      <c r="B364" s="37" t="str">
        <f t="shared" si="71"/>
        <v>733</v>
      </c>
      <c r="C364" s="37" t="str">
        <f>"赵亚飞"</f>
        <v>赵亚飞</v>
      </c>
      <c r="D364" s="37" t="str">
        <f>"男"</f>
        <v>男</v>
      </c>
      <c r="E364" s="38" t="str">
        <f>"安徽科技学院"</f>
        <v>安徽科技学院</v>
      </c>
      <c r="F364" s="38"/>
    </row>
    <row r="365" ht="20" customHeight="1" spans="1:6">
      <c r="A365" s="14">
        <v>363</v>
      </c>
      <c r="B365" s="37" t="str">
        <f t="shared" si="71"/>
        <v>733</v>
      </c>
      <c r="C365" s="37" t="str">
        <f>"刘平安"</f>
        <v>刘平安</v>
      </c>
      <c r="D365" s="37" t="str">
        <f t="shared" ref="D365:D367" si="73">"女"</f>
        <v>女</v>
      </c>
      <c r="E365" s="38" t="str">
        <f>"信阳师范学院"</f>
        <v>信阳师范学院</v>
      </c>
      <c r="F365" s="38"/>
    </row>
    <row r="366" ht="20" customHeight="1" spans="1:6">
      <c r="A366" s="14">
        <v>364</v>
      </c>
      <c r="B366" s="37" t="str">
        <f t="shared" si="71"/>
        <v>733</v>
      </c>
      <c r="C366" s="37" t="str">
        <f>"唐怡璐"</f>
        <v>唐怡璐</v>
      </c>
      <c r="D366" s="37" t="str">
        <f t="shared" si="73"/>
        <v>女</v>
      </c>
      <c r="E366" s="38" t="str">
        <f>"郑州大学"</f>
        <v>郑州大学</v>
      </c>
      <c r="F366" s="38"/>
    </row>
    <row r="367" ht="20" customHeight="1" spans="1:6">
      <c r="A367" s="14">
        <v>365</v>
      </c>
      <c r="B367" s="37" t="str">
        <f t="shared" si="71"/>
        <v>733</v>
      </c>
      <c r="C367" s="37" t="str">
        <f>"王君瑶"</f>
        <v>王君瑶</v>
      </c>
      <c r="D367" s="37" t="str">
        <f t="shared" si="73"/>
        <v>女</v>
      </c>
      <c r="E367" s="38" t="str">
        <f>"许昌学院"</f>
        <v>许昌学院</v>
      </c>
      <c r="F367" s="38"/>
    </row>
    <row r="368" ht="20" customHeight="1" spans="1:6">
      <c r="A368" s="14">
        <v>366</v>
      </c>
      <c r="B368" s="37" t="str">
        <f t="shared" si="71"/>
        <v>733</v>
      </c>
      <c r="C368" s="37" t="str">
        <f>"谢召阳"</f>
        <v>谢召阳</v>
      </c>
      <c r="D368" s="37" t="str">
        <f t="shared" ref="D368:D371" si="74">"男"</f>
        <v>男</v>
      </c>
      <c r="E368" s="38" t="str">
        <f>"武汉东湖学院"</f>
        <v>武汉东湖学院</v>
      </c>
      <c r="F368" s="38"/>
    </row>
    <row r="369" ht="20" customHeight="1" spans="1:6">
      <c r="A369" s="14">
        <v>367</v>
      </c>
      <c r="B369" s="37" t="str">
        <f t="shared" si="71"/>
        <v>733</v>
      </c>
      <c r="C369" s="37" t="str">
        <f>"陈雪笛"</f>
        <v>陈雪笛</v>
      </c>
      <c r="D369" s="37" t="str">
        <f t="shared" ref="D369:D373" si="75">"女"</f>
        <v>女</v>
      </c>
      <c r="E369" s="38" t="str">
        <f>"河南财经政法大学"</f>
        <v>河南财经政法大学</v>
      </c>
      <c r="F369" s="38"/>
    </row>
    <row r="370" ht="20" customHeight="1" spans="1:6">
      <c r="A370" s="14">
        <v>368</v>
      </c>
      <c r="B370" s="37" t="str">
        <f>"734"</f>
        <v>734</v>
      </c>
      <c r="C370" s="37" t="str">
        <f>"何建烨"</f>
        <v>何建烨</v>
      </c>
      <c r="D370" s="37" t="str">
        <f t="shared" si="74"/>
        <v>男</v>
      </c>
      <c r="E370" s="38" t="str">
        <f>"山东财经大学"</f>
        <v>山东财经大学</v>
      </c>
      <c r="F370" s="38"/>
    </row>
    <row r="371" ht="20" customHeight="1" spans="1:6">
      <c r="A371" s="14">
        <v>369</v>
      </c>
      <c r="B371" s="37" t="str">
        <f>"735"</f>
        <v>735</v>
      </c>
      <c r="C371" s="37" t="str">
        <f>"李嘉威"</f>
        <v>李嘉威</v>
      </c>
      <c r="D371" s="37" t="str">
        <f t="shared" si="74"/>
        <v>男</v>
      </c>
      <c r="E371" s="38" t="str">
        <f>"商丘师范学院"</f>
        <v>商丘师范学院</v>
      </c>
      <c r="F371" s="38"/>
    </row>
    <row r="372" ht="20" customHeight="1" spans="1:6">
      <c r="A372" s="14">
        <v>370</v>
      </c>
      <c r="B372" s="37" t="str">
        <f>"736"</f>
        <v>736</v>
      </c>
      <c r="C372" s="37" t="str">
        <f>"张敏"</f>
        <v>张敏</v>
      </c>
      <c r="D372" s="37" t="str">
        <f t="shared" si="75"/>
        <v>女</v>
      </c>
      <c r="E372" s="38" t="str">
        <f>"华南农业大学"</f>
        <v>华南农业大学</v>
      </c>
      <c r="F372" s="38"/>
    </row>
    <row r="373" ht="20" customHeight="1" spans="1:6">
      <c r="A373" s="14">
        <v>371</v>
      </c>
      <c r="B373" s="37" t="str">
        <f>"737"</f>
        <v>737</v>
      </c>
      <c r="C373" s="37" t="str">
        <f>"赖鑫"</f>
        <v>赖鑫</v>
      </c>
      <c r="D373" s="37" t="str">
        <f t="shared" si="75"/>
        <v>女</v>
      </c>
      <c r="E373" s="38" t="str">
        <f>"华北水利水电大学"</f>
        <v>华北水利水电大学</v>
      </c>
      <c r="F373" s="38"/>
    </row>
    <row r="374" ht="20" customHeight="1" spans="1:6">
      <c r="A374" s="14">
        <v>372</v>
      </c>
      <c r="B374" s="37" t="str">
        <f>"738"</f>
        <v>738</v>
      </c>
      <c r="C374" s="37" t="str">
        <f>"田金欣"</f>
        <v>田金欣</v>
      </c>
      <c r="D374" s="37" t="str">
        <f t="shared" ref="D374:D377" si="76">"男"</f>
        <v>男</v>
      </c>
      <c r="E374" s="38" t="str">
        <f>"南阳理工学院"</f>
        <v>南阳理工学院</v>
      </c>
      <c r="F374" s="38"/>
    </row>
    <row r="375" ht="20" customHeight="1" spans="1:6">
      <c r="A375" s="14">
        <v>373</v>
      </c>
      <c r="B375" s="37" t="str">
        <f>"739"</f>
        <v>739</v>
      </c>
      <c r="C375" s="37" t="str">
        <f>"毛小双"</f>
        <v>毛小双</v>
      </c>
      <c r="D375" s="37" t="str">
        <f t="shared" ref="D375:D379" si="77">"女"</f>
        <v>女</v>
      </c>
      <c r="E375" s="38" t="str">
        <f>"河南科技学院新科学院"</f>
        <v>河南科技学院新科学院</v>
      </c>
      <c r="F375" s="38"/>
    </row>
    <row r="376" ht="20" customHeight="1" spans="1:6">
      <c r="A376" s="14">
        <v>374</v>
      </c>
      <c r="B376" s="37" t="str">
        <f>"740"</f>
        <v>740</v>
      </c>
      <c r="C376" s="37" t="str">
        <f>"赵玉峰"</f>
        <v>赵玉峰</v>
      </c>
      <c r="D376" s="37" t="str">
        <f t="shared" si="76"/>
        <v>男</v>
      </c>
      <c r="E376" s="38" t="str">
        <f>"信阳学院"</f>
        <v>信阳学院</v>
      </c>
      <c r="F376" s="38"/>
    </row>
    <row r="377" ht="20" customHeight="1" spans="1:6">
      <c r="A377" s="14">
        <v>375</v>
      </c>
      <c r="B377" s="37" t="str">
        <f>"741"</f>
        <v>741</v>
      </c>
      <c r="C377" s="37" t="str">
        <f>"刘宗辉"</f>
        <v>刘宗辉</v>
      </c>
      <c r="D377" s="37" t="str">
        <f t="shared" si="76"/>
        <v>男</v>
      </c>
      <c r="E377" s="38" t="str">
        <f>"重庆理工大学"</f>
        <v>重庆理工大学</v>
      </c>
      <c r="F377" s="38"/>
    </row>
    <row r="378" ht="20" customHeight="1" spans="1:6">
      <c r="A378" s="14">
        <v>376</v>
      </c>
      <c r="B378" s="42" t="str">
        <f>"742"</f>
        <v>742</v>
      </c>
      <c r="C378" s="37" t="s">
        <v>66</v>
      </c>
      <c r="D378" s="42" t="str">
        <f t="shared" si="77"/>
        <v>女</v>
      </c>
      <c r="E378" s="43" t="str">
        <f>"闽江学院"</f>
        <v>闽江学院</v>
      </c>
      <c r="F378" s="44"/>
    </row>
    <row r="379" ht="20" customHeight="1" spans="1:6">
      <c r="A379" s="14">
        <v>377</v>
      </c>
      <c r="B379" s="45" t="str">
        <f>"743"</f>
        <v>743</v>
      </c>
      <c r="C379" s="45" t="str">
        <f>"刘洋"</f>
        <v>刘洋</v>
      </c>
      <c r="D379" s="45" t="str">
        <f t="shared" si="77"/>
        <v>女</v>
      </c>
      <c r="E379" s="46" t="str">
        <f>"河南科技大学"</f>
        <v>河南科技大学</v>
      </c>
      <c r="F379" s="38"/>
    </row>
    <row r="380" ht="20" customHeight="1" spans="1:6">
      <c r="A380" s="14">
        <v>378</v>
      </c>
      <c r="B380" s="37" t="str">
        <f>"744"</f>
        <v>744</v>
      </c>
      <c r="C380" s="37" t="str">
        <f>"丹智杰"</f>
        <v>丹智杰</v>
      </c>
      <c r="D380" s="37" t="str">
        <f>"男"</f>
        <v>男</v>
      </c>
      <c r="E380" s="38" t="str">
        <f>"郑州航空工业管理学院"</f>
        <v>郑州航空工业管理学院</v>
      </c>
      <c r="F380" s="38"/>
    </row>
    <row r="381" ht="20" customHeight="1" spans="1:6">
      <c r="A381" s="14">
        <v>379</v>
      </c>
      <c r="B381" s="37" t="str">
        <f>"745"</f>
        <v>745</v>
      </c>
      <c r="C381" s="37" t="str">
        <f>"姜浩哲"</f>
        <v>姜浩哲</v>
      </c>
      <c r="D381" s="37" t="str">
        <f>"男"</f>
        <v>男</v>
      </c>
      <c r="E381" s="38" t="str">
        <f>"华北水利水电大学"</f>
        <v>华北水利水电大学</v>
      </c>
      <c r="F381" s="38"/>
    </row>
    <row r="382" ht="20" customHeight="1" spans="1:6">
      <c r="A382" s="14">
        <v>380</v>
      </c>
      <c r="B382" s="37" t="str">
        <f>"746"</f>
        <v>746</v>
      </c>
      <c r="C382" s="37" t="str">
        <f>"王翎君"</f>
        <v>王翎君</v>
      </c>
      <c r="D382" s="37" t="str">
        <f t="shared" ref="D382:D385" si="78">"女"</f>
        <v>女</v>
      </c>
      <c r="E382" s="38" t="str">
        <f>"郑州大学"</f>
        <v>郑州大学</v>
      </c>
      <c r="F382" s="38"/>
    </row>
    <row r="383" ht="20" customHeight="1" spans="1:6">
      <c r="A383" s="14">
        <v>381</v>
      </c>
      <c r="B383" s="37" t="str">
        <f>"747"</f>
        <v>747</v>
      </c>
      <c r="C383" s="37" t="str">
        <f>"张琳"</f>
        <v>张琳</v>
      </c>
      <c r="D383" s="37" t="str">
        <f t="shared" si="78"/>
        <v>女</v>
      </c>
      <c r="E383" s="38" t="str">
        <f>"河南财经政法大学"</f>
        <v>河南财经政法大学</v>
      </c>
      <c r="F383" s="38"/>
    </row>
    <row r="384" ht="20" customHeight="1" spans="1:6">
      <c r="A384" s="14">
        <v>382</v>
      </c>
      <c r="B384" s="37" t="str">
        <f>"748"</f>
        <v>748</v>
      </c>
      <c r="C384" s="37" t="str">
        <f>"王菲菲"</f>
        <v>王菲菲</v>
      </c>
      <c r="D384" s="37" t="str">
        <f t="shared" si="78"/>
        <v>女</v>
      </c>
      <c r="E384" s="38" t="str">
        <f>"河南理工大学万方科技学院"</f>
        <v>河南理工大学万方科技学院</v>
      </c>
      <c r="F384" s="38"/>
    </row>
    <row r="385" ht="20" customHeight="1" spans="1:6">
      <c r="A385" s="14">
        <v>383</v>
      </c>
      <c r="B385" s="37" t="str">
        <f>"748"</f>
        <v>748</v>
      </c>
      <c r="C385" s="37" t="str">
        <f>"周家冰"</f>
        <v>周家冰</v>
      </c>
      <c r="D385" s="37" t="str">
        <f t="shared" si="78"/>
        <v>女</v>
      </c>
      <c r="E385" s="38" t="str">
        <f>"湖南理工学院"</f>
        <v>湖南理工学院</v>
      </c>
      <c r="F385" s="38"/>
    </row>
    <row r="386" ht="20" customHeight="1" spans="1:6">
      <c r="A386" s="14">
        <v>384</v>
      </c>
      <c r="B386" s="37" t="str">
        <f>"749"</f>
        <v>749</v>
      </c>
      <c r="C386" s="37" t="str">
        <f>"王江河"</f>
        <v>王江河</v>
      </c>
      <c r="D386" s="37" t="str">
        <f>"男"</f>
        <v>男</v>
      </c>
      <c r="E386" s="38" t="str">
        <f>"安阳师范学院"</f>
        <v>安阳师范学院</v>
      </c>
      <c r="F386" s="38"/>
    </row>
    <row r="387" ht="20" customHeight="1" spans="1:6">
      <c r="A387" s="14">
        <v>385</v>
      </c>
      <c r="B387" s="37" t="str">
        <f>"750"</f>
        <v>750</v>
      </c>
      <c r="C387" s="37" t="str">
        <f>"刘玉焕"</f>
        <v>刘玉焕</v>
      </c>
      <c r="D387" s="37" t="str">
        <f t="shared" ref="D387:D390" si="79">"女"</f>
        <v>女</v>
      </c>
      <c r="E387" s="38" t="str">
        <f>"南阳师范学院"</f>
        <v>南阳师范学院</v>
      </c>
      <c r="F387" s="38"/>
    </row>
    <row r="388" ht="20" customHeight="1" spans="1:6">
      <c r="A388" s="14">
        <v>386</v>
      </c>
      <c r="B388" s="37" t="str">
        <f>"751"</f>
        <v>751</v>
      </c>
      <c r="C388" s="37" t="str">
        <f>"王秋晓"</f>
        <v>王秋晓</v>
      </c>
      <c r="D388" s="37" t="str">
        <f t="shared" si="79"/>
        <v>女</v>
      </c>
      <c r="E388" s="38" t="str">
        <f>"郑州工业应用技术学院"</f>
        <v>郑州工业应用技术学院</v>
      </c>
      <c r="F388" s="38"/>
    </row>
    <row r="389" ht="20" customHeight="1" spans="1:6">
      <c r="A389" s="14">
        <v>387</v>
      </c>
      <c r="B389" s="37" t="str">
        <f>"752"</f>
        <v>752</v>
      </c>
      <c r="C389" s="37" t="str">
        <f>"袁庆"</f>
        <v>袁庆</v>
      </c>
      <c r="D389" s="37" t="str">
        <f t="shared" si="79"/>
        <v>女</v>
      </c>
      <c r="E389" s="38" t="str">
        <f>"黑龙江八一农垦大学"</f>
        <v>黑龙江八一农垦大学</v>
      </c>
      <c r="F389" s="38"/>
    </row>
    <row r="390" ht="20" customHeight="1" spans="1:6">
      <c r="A390" s="14">
        <v>388</v>
      </c>
      <c r="B390" s="37" t="str">
        <f>"753"</f>
        <v>753</v>
      </c>
      <c r="C390" s="37" t="str">
        <f>"吴芳"</f>
        <v>吴芳</v>
      </c>
      <c r="D390" s="37" t="str">
        <f t="shared" si="79"/>
        <v>女</v>
      </c>
      <c r="E390" s="38" t="str">
        <f>"长春理工大学"</f>
        <v>长春理工大学</v>
      </c>
      <c r="F390" s="38"/>
    </row>
    <row r="391" ht="20" customHeight="1" spans="1:6">
      <c r="A391" s="14">
        <v>389</v>
      </c>
      <c r="B391" s="37" t="str">
        <f>"754"</f>
        <v>754</v>
      </c>
      <c r="C391" s="37" t="str">
        <f>"李栋梁"</f>
        <v>李栋梁</v>
      </c>
      <c r="D391" s="37" t="str">
        <f t="shared" ref="D391:D396" si="80">"男"</f>
        <v>男</v>
      </c>
      <c r="E391" s="38" t="str">
        <f>"河南财经政法大学成功学院"</f>
        <v>河南财经政法大学成功学院</v>
      </c>
      <c r="F391" s="38"/>
    </row>
    <row r="392" ht="20" customHeight="1" spans="1:6">
      <c r="A392" s="14">
        <v>390</v>
      </c>
      <c r="B392" s="37" t="str">
        <f>"755"</f>
        <v>755</v>
      </c>
      <c r="C392" s="37" t="str">
        <f>"黎璐璐"</f>
        <v>黎璐璐</v>
      </c>
      <c r="D392" s="37" t="str">
        <f t="shared" ref="D392:D395" si="81">"女"</f>
        <v>女</v>
      </c>
      <c r="E392" s="38" t="str">
        <f>"商丘工学院"</f>
        <v>商丘工学院</v>
      </c>
      <c r="F392" s="38"/>
    </row>
    <row r="393" ht="20" customHeight="1" spans="1:6">
      <c r="A393" s="14">
        <v>391</v>
      </c>
      <c r="B393" s="37" t="str">
        <f>"756"</f>
        <v>756</v>
      </c>
      <c r="C393" s="37" t="str">
        <f>"韩珍"</f>
        <v>韩珍</v>
      </c>
      <c r="D393" s="37" t="str">
        <f t="shared" si="81"/>
        <v>女</v>
      </c>
      <c r="E393" s="38" t="str">
        <f>"郑州轻工业学院"</f>
        <v>郑州轻工业学院</v>
      </c>
      <c r="F393" s="38"/>
    </row>
    <row r="394" ht="20" customHeight="1" spans="1:6">
      <c r="A394" s="14">
        <v>392</v>
      </c>
      <c r="B394" s="37" t="str">
        <f>"757"</f>
        <v>757</v>
      </c>
      <c r="C394" s="37" t="str">
        <f>"王晨光"</f>
        <v>王晨光</v>
      </c>
      <c r="D394" s="37" t="str">
        <f t="shared" si="80"/>
        <v>男</v>
      </c>
      <c r="E394" s="38" t="str">
        <f>"桂林电子科技大学"</f>
        <v>桂林电子科技大学</v>
      </c>
      <c r="F394" s="38"/>
    </row>
    <row r="395" ht="20" customHeight="1" spans="1:6">
      <c r="A395" s="14">
        <v>393</v>
      </c>
      <c r="B395" s="37" t="str">
        <f>"758"</f>
        <v>758</v>
      </c>
      <c r="C395" s="37" t="str">
        <f>"孙奥一"</f>
        <v>孙奥一</v>
      </c>
      <c r="D395" s="37" t="str">
        <f t="shared" si="81"/>
        <v>女</v>
      </c>
      <c r="E395" s="38" t="str">
        <f>"河南财经政法大学"</f>
        <v>河南财经政法大学</v>
      </c>
      <c r="F395" s="38"/>
    </row>
    <row r="396" ht="20" customHeight="1" spans="1:6">
      <c r="A396" s="14">
        <v>394</v>
      </c>
      <c r="B396" s="37" t="str">
        <f>"759"</f>
        <v>759</v>
      </c>
      <c r="C396" s="37" t="str">
        <f>"王云卓"</f>
        <v>王云卓</v>
      </c>
      <c r="D396" s="37" t="str">
        <f t="shared" si="80"/>
        <v>男</v>
      </c>
      <c r="E396" s="38" t="str">
        <f>"中原工学院"</f>
        <v>中原工学院</v>
      </c>
      <c r="F396" s="38"/>
    </row>
    <row r="397" ht="20" customHeight="1" spans="1:6">
      <c r="A397" s="14">
        <v>395</v>
      </c>
      <c r="B397" s="37" t="str">
        <f>"760"</f>
        <v>760</v>
      </c>
      <c r="C397" s="37" t="str">
        <f>"胡琬琨"</f>
        <v>胡琬琨</v>
      </c>
      <c r="D397" s="37" t="str">
        <f>"女"</f>
        <v>女</v>
      </c>
      <c r="E397" s="38" t="str">
        <f>"南阳理工学院"</f>
        <v>南阳理工学院</v>
      </c>
      <c r="F397" s="38"/>
    </row>
    <row r="398" ht="20" customHeight="1" spans="1:6">
      <c r="A398" s="14">
        <v>396</v>
      </c>
      <c r="B398" s="37" t="str">
        <f>"761"</f>
        <v>761</v>
      </c>
      <c r="C398" s="37" t="str">
        <f>"赵枫"</f>
        <v>赵枫</v>
      </c>
      <c r="D398" s="37" t="str">
        <f t="shared" ref="D398:D402" si="82">"男"</f>
        <v>男</v>
      </c>
      <c r="E398" s="38" t="str">
        <f>"河南司法警官职业学院"</f>
        <v>河南司法警官职业学院</v>
      </c>
      <c r="F398" s="38"/>
    </row>
    <row r="399" ht="20" customHeight="1" spans="1:6">
      <c r="A399" s="14">
        <v>397</v>
      </c>
      <c r="B399" s="37" t="str">
        <f>"762"</f>
        <v>762</v>
      </c>
      <c r="C399" s="37" t="str">
        <f>"刘阳"</f>
        <v>刘阳</v>
      </c>
      <c r="D399" s="37" t="str">
        <f t="shared" si="82"/>
        <v>男</v>
      </c>
      <c r="E399" s="38" t="s">
        <v>67</v>
      </c>
      <c r="F399" s="38"/>
    </row>
    <row r="400" ht="20" customHeight="1" spans="1:6">
      <c r="A400" s="14">
        <v>398</v>
      </c>
      <c r="B400" s="37" t="str">
        <f>"763"</f>
        <v>763</v>
      </c>
      <c r="C400" s="37" t="str">
        <f>"余承洋"</f>
        <v>余承洋</v>
      </c>
      <c r="D400" s="37" t="str">
        <f t="shared" si="82"/>
        <v>男</v>
      </c>
      <c r="E400" s="38" t="str">
        <f>"河海大学"</f>
        <v>河海大学</v>
      </c>
      <c r="F400" s="38"/>
    </row>
    <row r="401" ht="20" customHeight="1" spans="1:6">
      <c r="A401" s="14">
        <v>399</v>
      </c>
      <c r="B401" s="37" t="str">
        <f>"763"</f>
        <v>763</v>
      </c>
      <c r="C401" s="37" t="str">
        <f>"杜鹏玉"</f>
        <v>杜鹏玉</v>
      </c>
      <c r="D401" s="37" t="str">
        <f t="shared" si="82"/>
        <v>男</v>
      </c>
      <c r="E401" s="38" t="str">
        <f>"中原工学院"</f>
        <v>中原工学院</v>
      </c>
      <c r="F401" s="38"/>
    </row>
    <row r="402" ht="20" customHeight="1" spans="1:6">
      <c r="A402" s="14">
        <v>400</v>
      </c>
      <c r="B402" s="37" t="str">
        <f>"764"</f>
        <v>764</v>
      </c>
      <c r="C402" s="37" t="str">
        <f>"沈政"</f>
        <v>沈政</v>
      </c>
      <c r="D402" s="37" t="str">
        <f t="shared" si="82"/>
        <v>男</v>
      </c>
      <c r="E402" s="38" t="str">
        <f>"辽宁科技大学"</f>
        <v>辽宁科技大学</v>
      </c>
      <c r="F402" s="38"/>
    </row>
  </sheetData>
  <mergeCells count="1">
    <mergeCell ref="A1:F1"/>
  </mergeCells>
  <conditionalFormatting sqref="F6">
    <cfRule type="duplicateValues" dxfId="0" priority="99"/>
  </conditionalFormatting>
  <conditionalFormatting sqref="F7">
    <cfRule type="duplicateValues" dxfId="0" priority="97"/>
  </conditionalFormatting>
  <conditionalFormatting sqref="F28">
    <cfRule type="duplicateValues" dxfId="0" priority="16"/>
  </conditionalFormatting>
  <conditionalFormatting sqref="F29">
    <cfRule type="duplicateValues" dxfId="0" priority="15"/>
  </conditionalFormatting>
  <conditionalFormatting sqref="F30">
    <cfRule type="duplicateValues" dxfId="0" priority="14"/>
  </conditionalFormatting>
  <conditionalFormatting sqref="F31">
    <cfRule type="duplicateValues" dxfId="0" priority="13"/>
  </conditionalFormatting>
  <conditionalFormatting sqref="F32">
    <cfRule type="duplicateValues" dxfId="0" priority="12"/>
  </conditionalFormatting>
  <conditionalFormatting sqref="F40">
    <cfRule type="duplicateValues" dxfId="0" priority="89"/>
  </conditionalFormatting>
  <conditionalFormatting sqref="F41">
    <cfRule type="duplicateValues" dxfId="0" priority="87"/>
  </conditionalFormatting>
  <conditionalFormatting sqref="F42">
    <cfRule type="duplicateValues" dxfId="0" priority="85"/>
  </conditionalFormatting>
  <conditionalFormatting sqref="F43">
    <cfRule type="duplicateValues" dxfId="0" priority="83"/>
  </conditionalFormatting>
  <conditionalFormatting sqref="F44">
    <cfRule type="duplicateValues" dxfId="0" priority="81"/>
  </conditionalFormatting>
  <conditionalFormatting sqref="F45">
    <cfRule type="duplicateValues" dxfId="0" priority="79"/>
  </conditionalFormatting>
  <conditionalFormatting sqref="F55">
    <cfRule type="duplicateValues" dxfId="0" priority="127"/>
  </conditionalFormatting>
  <conditionalFormatting sqref="F56">
    <cfRule type="duplicateValues" dxfId="0" priority="125"/>
  </conditionalFormatting>
  <conditionalFormatting sqref="F59">
    <cfRule type="duplicateValues" dxfId="0" priority="123"/>
  </conditionalFormatting>
  <conditionalFormatting sqref="F65">
    <cfRule type="duplicateValues" dxfId="0" priority="121"/>
  </conditionalFormatting>
  <conditionalFormatting sqref="F67">
    <cfRule type="duplicateValues" dxfId="0" priority="77"/>
  </conditionalFormatting>
  <conditionalFormatting sqref="F68">
    <cfRule type="duplicateValues" dxfId="0" priority="76"/>
  </conditionalFormatting>
  <conditionalFormatting sqref="F74">
    <cfRule type="duplicateValues" dxfId="0" priority="119"/>
  </conditionalFormatting>
  <conditionalFormatting sqref="F78">
    <cfRule type="duplicateValues" dxfId="0" priority="73"/>
  </conditionalFormatting>
  <conditionalFormatting sqref="F79">
    <cfRule type="duplicateValues" dxfId="0" priority="117"/>
  </conditionalFormatting>
  <conditionalFormatting sqref="F80">
    <cfRule type="duplicateValues" dxfId="0" priority="71"/>
  </conditionalFormatting>
  <conditionalFormatting sqref="F82">
    <cfRule type="duplicateValues" dxfId="0" priority="69"/>
  </conditionalFormatting>
  <conditionalFormatting sqref="F89">
    <cfRule type="duplicateValues" dxfId="0" priority="115"/>
  </conditionalFormatting>
  <conditionalFormatting sqref="F95">
    <cfRule type="duplicateValues" dxfId="0" priority="67"/>
  </conditionalFormatting>
  <conditionalFormatting sqref="F115">
    <cfRule type="duplicateValues" dxfId="0" priority="65"/>
  </conditionalFormatting>
  <conditionalFormatting sqref="F116">
    <cfRule type="duplicateValues" dxfId="0" priority="64"/>
  </conditionalFormatting>
  <conditionalFormatting sqref="F117">
    <cfRule type="duplicateValues" dxfId="0" priority="63"/>
  </conditionalFormatting>
  <conditionalFormatting sqref="F118">
    <cfRule type="duplicateValues" dxfId="0" priority="62"/>
  </conditionalFormatting>
  <conditionalFormatting sqref="F132">
    <cfRule type="duplicateValues" dxfId="0" priority="57"/>
  </conditionalFormatting>
  <conditionalFormatting sqref="F144">
    <cfRule type="duplicateValues" dxfId="0" priority="55"/>
  </conditionalFormatting>
  <conditionalFormatting sqref="F145">
    <cfRule type="duplicateValues" dxfId="0" priority="54"/>
  </conditionalFormatting>
  <conditionalFormatting sqref="F150">
    <cfRule type="duplicateValues" dxfId="0" priority="111"/>
  </conditionalFormatting>
  <conditionalFormatting sqref="C184">
    <cfRule type="duplicateValues" dxfId="0" priority="48"/>
  </conditionalFormatting>
  <conditionalFormatting sqref="C185">
    <cfRule type="duplicateValues" dxfId="0" priority="47"/>
  </conditionalFormatting>
  <conditionalFormatting sqref="C186">
    <cfRule type="duplicateValues" dxfId="0" priority="46"/>
  </conditionalFormatting>
  <conditionalFormatting sqref="C187">
    <cfRule type="duplicateValues" dxfId="0" priority="45"/>
  </conditionalFormatting>
  <conditionalFormatting sqref="C188">
    <cfRule type="duplicateValues" dxfId="0" priority="44"/>
  </conditionalFormatting>
  <conditionalFormatting sqref="C201">
    <cfRule type="duplicateValues" dxfId="0" priority="42"/>
  </conditionalFormatting>
  <conditionalFormatting sqref="C202">
    <cfRule type="duplicateValues" dxfId="0" priority="43"/>
  </conditionalFormatting>
  <conditionalFormatting sqref="C203">
    <cfRule type="duplicateValues" dxfId="0" priority="41"/>
  </conditionalFormatting>
  <conditionalFormatting sqref="C204">
    <cfRule type="duplicateValues" dxfId="0" priority="40"/>
  </conditionalFormatting>
  <conditionalFormatting sqref="C205">
    <cfRule type="duplicateValues" dxfId="0" priority="39"/>
  </conditionalFormatting>
  <conditionalFormatting sqref="C206">
    <cfRule type="duplicateValues" dxfId="0" priority="38"/>
  </conditionalFormatting>
  <conditionalFormatting sqref="C207">
    <cfRule type="duplicateValues" dxfId="0" priority="37"/>
  </conditionalFormatting>
  <conditionalFormatting sqref="C208">
    <cfRule type="duplicateValues" dxfId="0" priority="36"/>
  </conditionalFormatting>
  <conditionalFormatting sqref="C209">
    <cfRule type="duplicateValues" dxfId="0" priority="35"/>
  </conditionalFormatting>
  <conditionalFormatting sqref="C210">
    <cfRule type="duplicateValues" dxfId="0" priority="34"/>
  </conditionalFormatting>
  <conditionalFormatting sqref="C211">
    <cfRule type="duplicateValues" dxfId="0" priority="33"/>
  </conditionalFormatting>
  <conditionalFormatting sqref="C212">
    <cfRule type="duplicateValues" dxfId="0" priority="32"/>
  </conditionalFormatting>
  <conditionalFormatting sqref="C221">
    <cfRule type="duplicateValues" dxfId="0" priority="31"/>
  </conditionalFormatting>
  <conditionalFormatting sqref="C222">
    <cfRule type="duplicateValues" dxfId="0" priority="30"/>
  </conditionalFormatting>
  <conditionalFormatting sqref="C223">
    <cfRule type="duplicateValues" dxfId="0" priority="29"/>
  </conditionalFormatting>
  <conditionalFormatting sqref="C227">
    <cfRule type="duplicateValues" dxfId="0" priority="28"/>
  </conditionalFormatting>
  <conditionalFormatting sqref="C232">
    <cfRule type="duplicateValues" dxfId="0" priority="27"/>
  </conditionalFormatting>
  <conditionalFormatting sqref="C240">
    <cfRule type="duplicateValues" dxfId="0" priority="26"/>
  </conditionalFormatting>
  <conditionalFormatting sqref="C241">
    <cfRule type="duplicateValues" dxfId="0" priority="25"/>
  </conditionalFormatting>
  <conditionalFormatting sqref="F244">
    <cfRule type="duplicateValues" dxfId="0" priority="19"/>
  </conditionalFormatting>
  <conditionalFormatting sqref="F252">
    <cfRule type="duplicateValues" dxfId="0" priority="18"/>
  </conditionalFormatting>
  <conditionalFormatting sqref="C296">
    <cfRule type="duplicateValues" dxfId="0" priority="24"/>
  </conditionalFormatting>
  <conditionalFormatting sqref="C297">
    <cfRule type="duplicateValues" dxfId="0" priority="23"/>
  </conditionalFormatting>
  <conditionalFormatting sqref="C298">
    <cfRule type="duplicateValues" dxfId="0" priority="22"/>
  </conditionalFormatting>
  <conditionalFormatting sqref="C299">
    <cfRule type="duplicateValues" dxfId="0" priority="21"/>
  </conditionalFormatting>
  <conditionalFormatting sqref="C300">
    <cfRule type="duplicateValues" dxfId="0" priority="20"/>
  </conditionalFormatting>
  <conditionalFormatting sqref="F146:F147">
    <cfRule type="duplicateValues" dxfId="0" priority="53"/>
  </conditionalFormatting>
  <printOptions horizontalCentered="1" verticalCentered="1"/>
  <pageMargins left="0.747916666666667" right="0.550694444444444" top="0.354166666666667" bottom="0.393055555555556" header="0.196527777777778" footer="0.11805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PC-888</dc:creator>
  <cp:lastModifiedBy>lenovo</cp:lastModifiedBy>
  <dcterms:created xsi:type="dcterms:W3CDTF">2021-09-14T02:33:00Z</dcterms:created>
  <dcterms:modified xsi:type="dcterms:W3CDTF">2021-10-26T08:55:13Z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5A7E61EAAFD5495786E0BD73512584AD</vt:lpwstr>
  </property>
</Properties>
</file>