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 firstSheet="4" activeTab="4"/>
  </bookViews>
  <sheets>
    <sheet name="护理" sheetId="1" r:id="rId1"/>
    <sheet name="检验技术" sheetId="2" r:id="rId2"/>
    <sheet name="口腔医学" sheetId="3" r:id="rId3"/>
    <sheet name="临床" sheetId="4" r:id="rId4"/>
    <sheet name="Sheet2" sheetId="12" r:id="rId5"/>
  </sheets>
  <definedNames>
    <definedName name="_xlnm._FilterDatabase" localSheetId="0" hidden="1">护理!$A$1:$J$194</definedName>
    <definedName name="_xlnm._FilterDatabase" localSheetId="1" hidden="1">检验技术!$A$1:$J$107</definedName>
    <definedName name="_xlnm._FilterDatabase" localSheetId="3" hidden="1">临床!$A$1:$J$29</definedName>
    <definedName name="_xlnm.Print_Area" localSheetId="4">Sheet2!$A$1:$I$46</definedName>
  </definedNames>
  <calcPr calcId="144525"/>
</workbook>
</file>

<file path=xl/sharedStrings.xml><?xml version="1.0" encoding="utf-8"?>
<sst xmlns="http://schemas.openxmlformats.org/spreadsheetml/2006/main" count="500" uniqueCount="342">
  <si>
    <t>颍东区2021年基层医疗机构公开招聘专业技术人员考试笔试成绩表（护理2人）</t>
  </si>
  <si>
    <t>序号</t>
  </si>
  <si>
    <t>报考岗位</t>
  </si>
  <si>
    <t>考场号</t>
  </si>
  <si>
    <t>座位号</t>
  </si>
  <si>
    <t>准考证号</t>
  </si>
  <si>
    <t>姓名</t>
  </si>
  <si>
    <t>专业知识成绩</t>
  </si>
  <si>
    <t>职业能力倾向测验</t>
  </si>
  <si>
    <t>备注</t>
  </si>
  <si>
    <t>李皖莉</t>
  </si>
  <si>
    <t>谢馨仪</t>
  </si>
  <si>
    <t>吴燕停</t>
  </si>
  <si>
    <t>兰丽</t>
  </si>
  <si>
    <t>刘梦文</t>
  </si>
  <si>
    <t>李文露</t>
  </si>
  <si>
    <t>赵婷婷</t>
  </si>
  <si>
    <t>宁玉</t>
  </si>
  <si>
    <t>黄锦丽</t>
  </si>
  <si>
    <t>姚梦奇</t>
  </si>
  <si>
    <t>华家倩</t>
  </si>
  <si>
    <t>张丽</t>
  </si>
  <si>
    <t>胡美</t>
  </si>
  <si>
    <t>闫云</t>
  </si>
  <si>
    <t>吕悦</t>
  </si>
  <si>
    <t>程亚南</t>
  </si>
  <si>
    <t>周秦</t>
  </si>
  <si>
    <t>周文雅</t>
  </si>
  <si>
    <t>赵程程</t>
  </si>
  <si>
    <t>李晓曼</t>
  </si>
  <si>
    <t>王利勤</t>
  </si>
  <si>
    <t>闫伟伟</t>
  </si>
  <si>
    <t>王菊香</t>
  </si>
  <si>
    <t>李丹丹</t>
  </si>
  <si>
    <t>王慧玥</t>
  </si>
  <si>
    <t>杨晓雨</t>
  </si>
  <si>
    <t>李瑞</t>
  </si>
  <si>
    <t>张欣瑞</t>
  </si>
  <si>
    <t>杨小杰</t>
  </si>
  <si>
    <t>李雪</t>
  </si>
  <si>
    <t>武蝶蝶</t>
  </si>
  <si>
    <t>郑玉洁</t>
  </si>
  <si>
    <t>姜雅楠</t>
  </si>
  <si>
    <t>李冰洁</t>
  </si>
  <si>
    <t>王甜翠</t>
  </si>
  <si>
    <t>吕晶晶</t>
  </si>
  <si>
    <t>李瑞瑞</t>
  </si>
  <si>
    <t>任晴晴</t>
  </si>
  <si>
    <t>李小雅</t>
  </si>
  <si>
    <t>李梦如</t>
  </si>
  <si>
    <t>张晓娟</t>
  </si>
  <si>
    <t>刘盼盼</t>
  </si>
  <si>
    <t>周梦婷</t>
  </si>
  <si>
    <t>王璐</t>
  </si>
  <si>
    <t>王营营</t>
  </si>
  <si>
    <t>李悦</t>
  </si>
  <si>
    <t>张宇欣</t>
  </si>
  <si>
    <t>陈永红</t>
  </si>
  <si>
    <t>郭玉梅</t>
  </si>
  <si>
    <t>刘璇璇</t>
  </si>
  <si>
    <t>武雪情</t>
  </si>
  <si>
    <t>屠倩倩</t>
  </si>
  <si>
    <t>李娜</t>
  </si>
  <si>
    <t>韩丽萍</t>
  </si>
  <si>
    <t>杨梦迪</t>
  </si>
  <si>
    <t>隋晓雨</t>
  </si>
  <si>
    <t>田晶晶</t>
  </si>
  <si>
    <t>杨飞飞</t>
  </si>
  <si>
    <t>余非霏</t>
  </si>
  <si>
    <t>张凯燕</t>
  </si>
  <si>
    <t>王盈盈</t>
  </si>
  <si>
    <t>郭文静</t>
  </si>
  <si>
    <t>胡孟奇</t>
  </si>
  <si>
    <t>李水茹</t>
  </si>
  <si>
    <t>马婉玉</t>
  </si>
  <si>
    <t>张晓方</t>
  </si>
  <si>
    <t>刘玉</t>
  </si>
  <si>
    <t>刘思媛</t>
  </si>
  <si>
    <t>方丹丹</t>
  </si>
  <si>
    <t>许亚娟</t>
  </si>
  <si>
    <t>胡思梦</t>
  </si>
  <si>
    <t>华婵婵</t>
  </si>
  <si>
    <t>吕永霜</t>
  </si>
  <si>
    <t>尚瑞雪</t>
  </si>
  <si>
    <t>王雅心</t>
  </si>
  <si>
    <t>高会会</t>
  </si>
  <si>
    <t>王旋旋</t>
  </si>
  <si>
    <t>陈曦</t>
  </si>
  <si>
    <t>孟艺文</t>
  </si>
  <si>
    <t>王玉婷</t>
  </si>
  <si>
    <t>肖文文</t>
  </si>
  <si>
    <t>陈佳慧</t>
  </si>
  <si>
    <t>李崇瑶</t>
  </si>
  <si>
    <t>王娜娜</t>
  </si>
  <si>
    <t>王文静</t>
  </si>
  <si>
    <t>王萍萍</t>
  </si>
  <si>
    <t>郭兴怡</t>
  </si>
  <si>
    <t>刘瑞</t>
  </si>
  <si>
    <t>耿家强</t>
  </si>
  <si>
    <t>吕恒飞</t>
  </si>
  <si>
    <t>邓荣</t>
  </si>
  <si>
    <t>张晴晴</t>
  </si>
  <si>
    <t>王俊俊</t>
  </si>
  <si>
    <t>丁姗姗</t>
  </si>
  <si>
    <t>陈方圆</t>
  </si>
  <si>
    <t>张晨</t>
  </si>
  <si>
    <t>常文文</t>
  </si>
  <si>
    <t>陈亚南</t>
  </si>
  <si>
    <t>王红</t>
  </si>
  <si>
    <t>王蒙蒙</t>
  </si>
  <si>
    <t>任娜</t>
  </si>
  <si>
    <t>王凤</t>
  </si>
  <si>
    <t>葛思琪</t>
  </si>
  <si>
    <t>张雪英</t>
  </si>
  <si>
    <t>王思茹</t>
  </si>
  <si>
    <t>李洁</t>
  </si>
  <si>
    <t>张盼盼</t>
  </si>
  <si>
    <t>王莉莉</t>
  </si>
  <si>
    <t>岳子梦</t>
  </si>
  <si>
    <t>陈浩</t>
  </si>
  <si>
    <t>姜影</t>
  </si>
  <si>
    <t>张悦悦</t>
  </si>
  <si>
    <t>尚静静</t>
  </si>
  <si>
    <t>李元元</t>
  </si>
  <si>
    <t>吕金婷</t>
  </si>
  <si>
    <t>王倩文</t>
  </si>
  <si>
    <t>缺考</t>
  </si>
  <si>
    <t>王倩</t>
  </si>
  <si>
    <t>李雪婷</t>
  </si>
  <si>
    <t>韩雨露</t>
  </si>
  <si>
    <t>吴娜</t>
  </si>
  <si>
    <t>常明月</t>
  </si>
  <si>
    <t>潘敏</t>
  </si>
  <si>
    <t>张利</t>
  </si>
  <si>
    <t>任自慧</t>
  </si>
  <si>
    <t>王雪艳</t>
  </si>
  <si>
    <t>蒋雪洁</t>
  </si>
  <si>
    <t>程亚楠</t>
  </si>
  <si>
    <t>朱娟</t>
  </si>
  <si>
    <t>孙莉</t>
  </si>
  <si>
    <t>罗琼</t>
  </si>
  <si>
    <t>王晨</t>
  </si>
  <si>
    <t>曹泽</t>
  </si>
  <si>
    <t>康咪咪</t>
  </si>
  <si>
    <t>王雯</t>
  </si>
  <si>
    <t>冯双双</t>
  </si>
  <si>
    <t>刘琦雯</t>
  </si>
  <si>
    <t>袁永花</t>
  </si>
  <si>
    <t>韩子文</t>
  </si>
  <si>
    <t>赵悦</t>
  </si>
  <si>
    <t>高梦雪</t>
  </si>
  <si>
    <t>杨云雷</t>
  </si>
  <si>
    <t>柳正霞</t>
  </si>
  <si>
    <t>李欣玲</t>
  </si>
  <si>
    <t>谭燕</t>
  </si>
  <si>
    <t>李梦真</t>
  </si>
  <si>
    <t>耿影</t>
  </si>
  <si>
    <t>尹纯洁</t>
  </si>
  <si>
    <t>王雪平</t>
  </si>
  <si>
    <t>李玲玲</t>
  </si>
  <si>
    <t>段莉</t>
  </si>
  <si>
    <t>曹雪艳</t>
  </si>
  <si>
    <t>张新璐</t>
  </si>
  <si>
    <t>刘梦雯</t>
  </si>
  <si>
    <t>张梦雅</t>
  </si>
  <si>
    <t>侯继会</t>
  </si>
  <si>
    <t>李胜男</t>
  </si>
  <si>
    <t>魏会杰</t>
  </si>
  <si>
    <t>陈梅梅</t>
  </si>
  <si>
    <t>张民悦</t>
  </si>
  <si>
    <t>苑倩文</t>
  </si>
  <si>
    <t>王晶晶</t>
  </si>
  <si>
    <t>胡丹灵</t>
  </si>
  <si>
    <t>王梦晴</t>
  </si>
  <si>
    <t>李艳</t>
  </si>
  <si>
    <t>徐嫣然</t>
  </si>
  <si>
    <t>来慧慧</t>
  </si>
  <si>
    <t>王蒙恩</t>
  </si>
  <si>
    <t>李嘉华</t>
  </si>
  <si>
    <t>李建凤</t>
  </si>
  <si>
    <t>曹新宇</t>
  </si>
  <si>
    <t>郭萍萍</t>
  </si>
  <si>
    <t>张曼丽</t>
  </si>
  <si>
    <t>骆荣荣</t>
  </si>
  <si>
    <t>许雁</t>
  </si>
  <si>
    <t>丁宝玉</t>
  </si>
  <si>
    <t>武媛媛</t>
  </si>
  <si>
    <t>邢竞男</t>
  </si>
  <si>
    <t>谢方方</t>
  </si>
  <si>
    <t>许孟军</t>
  </si>
  <si>
    <t>张雪</t>
  </si>
  <si>
    <t>董晴</t>
  </si>
  <si>
    <t>刘若文</t>
  </si>
  <si>
    <t>杨春瑞</t>
  </si>
  <si>
    <t>武婷玉</t>
  </si>
  <si>
    <t>王晓兰</t>
  </si>
  <si>
    <t>潘蒙蒙</t>
  </si>
  <si>
    <t>卢春艳</t>
  </si>
  <si>
    <t>秦翠玲</t>
  </si>
  <si>
    <t>韩莹莹</t>
  </si>
  <si>
    <t>颍东区2021年基层医疗机构公开招聘专业技术人员考试笔试成绩表（检验技术2+1）</t>
  </si>
  <si>
    <t>马梅</t>
  </si>
  <si>
    <t>王玉娇</t>
  </si>
  <si>
    <t>武尹</t>
  </si>
  <si>
    <t>牛莹莹</t>
  </si>
  <si>
    <t>朱熹</t>
  </si>
  <si>
    <t>王梅</t>
  </si>
  <si>
    <t>孙丹丹</t>
  </si>
  <si>
    <t>王瑞瑞</t>
  </si>
  <si>
    <t>侯尹杏子</t>
  </si>
  <si>
    <t>王飞婷</t>
  </si>
  <si>
    <t>刘梅</t>
  </si>
  <si>
    <t>范鸿浩</t>
  </si>
  <si>
    <t>冯红影</t>
  </si>
  <si>
    <t>翟慧娟</t>
  </si>
  <si>
    <t>曾云云</t>
  </si>
  <si>
    <t>孙艳萍</t>
  </si>
  <si>
    <t>殷歉歉</t>
  </si>
  <si>
    <t>刘洋</t>
  </si>
  <si>
    <t>杨文叶</t>
  </si>
  <si>
    <t>欧阳香茹</t>
  </si>
  <si>
    <t>余海玲</t>
  </si>
  <si>
    <t xml:space="preserve"> </t>
  </si>
  <si>
    <t>马文达</t>
  </si>
  <si>
    <t>杨迪</t>
  </si>
  <si>
    <t>刘雪杰</t>
  </si>
  <si>
    <t>张梦婷</t>
  </si>
  <si>
    <t>桑洁洁</t>
  </si>
  <si>
    <t>李兴武</t>
  </si>
  <si>
    <t>徐云雪</t>
  </si>
  <si>
    <t>杜诗慧</t>
  </si>
  <si>
    <t>刘敏敏</t>
  </si>
  <si>
    <t>张玉</t>
  </si>
  <si>
    <t>张家辉</t>
  </si>
  <si>
    <t>李佳怡</t>
  </si>
  <si>
    <t>徐安琪</t>
  </si>
  <si>
    <t>吕鑫宇</t>
  </si>
  <si>
    <t>葛婧楠</t>
  </si>
  <si>
    <t>杨玉侠</t>
  </si>
  <si>
    <t>李莲莲</t>
  </si>
  <si>
    <t>张慧</t>
  </si>
  <si>
    <t>孙凤芳</t>
  </si>
  <si>
    <t>陈世权</t>
  </si>
  <si>
    <t>刘艳艳</t>
  </si>
  <si>
    <t>冯术变</t>
  </si>
  <si>
    <t>马悦</t>
  </si>
  <si>
    <t>何标</t>
  </si>
  <si>
    <t>陶会会</t>
  </si>
  <si>
    <t>李舒晴</t>
  </si>
  <si>
    <t>周倩倩</t>
  </si>
  <si>
    <t>孟晨阳</t>
  </si>
  <si>
    <t>郭飞</t>
  </si>
  <si>
    <t>张婷婷</t>
  </si>
  <si>
    <t>杜娟</t>
  </si>
  <si>
    <t>王子莲</t>
  </si>
  <si>
    <t>王军涛</t>
  </si>
  <si>
    <t>郭宁萍</t>
  </si>
  <si>
    <t>赵春旭</t>
  </si>
  <si>
    <t>马秋</t>
  </si>
  <si>
    <t>白礼</t>
  </si>
  <si>
    <t>韩豪杰</t>
  </si>
  <si>
    <t>刘双城</t>
  </si>
  <si>
    <t>戎杰</t>
  </si>
  <si>
    <t>贾天松</t>
  </si>
  <si>
    <t>纪小娟</t>
  </si>
  <si>
    <t>耿传学</t>
  </si>
  <si>
    <t>张振</t>
  </si>
  <si>
    <t>窦宣宣</t>
  </si>
  <si>
    <t>李静雯</t>
  </si>
  <si>
    <t>李舒阳</t>
  </si>
  <si>
    <t>李俊阳</t>
  </si>
  <si>
    <t>职测缺考</t>
  </si>
  <si>
    <t>董雪</t>
  </si>
  <si>
    <t>闫晓梅</t>
  </si>
  <si>
    <t>李嘉文</t>
  </si>
  <si>
    <t>丁玥</t>
  </si>
  <si>
    <t>李冰</t>
  </si>
  <si>
    <t>张利娟</t>
  </si>
  <si>
    <t>韩光磊</t>
  </si>
  <si>
    <t>彭隆</t>
  </si>
  <si>
    <t>韩楠楠</t>
  </si>
  <si>
    <t>杨晨</t>
  </si>
  <si>
    <t>何晓萌</t>
  </si>
  <si>
    <t>梁雪</t>
  </si>
  <si>
    <t>杨宁</t>
  </si>
  <si>
    <t>张磊雪</t>
  </si>
  <si>
    <t>仇萌</t>
  </si>
  <si>
    <t>江喜娜</t>
  </si>
  <si>
    <t>李妍妍</t>
  </si>
  <si>
    <t>崔瑞雪</t>
  </si>
  <si>
    <t>范宇强</t>
  </si>
  <si>
    <t>李帅</t>
  </si>
  <si>
    <t>宁盈盈</t>
  </si>
  <si>
    <t>徐英豪</t>
  </si>
  <si>
    <t>王梦雪</t>
  </si>
  <si>
    <t>张森森</t>
  </si>
  <si>
    <t>张静静</t>
  </si>
  <si>
    <t>骆传奇</t>
  </si>
  <si>
    <t>卢阳</t>
  </si>
  <si>
    <t>李丽</t>
  </si>
  <si>
    <t>颍东区2021年基层医疗机构公开招聘专业技术人员考试笔试成绩表（口腔医学1）</t>
  </si>
  <si>
    <t>刘森</t>
  </si>
  <si>
    <t>董楠楠</t>
  </si>
  <si>
    <t>张艳</t>
  </si>
  <si>
    <t>范小蝶</t>
  </si>
  <si>
    <t>朱炯辉</t>
  </si>
  <si>
    <t>李荣荣</t>
  </si>
  <si>
    <t>岳雪雯</t>
  </si>
  <si>
    <t>丁方方</t>
  </si>
  <si>
    <t>季阳</t>
  </si>
  <si>
    <t>颍东区2021年基层医疗机构公开招聘专业技术人员考试笔试成绩表（临床4）</t>
  </si>
  <si>
    <t>李俊芳</t>
  </si>
  <si>
    <t>高恒</t>
  </si>
  <si>
    <t>"20212040114"</t>
  </si>
  <si>
    <t>王秀娟</t>
  </si>
  <si>
    <t>庞志远</t>
  </si>
  <si>
    <t>李健</t>
  </si>
  <si>
    <t>刘瑞瑞</t>
  </si>
  <si>
    <t>未复审</t>
  </si>
  <si>
    <t>张山雷</t>
  </si>
  <si>
    <t>刘绘绘</t>
  </si>
  <si>
    <t>张昊天</t>
  </si>
  <si>
    <t>陈莉莉</t>
  </si>
  <si>
    <t>韩志强</t>
  </si>
  <si>
    <t>张田田</t>
  </si>
  <si>
    <t>递补</t>
  </si>
  <si>
    <t>马志金</t>
  </si>
  <si>
    <t>王旭</t>
  </si>
  <si>
    <t>陈龙一</t>
  </si>
  <si>
    <t>侯知询</t>
  </si>
  <si>
    <t>左孟孟</t>
  </si>
  <si>
    <t>赵芮锋</t>
  </si>
  <si>
    <t>郁静</t>
  </si>
  <si>
    <t>张灿</t>
  </si>
  <si>
    <t>马鹏博</t>
  </si>
  <si>
    <t>王猛</t>
  </si>
  <si>
    <t>王丽君</t>
  </si>
  <si>
    <t>谢淼</t>
  </si>
  <si>
    <t>2021年颍东区基层医疗机构公开招聘专业技术人员总成绩</t>
  </si>
  <si>
    <t>笔试合成成绩</t>
  </si>
  <si>
    <t>专业测试成绩</t>
  </si>
  <si>
    <t>总成绩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</si>
</sst>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6" fillId="0" borderId="0" xfId="0" applyFo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4"/>
  <sheetViews>
    <sheetView workbookViewId="0">
      <selection activeCell="A1" sqref="A1:J8"/>
    </sheetView>
  </sheetViews>
  <sheetFormatPr defaultColWidth="9" defaultRowHeight="13.5"/>
  <cols>
    <col min="1" max="1" width="5.5" customWidth="1"/>
    <col min="2" max="2" width="8.625" customWidth="1"/>
    <col min="3" max="3" width="7.375" customWidth="1"/>
    <col min="4" max="4" width="7.875" customWidth="1"/>
    <col min="5" max="5" width="12.75" customWidth="1"/>
    <col min="6" max="6" width="12.125" customWidth="1"/>
    <col min="7" max="7" width="14" customWidth="1"/>
    <col min="8" max="9" width="16" customWidth="1"/>
    <col min="10" max="10" width="10.25" customWidth="1"/>
  </cols>
  <sheetData>
    <row r="1" ht="30" customHeight="1" spans="1:1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2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22" t="s">
        <v>7</v>
      </c>
      <c r="H2" s="7" t="s">
        <v>8</v>
      </c>
      <c r="I2" s="7"/>
      <c r="J2" s="6" t="s">
        <v>9</v>
      </c>
    </row>
    <row r="3" ht="20" customHeight="1" spans="1:10">
      <c r="A3" s="16">
        <v>1</v>
      </c>
      <c r="B3" s="16">
        <v>21201</v>
      </c>
      <c r="C3" s="16" t="str">
        <f>"05"</f>
        <v>05</v>
      </c>
      <c r="D3" s="16" t="str">
        <f>"04"</f>
        <v>04</v>
      </c>
      <c r="E3" s="16" t="str">
        <f>"20212010504"</f>
        <v>20212010504</v>
      </c>
      <c r="F3" s="16" t="s">
        <v>10</v>
      </c>
      <c r="G3" s="23">
        <v>95</v>
      </c>
      <c r="H3" s="10">
        <v>69.3</v>
      </c>
      <c r="I3" s="10">
        <f t="shared" ref="I3:I8" si="0">G3*0.7+H3*0.3</f>
        <v>87.29</v>
      </c>
      <c r="J3" s="19"/>
    </row>
    <row r="4" ht="20" customHeight="1" spans="1:13">
      <c r="A4" s="16">
        <v>2</v>
      </c>
      <c r="B4" s="16">
        <v>21201</v>
      </c>
      <c r="C4" s="16" t="str">
        <f>"09"</f>
        <v>09</v>
      </c>
      <c r="D4" s="16" t="str">
        <f>"09"</f>
        <v>09</v>
      </c>
      <c r="E4" s="16" t="str">
        <f>"20212010909"</f>
        <v>20212010909</v>
      </c>
      <c r="F4" s="16" t="s">
        <v>11</v>
      </c>
      <c r="G4" s="23">
        <v>86.5</v>
      </c>
      <c r="H4" s="10">
        <v>80.8</v>
      </c>
      <c r="I4" s="10">
        <f t="shared" si="0"/>
        <v>84.79</v>
      </c>
      <c r="J4" s="19"/>
      <c r="M4" s="26"/>
    </row>
    <row r="5" ht="20" customHeight="1" spans="1:10">
      <c r="A5" s="16">
        <v>3</v>
      </c>
      <c r="B5" s="16">
        <v>21201</v>
      </c>
      <c r="C5" s="16" t="str">
        <f>"04"</f>
        <v>04</v>
      </c>
      <c r="D5" s="16" t="str">
        <f>"29"</f>
        <v>29</v>
      </c>
      <c r="E5" s="16" t="str">
        <f>"20212010429"</f>
        <v>20212010429</v>
      </c>
      <c r="F5" s="16" t="s">
        <v>12</v>
      </c>
      <c r="G5" s="23">
        <v>88</v>
      </c>
      <c r="H5" s="10">
        <v>77.1</v>
      </c>
      <c r="I5" s="10">
        <f t="shared" si="0"/>
        <v>84.73</v>
      </c>
      <c r="J5" s="19"/>
    </row>
    <row r="6" ht="20" customHeight="1" spans="1:10">
      <c r="A6" s="16">
        <v>4</v>
      </c>
      <c r="B6" s="16">
        <v>21201</v>
      </c>
      <c r="C6" s="16" t="str">
        <f>"09"</f>
        <v>09</v>
      </c>
      <c r="D6" s="16" t="str">
        <f>"01"</f>
        <v>01</v>
      </c>
      <c r="E6" s="16" t="str">
        <f>"20212010901"</f>
        <v>20212010901</v>
      </c>
      <c r="F6" s="16" t="s">
        <v>13</v>
      </c>
      <c r="G6" s="23">
        <v>94.5</v>
      </c>
      <c r="H6" s="10">
        <v>60.5</v>
      </c>
      <c r="I6" s="10">
        <f t="shared" si="0"/>
        <v>84.3</v>
      </c>
      <c r="J6" s="19"/>
    </row>
    <row r="7" ht="20" customHeight="1" spans="1:10">
      <c r="A7" s="16">
        <v>5</v>
      </c>
      <c r="B7" s="16">
        <v>21201</v>
      </c>
      <c r="C7" s="16" t="str">
        <f>"05"</f>
        <v>05</v>
      </c>
      <c r="D7" s="16" t="str">
        <f>"16"</f>
        <v>16</v>
      </c>
      <c r="E7" s="16" t="str">
        <f>"20212010516"</f>
        <v>20212010516</v>
      </c>
      <c r="F7" s="16" t="s">
        <v>14</v>
      </c>
      <c r="G7" s="23">
        <v>85</v>
      </c>
      <c r="H7" s="10">
        <v>82.4</v>
      </c>
      <c r="I7" s="10">
        <f t="shared" si="0"/>
        <v>84.22</v>
      </c>
      <c r="J7" s="19"/>
    </row>
    <row r="8" ht="20" customHeight="1" spans="1:10">
      <c r="A8" s="16">
        <v>6</v>
      </c>
      <c r="B8" s="16">
        <v>21201</v>
      </c>
      <c r="C8" s="16" t="str">
        <f>"03"</f>
        <v>03</v>
      </c>
      <c r="D8" s="16" t="str">
        <f>"02"</f>
        <v>02</v>
      </c>
      <c r="E8" s="16" t="str">
        <f>"20212010302"</f>
        <v>20212010302</v>
      </c>
      <c r="F8" s="16" t="s">
        <v>15</v>
      </c>
      <c r="G8" s="23">
        <v>86</v>
      </c>
      <c r="H8" s="10">
        <v>77.3</v>
      </c>
      <c r="I8" s="10">
        <f t="shared" si="0"/>
        <v>83.39</v>
      </c>
      <c r="J8" s="19"/>
    </row>
    <row r="9" ht="14.25" spans="1:10">
      <c r="A9" s="16"/>
      <c r="B9" s="16"/>
      <c r="C9" s="16"/>
      <c r="D9" s="16"/>
      <c r="E9" s="16"/>
      <c r="F9" s="16"/>
      <c r="G9" s="23"/>
      <c r="H9" s="10"/>
      <c r="I9" s="10"/>
      <c r="J9" s="19"/>
    </row>
    <row r="10" ht="14.25" spans="1:10">
      <c r="A10" s="16">
        <v>7</v>
      </c>
      <c r="B10" s="16">
        <v>21201</v>
      </c>
      <c r="C10" s="16" t="str">
        <f>"06"</f>
        <v>06</v>
      </c>
      <c r="D10" s="16" t="str">
        <f>"04"</f>
        <v>04</v>
      </c>
      <c r="E10" s="16" t="str">
        <f>"20212010604"</f>
        <v>20212010604</v>
      </c>
      <c r="F10" s="16" t="s">
        <v>16</v>
      </c>
      <c r="G10" s="23">
        <v>88.5</v>
      </c>
      <c r="H10" s="10">
        <v>70</v>
      </c>
      <c r="I10" s="10">
        <f t="shared" ref="I10:I73" si="1">G10*0.7+H10*0.3</f>
        <v>82.95</v>
      </c>
      <c r="J10" s="19"/>
    </row>
    <row r="11" ht="14.25" spans="1:10">
      <c r="A11" s="16">
        <v>8</v>
      </c>
      <c r="B11" s="16">
        <v>21201</v>
      </c>
      <c r="C11" s="16" t="str">
        <f>"06"</f>
        <v>06</v>
      </c>
      <c r="D11" s="16" t="str">
        <f>"26"</f>
        <v>26</v>
      </c>
      <c r="E11" s="16" t="str">
        <f>"20212010626"</f>
        <v>20212010626</v>
      </c>
      <c r="F11" s="16" t="s">
        <v>17</v>
      </c>
      <c r="G11" s="23">
        <v>88</v>
      </c>
      <c r="H11" s="10">
        <v>71</v>
      </c>
      <c r="I11" s="10">
        <f t="shared" si="1"/>
        <v>82.9</v>
      </c>
      <c r="J11" s="19"/>
    </row>
    <row r="12" ht="14.25" spans="1:10">
      <c r="A12" s="16">
        <v>9</v>
      </c>
      <c r="B12" s="16">
        <v>21201</v>
      </c>
      <c r="C12" s="16" t="str">
        <f>"06"</f>
        <v>06</v>
      </c>
      <c r="D12" s="16" t="str">
        <f>"05"</f>
        <v>05</v>
      </c>
      <c r="E12" s="16" t="str">
        <f>"20212010605"</f>
        <v>20212010605</v>
      </c>
      <c r="F12" s="16" t="s">
        <v>18</v>
      </c>
      <c r="G12" s="23">
        <v>87</v>
      </c>
      <c r="H12" s="10">
        <v>72.9</v>
      </c>
      <c r="I12" s="10">
        <f t="shared" si="1"/>
        <v>82.77</v>
      </c>
      <c r="J12" s="19"/>
    </row>
    <row r="13" ht="14.25" spans="1:10">
      <c r="A13" s="16">
        <v>10</v>
      </c>
      <c r="B13" s="16">
        <v>21201</v>
      </c>
      <c r="C13" s="16" t="str">
        <f>"08"</f>
        <v>08</v>
      </c>
      <c r="D13" s="16" t="str">
        <f>"22"</f>
        <v>22</v>
      </c>
      <c r="E13" s="16" t="str">
        <f>"20212010822"</f>
        <v>20212010822</v>
      </c>
      <c r="F13" s="16" t="s">
        <v>19</v>
      </c>
      <c r="G13" s="23">
        <v>81.5</v>
      </c>
      <c r="H13" s="10">
        <v>83.3</v>
      </c>
      <c r="I13" s="10">
        <f t="shared" si="1"/>
        <v>82.04</v>
      </c>
      <c r="J13" s="19"/>
    </row>
    <row r="14" ht="14.25" spans="1:10">
      <c r="A14" s="16">
        <v>11</v>
      </c>
      <c r="B14" s="16">
        <v>21201</v>
      </c>
      <c r="C14" s="16" t="str">
        <f>"06"</f>
        <v>06</v>
      </c>
      <c r="D14" s="16" t="str">
        <f>"28"</f>
        <v>28</v>
      </c>
      <c r="E14" s="16" t="str">
        <f>"20212010628"</f>
        <v>20212010628</v>
      </c>
      <c r="F14" s="16" t="s">
        <v>20</v>
      </c>
      <c r="G14" s="23">
        <v>89</v>
      </c>
      <c r="H14" s="10">
        <v>65.6</v>
      </c>
      <c r="I14" s="10">
        <f t="shared" si="1"/>
        <v>81.98</v>
      </c>
      <c r="J14" s="19"/>
    </row>
    <row r="15" ht="14.25" spans="1:10">
      <c r="A15" s="16">
        <v>12</v>
      </c>
      <c r="B15" s="16">
        <v>21201</v>
      </c>
      <c r="C15" s="16" t="str">
        <f>"07"</f>
        <v>07</v>
      </c>
      <c r="D15" s="16" t="str">
        <f>"08"</f>
        <v>08</v>
      </c>
      <c r="E15" s="16" t="str">
        <f>"20212010708"</f>
        <v>20212010708</v>
      </c>
      <c r="F15" s="16" t="s">
        <v>21</v>
      </c>
      <c r="G15" s="23">
        <v>83</v>
      </c>
      <c r="H15" s="10">
        <v>78.3</v>
      </c>
      <c r="I15" s="10">
        <f t="shared" si="1"/>
        <v>81.59</v>
      </c>
      <c r="J15" s="19"/>
    </row>
    <row r="16" ht="14.25" spans="1:10">
      <c r="A16" s="16">
        <v>13</v>
      </c>
      <c r="B16" s="16">
        <v>21201</v>
      </c>
      <c r="C16" s="16" t="str">
        <f>"03"</f>
        <v>03</v>
      </c>
      <c r="D16" s="16" t="str">
        <f>"26"</f>
        <v>26</v>
      </c>
      <c r="E16" s="16" t="str">
        <f>"20212010326"</f>
        <v>20212010326</v>
      </c>
      <c r="F16" s="16" t="s">
        <v>22</v>
      </c>
      <c r="G16" s="23">
        <v>84</v>
      </c>
      <c r="H16" s="10">
        <v>75.2</v>
      </c>
      <c r="I16" s="10">
        <f t="shared" si="1"/>
        <v>81.36</v>
      </c>
      <c r="J16" s="19"/>
    </row>
    <row r="17" ht="14.25" spans="1:10">
      <c r="A17" s="16">
        <v>14</v>
      </c>
      <c r="B17" s="16">
        <v>21201</v>
      </c>
      <c r="C17" s="16" t="str">
        <f>"06"</f>
        <v>06</v>
      </c>
      <c r="D17" s="16" t="str">
        <f>"30"</f>
        <v>30</v>
      </c>
      <c r="E17" s="16" t="str">
        <f>"20212010630"</f>
        <v>20212010630</v>
      </c>
      <c r="F17" s="16" t="s">
        <v>23</v>
      </c>
      <c r="G17" s="23">
        <v>84.5</v>
      </c>
      <c r="H17" s="10">
        <v>72.5</v>
      </c>
      <c r="I17" s="10">
        <f t="shared" si="1"/>
        <v>80.9</v>
      </c>
      <c r="J17" s="19"/>
    </row>
    <row r="18" ht="14.25" spans="1:10">
      <c r="A18" s="16">
        <v>15</v>
      </c>
      <c r="B18" s="16">
        <v>21201</v>
      </c>
      <c r="C18" s="16" t="str">
        <f>"04"</f>
        <v>04</v>
      </c>
      <c r="D18" s="16" t="str">
        <f>"14"</f>
        <v>14</v>
      </c>
      <c r="E18" s="16" t="str">
        <f>"20212010414"</f>
        <v>20212010414</v>
      </c>
      <c r="F18" s="16" t="s">
        <v>24</v>
      </c>
      <c r="G18" s="23">
        <v>80.5</v>
      </c>
      <c r="H18" s="10">
        <v>81.8</v>
      </c>
      <c r="I18" s="10">
        <f t="shared" si="1"/>
        <v>80.89</v>
      </c>
      <c r="J18" s="19"/>
    </row>
    <row r="19" ht="14.25" spans="1:10">
      <c r="A19" s="16">
        <v>16</v>
      </c>
      <c r="B19" s="16">
        <v>21201</v>
      </c>
      <c r="C19" s="16" t="str">
        <f>"03"</f>
        <v>03</v>
      </c>
      <c r="D19" s="16" t="str">
        <f>"11"</f>
        <v>11</v>
      </c>
      <c r="E19" s="16" t="str">
        <f>"20212010311"</f>
        <v>20212010311</v>
      </c>
      <c r="F19" s="16" t="s">
        <v>25</v>
      </c>
      <c r="G19" s="23">
        <v>90</v>
      </c>
      <c r="H19" s="10">
        <v>59.5</v>
      </c>
      <c r="I19" s="10">
        <f t="shared" si="1"/>
        <v>80.85</v>
      </c>
      <c r="J19" s="19"/>
    </row>
    <row r="20" ht="14.25" spans="1:10">
      <c r="A20" s="16">
        <v>17</v>
      </c>
      <c r="B20" s="16">
        <v>21201</v>
      </c>
      <c r="C20" s="16" t="str">
        <f>"06"</f>
        <v>06</v>
      </c>
      <c r="D20" s="16" t="str">
        <f>"22"</f>
        <v>22</v>
      </c>
      <c r="E20" s="16" t="str">
        <f>"20212010622"</f>
        <v>20212010622</v>
      </c>
      <c r="F20" s="16" t="s">
        <v>26</v>
      </c>
      <c r="G20" s="23">
        <v>81.5</v>
      </c>
      <c r="H20" s="10">
        <v>74.3</v>
      </c>
      <c r="I20" s="10">
        <f t="shared" si="1"/>
        <v>79.34</v>
      </c>
      <c r="J20" s="19"/>
    </row>
    <row r="21" ht="14.25" spans="1:10">
      <c r="A21" s="16">
        <v>18</v>
      </c>
      <c r="B21" s="16">
        <v>21201</v>
      </c>
      <c r="C21" s="16" t="str">
        <f>"03"</f>
        <v>03</v>
      </c>
      <c r="D21" s="16" t="str">
        <f>"27"</f>
        <v>27</v>
      </c>
      <c r="E21" s="16" t="str">
        <f>"20212010327"</f>
        <v>20212010327</v>
      </c>
      <c r="F21" s="16" t="s">
        <v>27</v>
      </c>
      <c r="G21" s="23">
        <v>81</v>
      </c>
      <c r="H21" s="24">
        <v>72.2</v>
      </c>
      <c r="I21" s="10">
        <f t="shared" si="1"/>
        <v>78.36</v>
      </c>
      <c r="J21" s="19"/>
    </row>
    <row r="22" ht="14.25" spans="1:10">
      <c r="A22" s="16">
        <v>19</v>
      </c>
      <c r="B22" s="16">
        <v>21201</v>
      </c>
      <c r="C22" s="16" t="str">
        <f>"04"</f>
        <v>04</v>
      </c>
      <c r="D22" s="16" t="str">
        <f>"22"</f>
        <v>22</v>
      </c>
      <c r="E22" s="16" t="str">
        <f>"20212010422"</f>
        <v>20212010422</v>
      </c>
      <c r="F22" s="16" t="s">
        <v>28</v>
      </c>
      <c r="G22" s="23">
        <v>83</v>
      </c>
      <c r="H22" s="10">
        <v>65.7</v>
      </c>
      <c r="I22" s="10">
        <f t="shared" si="1"/>
        <v>77.81</v>
      </c>
      <c r="J22" s="19"/>
    </row>
    <row r="23" ht="14.25" spans="1:10">
      <c r="A23" s="16">
        <v>20</v>
      </c>
      <c r="B23" s="16">
        <v>21201</v>
      </c>
      <c r="C23" s="16" t="str">
        <f>"08"</f>
        <v>08</v>
      </c>
      <c r="D23" s="16" t="str">
        <f>"03"</f>
        <v>03</v>
      </c>
      <c r="E23" s="16" t="str">
        <f>"20212010803"</f>
        <v>20212010803</v>
      </c>
      <c r="F23" s="16" t="s">
        <v>29</v>
      </c>
      <c r="G23" s="23">
        <v>84</v>
      </c>
      <c r="H23" s="10">
        <v>63</v>
      </c>
      <c r="I23" s="10">
        <f t="shared" si="1"/>
        <v>77.7</v>
      </c>
      <c r="J23" s="19"/>
    </row>
    <row r="24" ht="14.25" spans="1:10">
      <c r="A24" s="16">
        <v>21</v>
      </c>
      <c r="B24" s="16">
        <v>21201</v>
      </c>
      <c r="C24" s="16" t="str">
        <f>"06"</f>
        <v>06</v>
      </c>
      <c r="D24" s="16" t="str">
        <f>"20"</f>
        <v>20</v>
      </c>
      <c r="E24" s="16" t="str">
        <f>"20212010620"</f>
        <v>20212010620</v>
      </c>
      <c r="F24" s="16" t="s">
        <v>30</v>
      </c>
      <c r="G24" s="23">
        <v>78</v>
      </c>
      <c r="H24" s="10">
        <v>76.9</v>
      </c>
      <c r="I24" s="10">
        <f t="shared" si="1"/>
        <v>77.67</v>
      </c>
      <c r="J24" s="19"/>
    </row>
    <row r="25" ht="14.25" spans="1:10">
      <c r="A25" s="16">
        <v>22</v>
      </c>
      <c r="B25" s="16">
        <v>21201</v>
      </c>
      <c r="C25" s="16" t="str">
        <f>"07"</f>
        <v>07</v>
      </c>
      <c r="D25" s="16" t="str">
        <f>"05"</f>
        <v>05</v>
      </c>
      <c r="E25" s="16" t="str">
        <f>"20212010705"</f>
        <v>20212010705</v>
      </c>
      <c r="F25" s="16" t="s">
        <v>31</v>
      </c>
      <c r="G25" s="23">
        <v>78</v>
      </c>
      <c r="H25" s="10">
        <v>75.9</v>
      </c>
      <c r="I25" s="10">
        <f t="shared" si="1"/>
        <v>77.37</v>
      </c>
      <c r="J25" s="19"/>
    </row>
    <row r="26" ht="14.25" spans="1:10">
      <c r="A26" s="16">
        <v>23</v>
      </c>
      <c r="B26" s="16">
        <v>21201</v>
      </c>
      <c r="C26" s="16" t="str">
        <f>"05"</f>
        <v>05</v>
      </c>
      <c r="D26" s="16" t="str">
        <f>"13"</f>
        <v>13</v>
      </c>
      <c r="E26" s="16" t="str">
        <f>"20212010513"</f>
        <v>20212010513</v>
      </c>
      <c r="F26" s="16" t="s">
        <v>32</v>
      </c>
      <c r="G26" s="23">
        <v>78</v>
      </c>
      <c r="H26" s="10">
        <v>75.4</v>
      </c>
      <c r="I26" s="10">
        <f t="shared" si="1"/>
        <v>77.22</v>
      </c>
      <c r="J26" s="19"/>
    </row>
    <row r="27" ht="14.25" spans="1:10">
      <c r="A27" s="16">
        <v>24</v>
      </c>
      <c r="B27" s="16">
        <v>21201</v>
      </c>
      <c r="C27" s="16" t="str">
        <f>"04"</f>
        <v>04</v>
      </c>
      <c r="D27" s="16" t="str">
        <f>"06"</f>
        <v>06</v>
      </c>
      <c r="E27" s="16" t="str">
        <f>"20212010406"</f>
        <v>20212010406</v>
      </c>
      <c r="F27" s="16" t="s">
        <v>33</v>
      </c>
      <c r="G27" s="23">
        <v>81.5</v>
      </c>
      <c r="H27" s="10">
        <v>67.2</v>
      </c>
      <c r="I27" s="10">
        <f t="shared" si="1"/>
        <v>77.21</v>
      </c>
      <c r="J27" s="19"/>
    </row>
    <row r="28" ht="14.25" spans="1:10">
      <c r="A28" s="16">
        <v>25</v>
      </c>
      <c r="B28" s="16">
        <v>21201</v>
      </c>
      <c r="C28" s="16" t="str">
        <f>"07"</f>
        <v>07</v>
      </c>
      <c r="D28" s="16" t="str">
        <f>"10"</f>
        <v>10</v>
      </c>
      <c r="E28" s="16" t="str">
        <f>"20212010710"</f>
        <v>20212010710</v>
      </c>
      <c r="F28" s="16" t="s">
        <v>34</v>
      </c>
      <c r="G28" s="23">
        <v>76</v>
      </c>
      <c r="H28" s="10">
        <v>80</v>
      </c>
      <c r="I28" s="10">
        <f t="shared" si="1"/>
        <v>77.2</v>
      </c>
      <c r="J28" s="19"/>
    </row>
    <row r="29" ht="14.25" spans="1:10">
      <c r="A29" s="16">
        <v>26</v>
      </c>
      <c r="B29" s="16">
        <v>21201</v>
      </c>
      <c r="C29" s="16" t="str">
        <f>"07"</f>
        <v>07</v>
      </c>
      <c r="D29" s="16" t="str">
        <f>"06"</f>
        <v>06</v>
      </c>
      <c r="E29" s="16" t="str">
        <f>"20212010706"</f>
        <v>20212010706</v>
      </c>
      <c r="F29" s="16" t="s">
        <v>35</v>
      </c>
      <c r="G29" s="23">
        <v>82</v>
      </c>
      <c r="H29" s="10">
        <v>65.3</v>
      </c>
      <c r="I29" s="10">
        <f t="shared" si="1"/>
        <v>76.99</v>
      </c>
      <c r="J29" s="19"/>
    </row>
    <row r="30" ht="14.25" spans="1:10">
      <c r="A30" s="16">
        <v>27</v>
      </c>
      <c r="B30" s="16">
        <v>21201</v>
      </c>
      <c r="C30" s="16" t="str">
        <f>"04"</f>
        <v>04</v>
      </c>
      <c r="D30" s="16" t="str">
        <f>"26"</f>
        <v>26</v>
      </c>
      <c r="E30" s="16" t="str">
        <f>"20212010426"</f>
        <v>20212010426</v>
      </c>
      <c r="F30" s="16" t="s">
        <v>36</v>
      </c>
      <c r="G30" s="23">
        <v>81</v>
      </c>
      <c r="H30" s="10">
        <v>67.4</v>
      </c>
      <c r="I30" s="10">
        <f t="shared" si="1"/>
        <v>76.92</v>
      </c>
      <c r="J30" s="19"/>
    </row>
    <row r="31" ht="14.25" spans="1:10">
      <c r="A31" s="16">
        <v>28</v>
      </c>
      <c r="B31" s="16">
        <v>21201</v>
      </c>
      <c r="C31" s="16" t="str">
        <f>"07"</f>
        <v>07</v>
      </c>
      <c r="D31" s="16" t="str">
        <f>"15"</f>
        <v>15</v>
      </c>
      <c r="E31" s="16" t="str">
        <f>"20212010715"</f>
        <v>20212010715</v>
      </c>
      <c r="F31" s="16" t="s">
        <v>37</v>
      </c>
      <c r="G31" s="23">
        <v>76</v>
      </c>
      <c r="H31" s="10">
        <v>78.7</v>
      </c>
      <c r="I31" s="10">
        <f t="shared" si="1"/>
        <v>76.81</v>
      </c>
      <c r="J31" s="19"/>
    </row>
    <row r="32" ht="14.25" spans="1:10">
      <c r="A32" s="16">
        <v>29</v>
      </c>
      <c r="B32" s="16">
        <v>21201</v>
      </c>
      <c r="C32" s="16" t="str">
        <f>"04"</f>
        <v>04</v>
      </c>
      <c r="D32" s="16" t="str">
        <f>"08"</f>
        <v>08</v>
      </c>
      <c r="E32" s="16" t="str">
        <f>"20212010408"</f>
        <v>20212010408</v>
      </c>
      <c r="F32" s="16" t="s">
        <v>38</v>
      </c>
      <c r="G32" s="23">
        <v>83</v>
      </c>
      <c r="H32" s="10">
        <v>60.4</v>
      </c>
      <c r="I32" s="10">
        <f t="shared" si="1"/>
        <v>76.22</v>
      </c>
      <c r="J32" s="19"/>
    </row>
    <row r="33" ht="14.25" spans="1:10">
      <c r="A33" s="16">
        <v>30</v>
      </c>
      <c r="B33" s="16">
        <v>21201</v>
      </c>
      <c r="C33" s="16" t="str">
        <f>"06"</f>
        <v>06</v>
      </c>
      <c r="D33" s="16" t="str">
        <f>"17"</f>
        <v>17</v>
      </c>
      <c r="E33" s="16" t="str">
        <f>"20212010617"</f>
        <v>20212010617</v>
      </c>
      <c r="F33" s="16" t="s">
        <v>39</v>
      </c>
      <c r="G33" s="23">
        <v>77.5</v>
      </c>
      <c r="H33" s="10">
        <v>72.7</v>
      </c>
      <c r="I33" s="10">
        <f t="shared" si="1"/>
        <v>76.06</v>
      </c>
      <c r="J33" s="19"/>
    </row>
    <row r="34" ht="14.25" spans="1:10">
      <c r="A34" s="16">
        <v>31</v>
      </c>
      <c r="B34" s="16">
        <v>21201</v>
      </c>
      <c r="C34" s="16" t="str">
        <f>"07"</f>
        <v>07</v>
      </c>
      <c r="D34" s="16" t="str">
        <f>"02"</f>
        <v>02</v>
      </c>
      <c r="E34" s="16" t="str">
        <f>"20212010702"</f>
        <v>20212010702</v>
      </c>
      <c r="F34" s="16" t="s">
        <v>40</v>
      </c>
      <c r="G34" s="23">
        <v>79</v>
      </c>
      <c r="H34" s="10">
        <v>69.2</v>
      </c>
      <c r="I34" s="10">
        <f t="shared" si="1"/>
        <v>76.06</v>
      </c>
      <c r="J34" s="19"/>
    </row>
    <row r="35" ht="14.25" spans="1:10">
      <c r="A35" s="16">
        <v>32</v>
      </c>
      <c r="B35" s="16">
        <v>21201</v>
      </c>
      <c r="C35" s="16" t="str">
        <f>"05"</f>
        <v>05</v>
      </c>
      <c r="D35" s="16" t="str">
        <f>"05"</f>
        <v>05</v>
      </c>
      <c r="E35" s="16" t="str">
        <f>"20212010505"</f>
        <v>20212010505</v>
      </c>
      <c r="F35" s="16" t="s">
        <v>41</v>
      </c>
      <c r="G35" s="23">
        <v>83</v>
      </c>
      <c r="H35" s="10">
        <v>58.8</v>
      </c>
      <c r="I35" s="10">
        <f t="shared" si="1"/>
        <v>75.74</v>
      </c>
      <c r="J35" s="19"/>
    </row>
    <row r="36" ht="14.25" spans="1:10">
      <c r="A36" s="16">
        <v>33</v>
      </c>
      <c r="B36" s="16">
        <v>21201</v>
      </c>
      <c r="C36" s="16" t="str">
        <f>"06"</f>
        <v>06</v>
      </c>
      <c r="D36" s="16" t="str">
        <f>"08"</f>
        <v>08</v>
      </c>
      <c r="E36" s="16" t="str">
        <f>"20212010608"</f>
        <v>20212010608</v>
      </c>
      <c r="F36" s="16" t="s">
        <v>42</v>
      </c>
      <c r="G36" s="23">
        <v>76.5</v>
      </c>
      <c r="H36" s="10">
        <v>71.8</v>
      </c>
      <c r="I36" s="10">
        <f t="shared" si="1"/>
        <v>75.09</v>
      </c>
      <c r="J36" s="19"/>
    </row>
    <row r="37" ht="14.25" spans="1:10">
      <c r="A37" s="16">
        <v>34</v>
      </c>
      <c r="B37" s="16">
        <v>21201</v>
      </c>
      <c r="C37" s="16" t="str">
        <f>"03"</f>
        <v>03</v>
      </c>
      <c r="D37" s="16" t="str">
        <f>"24"</f>
        <v>24</v>
      </c>
      <c r="E37" s="16" t="str">
        <f>"20212010324"</f>
        <v>20212010324</v>
      </c>
      <c r="F37" s="16" t="s">
        <v>43</v>
      </c>
      <c r="G37" s="23">
        <v>76</v>
      </c>
      <c r="H37" s="10">
        <v>72.7</v>
      </c>
      <c r="I37" s="10">
        <f t="shared" si="1"/>
        <v>75.01</v>
      </c>
      <c r="J37" s="19"/>
    </row>
    <row r="38" ht="14.25" spans="1:10">
      <c r="A38" s="16">
        <v>35</v>
      </c>
      <c r="B38" s="16">
        <v>21201</v>
      </c>
      <c r="C38" s="16" t="str">
        <f>"04"</f>
        <v>04</v>
      </c>
      <c r="D38" s="16" t="str">
        <f>"11"</f>
        <v>11</v>
      </c>
      <c r="E38" s="16" t="str">
        <f>"20212010411"</f>
        <v>20212010411</v>
      </c>
      <c r="F38" s="16" t="s">
        <v>44</v>
      </c>
      <c r="G38" s="23">
        <v>76.5</v>
      </c>
      <c r="H38" s="10">
        <v>71.1</v>
      </c>
      <c r="I38" s="10">
        <f t="shared" si="1"/>
        <v>74.88</v>
      </c>
      <c r="J38" s="19"/>
    </row>
    <row r="39" ht="14.25" spans="1:10">
      <c r="A39" s="16">
        <v>36</v>
      </c>
      <c r="B39" s="16">
        <v>21201</v>
      </c>
      <c r="C39" s="16" t="str">
        <f>"04"</f>
        <v>04</v>
      </c>
      <c r="D39" s="16" t="str">
        <f>"28"</f>
        <v>28</v>
      </c>
      <c r="E39" s="16" t="str">
        <f>"20212010428"</f>
        <v>20212010428</v>
      </c>
      <c r="F39" s="16" t="s">
        <v>45</v>
      </c>
      <c r="G39" s="23">
        <v>86</v>
      </c>
      <c r="H39" s="10">
        <v>48.5</v>
      </c>
      <c r="I39" s="10">
        <f t="shared" si="1"/>
        <v>74.75</v>
      </c>
      <c r="J39" s="19"/>
    </row>
    <row r="40" ht="14.25" spans="1:10">
      <c r="A40" s="16">
        <v>37</v>
      </c>
      <c r="B40" s="16">
        <v>21201</v>
      </c>
      <c r="C40" s="16" t="str">
        <f>"03"</f>
        <v>03</v>
      </c>
      <c r="D40" s="16" t="str">
        <f>"18"</f>
        <v>18</v>
      </c>
      <c r="E40" s="16" t="str">
        <f>"20212010318"</f>
        <v>20212010318</v>
      </c>
      <c r="F40" s="16" t="s">
        <v>46</v>
      </c>
      <c r="G40" s="23">
        <v>79</v>
      </c>
      <c r="H40" s="10">
        <v>63.8</v>
      </c>
      <c r="I40" s="10">
        <f t="shared" si="1"/>
        <v>74.44</v>
      </c>
      <c r="J40" s="19"/>
    </row>
    <row r="41" ht="14.25" spans="1:10">
      <c r="A41" s="16">
        <v>38</v>
      </c>
      <c r="B41" s="16">
        <v>21201</v>
      </c>
      <c r="C41" s="16" t="str">
        <f>"07"</f>
        <v>07</v>
      </c>
      <c r="D41" s="16" t="str">
        <f>"28"</f>
        <v>28</v>
      </c>
      <c r="E41" s="16" t="str">
        <f>"20212010728"</f>
        <v>20212010728</v>
      </c>
      <c r="F41" s="16" t="s">
        <v>47</v>
      </c>
      <c r="G41" s="23">
        <v>78</v>
      </c>
      <c r="H41" s="10">
        <v>65.2</v>
      </c>
      <c r="I41" s="10">
        <f t="shared" si="1"/>
        <v>74.16</v>
      </c>
      <c r="J41" s="19"/>
    </row>
    <row r="42" ht="14.25" spans="1:10">
      <c r="A42" s="16">
        <v>39</v>
      </c>
      <c r="B42" s="16">
        <v>21201</v>
      </c>
      <c r="C42" s="16" t="str">
        <f>"05"</f>
        <v>05</v>
      </c>
      <c r="D42" s="16" t="str">
        <f>"24"</f>
        <v>24</v>
      </c>
      <c r="E42" s="16" t="str">
        <f>"20212010524"</f>
        <v>20212010524</v>
      </c>
      <c r="F42" s="16" t="s">
        <v>48</v>
      </c>
      <c r="G42" s="23">
        <v>73</v>
      </c>
      <c r="H42" s="10">
        <v>75.8</v>
      </c>
      <c r="I42" s="10">
        <f t="shared" si="1"/>
        <v>73.84</v>
      </c>
      <c r="J42" s="19"/>
    </row>
    <row r="43" ht="14.25" spans="1:10">
      <c r="A43" s="16">
        <v>40</v>
      </c>
      <c r="B43" s="16">
        <v>21201</v>
      </c>
      <c r="C43" s="16" t="str">
        <f>"07"</f>
        <v>07</v>
      </c>
      <c r="D43" s="16" t="str">
        <f>"01"</f>
        <v>01</v>
      </c>
      <c r="E43" s="16" t="str">
        <f>"20212010701"</f>
        <v>20212010701</v>
      </c>
      <c r="F43" s="16" t="s">
        <v>49</v>
      </c>
      <c r="G43" s="23">
        <v>78</v>
      </c>
      <c r="H43" s="10">
        <v>64</v>
      </c>
      <c r="I43" s="10">
        <f t="shared" si="1"/>
        <v>73.8</v>
      </c>
      <c r="J43" s="19"/>
    </row>
    <row r="44" ht="14.25" spans="1:10">
      <c r="A44" s="16">
        <v>41</v>
      </c>
      <c r="B44" s="16">
        <v>21201</v>
      </c>
      <c r="C44" s="16" t="str">
        <f>"07"</f>
        <v>07</v>
      </c>
      <c r="D44" s="16" t="str">
        <f>"26"</f>
        <v>26</v>
      </c>
      <c r="E44" s="16" t="str">
        <f>"20212010726"</f>
        <v>20212010726</v>
      </c>
      <c r="F44" s="16" t="s">
        <v>45</v>
      </c>
      <c r="G44" s="23">
        <v>77</v>
      </c>
      <c r="H44" s="10">
        <v>65.8</v>
      </c>
      <c r="I44" s="10">
        <f t="shared" si="1"/>
        <v>73.64</v>
      </c>
      <c r="J44" s="19"/>
    </row>
    <row r="45" ht="14.25" spans="1:10">
      <c r="A45" s="16">
        <v>42</v>
      </c>
      <c r="B45" s="16">
        <v>21201</v>
      </c>
      <c r="C45" s="16" t="str">
        <f>"08"</f>
        <v>08</v>
      </c>
      <c r="D45" s="16" t="str">
        <f>"19"</f>
        <v>19</v>
      </c>
      <c r="E45" s="16" t="str">
        <f>"20212010819"</f>
        <v>20212010819</v>
      </c>
      <c r="F45" s="16" t="s">
        <v>50</v>
      </c>
      <c r="G45" s="23">
        <v>79.5</v>
      </c>
      <c r="H45" s="10">
        <v>58</v>
      </c>
      <c r="I45" s="10">
        <f t="shared" si="1"/>
        <v>73.05</v>
      </c>
      <c r="J45" s="19"/>
    </row>
    <row r="46" ht="14.25" spans="1:10">
      <c r="A46" s="16">
        <v>43</v>
      </c>
      <c r="B46" s="16">
        <v>21201</v>
      </c>
      <c r="C46" s="16" t="str">
        <f>"08"</f>
        <v>08</v>
      </c>
      <c r="D46" s="16" t="str">
        <f>"28"</f>
        <v>28</v>
      </c>
      <c r="E46" s="16" t="str">
        <f>"20212010828"</f>
        <v>20212010828</v>
      </c>
      <c r="F46" s="16" t="s">
        <v>51</v>
      </c>
      <c r="G46" s="23">
        <v>71</v>
      </c>
      <c r="H46" s="10">
        <v>77.4</v>
      </c>
      <c r="I46" s="10">
        <f t="shared" si="1"/>
        <v>72.92</v>
      </c>
      <c r="J46" s="19"/>
    </row>
    <row r="47" ht="14.25" spans="1:10">
      <c r="A47" s="16">
        <v>44</v>
      </c>
      <c r="B47" s="16">
        <v>21201</v>
      </c>
      <c r="C47" s="16" t="str">
        <f>"08"</f>
        <v>08</v>
      </c>
      <c r="D47" s="16" t="str">
        <f>"24"</f>
        <v>24</v>
      </c>
      <c r="E47" s="16" t="str">
        <f>"20212010824"</f>
        <v>20212010824</v>
      </c>
      <c r="F47" s="16" t="s">
        <v>52</v>
      </c>
      <c r="G47" s="23">
        <v>78</v>
      </c>
      <c r="H47" s="10">
        <v>59.7</v>
      </c>
      <c r="I47" s="10">
        <f t="shared" si="1"/>
        <v>72.51</v>
      </c>
      <c r="J47" s="19"/>
    </row>
    <row r="48" ht="14.25" spans="1:10">
      <c r="A48" s="16">
        <v>45</v>
      </c>
      <c r="B48" s="16">
        <v>21201</v>
      </c>
      <c r="C48" s="16" t="str">
        <f>"04"</f>
        <v>04</v>
      </c>
      <c r="D48" s="16" t="str">
        <f>"10"</f>
        <v>10</v>
      </c>
      <c r="E48" s="16" t="str">
        <f>"20212010410"</f>
        <v>20212010410</v>
      </c>
      <c r="F48" s="16" t="s">
        <v>53</v>
      </c>
      <c r="G48" s="23">
        <v>72</v>
      </c>
      <c r="H48" s="10">
        <v>73.4</v>
      </c>
      <c r="I48" s="10">
        <f t="shared" si="1"/>
        <v>72.42</v>
      </c>
      <c r="J48" s="19"/>
    </row>
    <row r="49" ht="14.25" spans="1:10">
      <c r="A49" s="16">
        <v>46</v>
      </c>
      <c r="B49" s="16">
        <v>21201</v>
      </c>
      <c r="C49" s="16" t="str">
        <f>"04"</f>
        <v>04</v>
      </c>
      <c r="D49" s="16" t="str">
        <f>"15"</f>
        <v>15</v>
      </c>
      <c r="E49" s="16" t="str">
        <f>"20212010415"</f>
        <v>20212010415</v>
      </c>
      <c r="F49" s="16" t="s">
        <v>54</v>
      </c>
      <c r="G49" s="23">
        <v>73</v>
      </c>
      <c r="H49" s="10">
        <v>70.3</v>
      </c>
      <c r="I49" s="10">
        <f t="shared" si="1"/>
        <v>72.19</v>
      </c>
      <c r="J49" s="19"/>
    </row>
    <row r="50" ht="14.25" spans="1:10">
      <c r="A50" s="16">
        <v>47</v>
      </c>
      <c r="B50" s="16">
        <v>21201</v>
      </c>
      <c r="C50" s="16" t="str">
        <f>"05"</f>
        <v>05</v>
      </c>
      <c r="D50" s="16" t="str">
        <f>"30"</f>
        <v>30</v>
      </c>
      <c r="E50" s="16" t="str">
        <f>"20212010530"</f>
        <v>20212010530</v>
      </c>
      <c r="F50" s="16" t="s">
        <v>55</v>
      </c>
      <c r="G50" s="23">
        <v>78.5</v>
      </c>
      <c r="H50" s="10">
        <v>56</v>
      </c>
      <c r="I50" s="10">
        <f t="shared" si="1"/>
        <v>71.75</v>
      </c>
      <c r="J50" s="19"/>
    </row>
    <row r="51" ht="14.25" spans="1:10">
      <c r="A51" s="16">
        <v>48</v>
      </c>
      <c r="B51" s="16">
        <v>21201</v>
      </c>
      <c r="C51" s="16" t="str">
        <f>"03"</f>
        <v>03</v>
      </c>
      <c r="D51" s="16" t="str">
        <f>"20"</f>
        <v>20</v>
      </c>
      <c r="E51" s="16" t="str">
        <f>"20212010320"</f>
        <v>20212010320</v>
      </c>
      <c r="F51" s="16" t="s">
        <v>56</v>
      </c>
      <c r="G51" s="23">
        <v>67</v>
      </c>
      <c r="H51" s="10">
        <v>82.6</v>
      </c>
      <c r="I51" s="10">
        <f t="shared" si="1"/>
        <v>71.68</v>
      </c>
      <c r="J51" s="19"/>
    </row>
    <row r="52" ht="14.25" spans="1:10">
      <c r="A52" s="16">
        <v>49</v>
      </c>
      <c r="B52" s="16">
        <v>21201</v>
      </c>
      <c r="C52" s="16" t="str">
        <f>"03"</f>
        <v>03</v>
      </c>
      <c r="D52" s="16" t="str">
        <f>"06"</f>
        <v>06</v>
      </c>
      <c r="E52" s="16" t="str">
        <f>"20212010306"</f>
        <v>20212010306</v>
      </c>
      <c r="F52" s="16" t="s">
        <v>57</v>
      </c>
      <c r="G52" s="23">
        <v>70</v>
      </c>
      <c r="H52" s="10">
        <v>74.2</v>
      </c>
      <c r="I52" s="10">
        <f t="shared" si="1"/>
        <v>71.26</v>
      </c>
      <c r="J52" s="19"/>
    </row>
    <row r="53" ht="14.25" spans="1:10">
      <c r="A53" s="16">
        <v>50</v>
      </c>
      <c r="B53" s="16">
        <v>21201</v>
      </c>
      <c r="C53" s="16" t="str">
        <f>"04"</f>
        <v>04</v>
      </c>
      <c r="D53" s="16" t="str">
        <f>"07"</f>
        <v>07</v>
      </c>
      <c r="E53" s="16" t="str">
        <f>"20212010407"</f>
        <v>20212010407</v>
      </c>
      <c r="F53" s="16" t="s">
        <v>58</v>
      </c>
      <c r="G53" s="23">
        <v>69</v>
      </c>
      <c r="H53" s="10">
        <v>76</v>
      </c>
      <c r="I53" s="10">
        <f t="shared" si="1"/>
        <v>71.1</v>
      </c>
      <c r="J53" s="19"/>
    </row>
    <row r="54" ht="14.25" spans="1:10">
      <c r="A54" s="16">
        <v>51</v>
      </c>
      <c r="B54" s="16">
        <v>21201</v>
      </c>
      <c r="C54" s="16" t="str">
        <f>"03"</f>
        <v>03</v>
      </c>
      <c r="D54" s="16" t="str">
        <f>"04"</f>
        <v>04</v>
      </c>
      <c r="E54" s="16" t="str">
        <f>"20212010304"</f>
        <v>20212010304</v>
      </c>
      <c r="F54" s="16" t="s">
        <v>59</v>
      </c>
      <c r="G54" s="23">
        <v>71</v>
      </c>
      <c r="H54" s="10">
        <v>71.3</v>
      </c>
      <c r="I54" s="10">
        <f t="shared" si="1"/>
        <v>71.09</v>
      </c>
      <c r="J54" s="19"/>
    </row>
    <row r="55" ht="14.25" spans="1:10">
      <c r="A55" s="16">
        <v>52</v>
      </c>
      <c r="B55" s="16">
        <v>21201</v>
      </c>
      <c r="C55" s="16" t="str">
        <f>"06"</f>
        <v>06</v>
      </c>
      <c r="D55" s="16" t="str">
        <f>"21"</f>
        <v>21</v>
      </c>
      <c r="E55" s="16" t="str">
        <f>"20212010621"</f>
        <v>20212010621</v>
      </c>
      <c r="F55" s="16" t="s">
        <v>60</v>
      </c>
      <c r="G55" s="23">
        <v>74.5</v>
      </c>
      <c r="H55" s="10">
        <v>62.7</v>
      </c>
      <c r="I55" s="10">
        <f t="shared" si="1"/>
        <v>70.96</v>
      </c>
      <c r="J55" s="19"/>
    </row>
    <row r="56" ht="14.25" spans="1:10">
      <c r="A56" s="16">
        <v>53</v>
      </c>
      <c r="B56" s="16">
        <v>21201</v>
      </c>
      <c r="C56" s="16" t="str">
        <f>"08"</f>
        <v>08</v>
      </c>
      <c r="D56" s="16" t="str">
        <f>"10"</f>
        <v>10</v>
      </c>
      <c r="E56" s="16" t="str">
        <f>"20212010810"</f>
        <v>20212010810</v>
      </c>
      <c r="F56" s="16" t="s">
        <v>61</v>
      </c>
      <c r="G56" s="23">
        <v>74</v>
      </c>
      <c r="H56" s="25">
        <v>63.8</v>
      </c>
      <c r="I56" s="10">
        <f t="shared" si="1"/>
        <v>70.94</v>
      </c>
      <c r="J56" s="19"/>
    </row>
    <row r="57" ht="14.25" spans="1:10">
      <c r="A57" s="16">
        <v>54</v>
      </c>
      <c r="B57" s="16">
        <v>21201</v>
      </c>
      <c r="C57" s="16" t="str">
        <f>"04"</f>
        <v>04</v>
      </c>
      <c r="D57" s="16" t="str">
        <f>"12"</f>
        <v>12</v>
      </c>
      <c r="E57" s="16" t="str">
        <f>"20212010412"</f>
        <v>20212010412</v>
      </c>
      <c r="F57" s="16" t="s">
        <v>62</v>
      </c>
      <c r="G57" s="23">
        <v>75.5</v>
      </c>
      <c r="H57" s="10">
        <v>60.1</v>
      </c>
      <c r="I57" s="10">
        <f t="shared" si="1"/>
        <v>70.88</v>
      </c>
      <c r="J57" s="19"/>
    </row>
    <row r="58" ht="14.25" spans="1:10">
      <c r="A58" s="16">
        <v>55</v>
      </c>
      <c r="B58" s="16">
        <v>21201</v>
      </c>
      <c r="C58" s="16" t="str">
        <f>"04"</f>
        <v>04</v>
      </c>
      <c r="D58" s="16" t="str">
        <f>"01"</f>
        <v>01</v>
      </c>
      <c r="E58" s="16" t="str">
        <f>"20212010401"</f>
        <v>20212010401</v>
      </c>
      <c r="F58" s="16" t="s">
        <v>63</v>
      </c>
      <c r="G58" s="23">
        <v>72</v>
      </c>
      <c r="H58" s="10">
        <v>67.9</v>
      </c>
      <c r="I58" s="10">
        <f t="shared" si="1"/>
        <v>70.77</v>
      </c>
      <c r="J58" s="19"/>
    </row>
    <row r="59" ht="14.25" spans="1:10">
      <c r="A59" s="16">
        <v>56</v>
      </c>
      <c r="B59" s="16">
        <v>21201</v>
      </c>
      <c r="C59" s="16" t="str">
        <f>"04"</f>
        <v>04</v>
      </c>
      <c r="D59" s="16" t="str">
        <f>"25"</f>
        <v>25</v>
      </c>
      <c r="E59" s="16" t="str">
        <f>"20212010425"</f>
        <v>20212010425</v>
      </c>
      <c r="F59" s="16" t="s">
        <v>64</v>
      </c>
      <c r="G59" s="23">
        <v>72</v>
      </c>
      <c r="H59" s="10">
        <v>67.4</v>
      </c>
      <c r="I59" s="10">
        <f t="shared" si="1"/>
        <v>70.62</v>
      </c>
      <c r="J59" s="19"/>
    </row>
    <row r="60" ht="14.25" spans="1:10">
      <c r="A60" s="16">
        <v>57</v>
      </c>
      <c r="B60" s="16">
        <v>21201</v>
      </c>
      <c r="C60" s="16" t="str">
        <f>"05"</f>
        <v>05</v>
      </c>
      <c r="D60" s="16" t="str">
        <f>"02"</f>
        <v>02</v>
      </c>
      <c r="E60" s="16" t="str">
        <f>"20212010502"</f>
        <v>20212010502</v>
      </c>
      <c r="F60" s="16" t="s">
        <v>39</v>
      </c>
      <c r="G60" s="23">
        <v>77</v>
      </c>
      <c r="H60" s="10">
        <v>52.9</v>
      </c>
      <c r="I60" s="10">
        <f t="shared" si="1"/>
        <v>69.77</v>
      </c>
      <c r="J60" s="19"/>
    </row>
    <row r="61" ht="14.25" spans="1:10">
      <c r="A61" s="16">
        <v>58</v>
      </c>
      <c r="B61" s="16">
        <v>21201</v>
      </c>
      <c r="C61" s="16" t="str">
        <f>"05"</f>
        <v>05</v>
      </c>
      <c r="D61" s="16" t="str">
        <f>"22"</f>
        <v>22</v>
      </c>
      <c r="E61" s="16" t="str">
        <f>"20212010522"</f>
        <v>20212010522</v>
      </c>
      <c r="F61" s="16" t="s">
        <v>65</v>
      </c>
      <c r="G61" s="23">
        <v>71</v>
      </c>
      <c r="H61" s="10">
        <v>66.8</v>
      </c>
      <c r="I61" s="10">
        <f t="shared" si="1"/>
        <v>69.74</v>
      </c>
      <c r="J61" s="19"/>
    </row>
    <row r="62" ht="14.25" spans="1:10">
      <c r="A62" s="16">
        <v>59</v>
      </c>
      <c r="B62" s="16">
        <v>21201</v>
      </c>
      <c r="C62" s="16" t="str">
        <f>"05"</f>
        <v>05</v>
      </c>
      <c r="D62" s="16" t="str">
        <f>"29"</f>
        <v>29</v>
      </c>
      <c r="E62" s="16" t="str">
        <f>"20212010529"</f>
        <v>20212010529</v>
      </c>
      <c r="F62" s="16" t="s">
        <v>66</v>
      </c>
      <c r="G62" s="23">
        <v>73.5</v>
      </c>
      <c r="H62" s="10">
        <v>58.5</v>
      </c>
      <c r="I62" s="10">
        <f t="shared" si="1"/>
        <v>69</v>
      </c>
      <c r="J62" s="19"/>
    </row>
    <row r="63" ht="14.25" spans="1:10">
      <c r="A63" s="16">
        <v>60</v>
      </c>
      <c r="B63" s="16">
        <v>21201</v>
      </c>
      <c r="C63" s="16" t="str">
        <f>"03"</f>
        <v>03</v>
      </c>
      <c r="D63" s="16" t="str">
        <f>"05"</f>
        <v>05</v>
      </c>
      <c r="E63" s="16" t="str">
        <f>"20212010305"</f>
        <v>20212010305</v>
      </c>
      <c r="F63" s="16" t="s">
        <v>67</v>
      </c>
      <c r="G63" s="23">
        <v>64</v>
      </c>
      <c r="H63" s="10">
        <v>80.2</v>
      </c>
      <c r="I63" s="10">
        <f t="shared" si="1"/>
        <v>68.86</v>
      </c>
      <c r="J63" s="19"/>
    </row>
    <row r="64" ht="14.25" spans="1:10">
      <c r="A64" s="16">
        <v>61</v>
      </c>
      <c r="B64" s="16">
        <v>21201</v>
      </c>
      <c r="C64" s="16" t="str">
        <f>"05"</f>
        <v>05</v>
      </c>
      <c r="D64" s="16" t="str">
        <f>"10"</f>
        <v>10</v>
      </c>
      <c r="E64" s="16" t="str">
        <f>"20212010510"</f>
        <v>20212010510</v>
      </c>
      <c r="F64" s="16" t="s">
        <v>68</v>
      </c>
      <c r="G64" s="23">
        <v>70</v>
      </c>
      <c r="H64" s="10">
        <v>66.2</v>
      </c>
      <c r="I64" s="10">
        <f t="shared" si="1"/>
        <v>68.86</v>
      </c>
      <c r="J64" s="19"/>
    </row>
    <row r="65" ht="14.25" spans="1:10">
      <c r="A65" s="16">
        <v>62</v>
      </c>
      <c r="B65" s="16">
        <v>21201</v>
      </c>
      <c r="C65" s="16" t="str">
        <f>"04"</f>
        <v>04</v>
      </c>
      <c r="D65" s="16" t="str">
        <f>"05"</f>
        <v>05</v>
      </c>
      <c r="E65" s="16" t="str">
        <f>"20212010405"</f>
        <v>20212010405</v>
      </c>
      <c r="F65" s="16" t="s">
        <v>69</v>
      </c>
      <c r="G65" s="23">
        <v>70</v>
      </c>
      <c r="H65" s="10">
        <v>64.5</v>
      </c>
      <c r="I65" s="10">
        <f t="shared" si="1"/>
        <v>68.35</v>
      </c>
      <c r="J65" s="19"/>
    </row>
    <row r="66" ht="14.25" spans="1:10">
      <c r="A66" s="16">
        <v>63</v>
      </c>
      <c r="B66" s="16">
        <v>21201</v>
      </c>
      <c r="C66" s="16" t="str">
        <f>"04"</f>
        <v>04</v>
      </c>
      <c r="D66" s="16" t="str">
        <f>"23"</f>
        <v>23</v>
      </c>
      <c r="E66" s="16" t="str">
        <f>"20212010423"</f>
        <v>20212010423</v>
      </c>
      <c r="F66" s="16" t="s">
        <v>70</v>
      </c>
      <c r="G66" s="23">
        <v>67</v>
      </c>
      <c r="H66" s="10">
        <v>70</v>
      </c>
      <c r="I66" s="10">
        <f t="shared" si="1"/>
        <v>67.9</v>
      </c>
      <c r="J66" s="19"/>
    </row>
    <row r="67" ht="14.25" spans="1:10">
      <c r="A67" s="16">
        <v>64</v>
      </c>
      <c r="B67" s="16">
        <v>21201</v>
      </c>
      <c r="C67" s="16" t="str">
        <f>"09"</f>
        <v>09</v>
      </c>
      <c r="D67" s="16" t="str">
        <f>"03"</f>
        <v>03</v>
      </c>
      <c r="E67" s="16" t="str">
        <f>"20212010903"</f>
        <v>20212010903</v>
      </c>
      <c r="F67" s="16" t="s">
        <v>71</v>
      </c>
      <c r="G67" s="23">
        <v>71.5</v>
      </c>
      <c r="H67" s="10">
        <v>59.3</v>
      </c>
      <c r="I67" s="10">
        <f t="shared" si="1"/>
        <v>67.84</v>
      </c>
      <c r="J67" s="19"/>
    </row>
    <row r="68" ht="14.25" spans="1:10">
      <c r="A68" s="16">
        <v>65</v>
      </c>
      <c r="B68" s="16">
        <v>21201</v>
      </c>
      <c r="C68" s="16" t="str">
        <f>"05"</f>
        <v>05</v>
      </c>
      <c r="D68" s="16" t="str">
        <f>"28"</f>
        <v>28</v>
      </c>
      <c r="E68" s="16" t="str">
        <f>"20212010528"</f>
        <v>20212010528</v>
      </c>
      <c r="F68" s="16" t="s">
        <v>72</v>
      </c>
      <c r="G68" s="23">
        <v>71.5</v>
      </c>
      <c r="H68" s="10">
        <v>58.2</v>
      </c>
      <c r="I68" s="10">
        <f t="shared" si="1"/>
        <v>67.51</v>
      </c>
      <c r="J68" s="19"/>
    </row>
    <row r="69" ht="14.25" spans="1:10">
      <c r="A69" s="16">
        <v>66</v>
      </c>
      <c r="B69" s="16">
        <v>21201</v>
      </c>
      <c r="C69" s="16" t="str">
        <f>"05"</f>
        <v>05</v>
      </c>
      <c r="D69" s="16" t="str">
        <f>"27"</f>
        <v>27</v>
      </c>
      <c r="E69" s="16" t="str">
        <f>"20212010527"</f>
        <v>20212010527</v>
      </c>
      <c r="F69" s="16" t="s">
        <v>73</v>
      </c>
      <c r="G69" s="23">
        <v>70</v>
      </c>
      <c r="H69" s="10">
        <v>61.5</v>
      </c>
      <c r="I69" s="10">
        <f t="shared" si="1"/>
        <v>67.45</v>
      </c>
      <c r="J69" s="19"/>
    </row>
    <row r="70" ht="14.25" spans="1:10">
      <c r="A70" s="16">
        <v>67</v>
      </c>
      <c r="B70" s="16">
        <v>21201</v>
      </c>
      <c r="C70" s="16" t="str">
        <f>"08"</f>
        <v>08</v>
      </c>
      <c r="D70" s="16" t="str">
        <f>"27"</f>
        <v>27</v>
      </c>
      <c r="E70" s="16" t="str">
        <f>"20212010827"</f>
        <v>20212010827</v>
      </c>
      <c r="F70" s="16" t="s">
        <v>74</v>
      </c>
      <c r="G70" s="23">
        <v>74</v>
      </c>
      <c r="H70" s="10">
        <v>51.7</v>
      </c>
      <c r="I70" s="10">
        <f t="shared" si="1"/>
        <v>67.31</v>
      </c>
      <c r="J70" s="19"/>
    </row>
    <row r="71" ht="14.25" spans="1:10">
      <c r="A71" s="16">
        <v>68</v>
      </c>
      <c r="B71" s="16">
        <v>21201</v>
      </c>
      <c r="C71" s="16" t="str">
        <f>"07"</f>
        <v>07</v>
      </c>
      <c r="D71" s="16" t="str">
        <f>"24"</f>
        <v>24</v>
      </c>
      <c r="E71" s="16" t="str">
        <f>"20212010724"</f>
        <v>20212010724</v>
      </c>
      <c r="F71" s="16" t="s">
        <v>75</v>
      </c>
      <c r="G71" s="23">
        <v>76</v>
      </c>
      <c r="H71" s="10">
        <v>46.1</v>
      </c>
      <c r="I71" s="10">
        <f t="shared" si="1"/>
        <v>67.03</v>
      </c>
      <c r="J71" s="19"/>
    </row>
    <row r="72" ht="14.25" spans="1:10">
      <c r="A72" s="16">
        <v>69</v>
      </c>
      <c r="B72" s="16">
        <v>21201</v>
      </c>
      <c r="C72" s="16" t="str">
        <f>"05"</f>
        <v>05</v>
      </c>
      <c r="D72" s="16" t="str">
        <f>"11"</f>
        <v>11</v>
      </c>
      <c r="E72" s="16" t="str">
        <f>"20212010511"</f>
        <v>20212010511</v>
      </c>
      <c r="F72" s="16" t="s">
        <v>76</v>
      </c>
      <c r="G72" s="23">
        <v>72</v>
      </c>
      <c r="H72" s="10">
        <v>53.9</v>
      </c>
      <c r="I72" s="10">
        <f t="shared" si="1"/>
        <v>66.57</v>
      </c>
      <c r="J72" s="19"/>
    </row>
    <row r="73" ht="14.25" spans="1:10">
      <c r="A73" s="16">
        <v>70</v>
      </c>
      <c r="B73" s="16">
        <v>21201</v>
      </c>
      <c r="C73" s="16" t="str">
        <f>"09"</f>
        <v>09</v>
      </c>
      <c r="D73" s="16" t="str">
        <f>"06"</f>
        <v>06</v>
      </c>
      <c r="E73" s="16" t="str">
        <f>"20212010906"</f>
        <v>20212010906</v>
      </c>
      <c r="F73" s="16" t="s">
        <v>77</v>
      </c>
      <c r="G73" s="23">
        <v>73</v>
      </c>
      <c r="H73" s="10">
        <v>50.9</v>
      </c>
      <c r="I73" s="10">
        <f t="shared" si="1"/>
        <v>66.37</v>
      </c>
      <c r="J73" s="19"/>
    </row>
    <row r="74" ht="14.25" spans="1:10">
      <c r="A74" s="16">
        <v>71</v>
      </c>
      <c r="B74" s="16">
        <v>21201</v>
      </c>
      <c r="C74" s="16" t="str">
        <f>"05"</f>
        <v>05</v>
      </c>
      <c r="D74" s="16" t="str">
        <f>"23"</f>
        <v>23</v>
      </c>
      <c r="E74" s="16" t="str">
        <f>"20212010523"</f>
        <v>20212010523</v>
      </c>
      <c r="F74" s="16" t="s">
        <v>78</v>
      </c>
      <c r="G74" s="23">
        <v>69</v>
      </c>
      <c r="H74" s="10">
        <v>60.2</v>
      </c>
      <c r="I74" s="10">
        <f t="shared" ref="I74:I137" si="2">G74*0.7+H74*0.3</f>
        <v>66.36</v>
      </c>
      <c r="J74" s="19"/>
    </row>
    <row r="75" ht="14.25" spans="1:10">
      <c r="A75" s="16">
        <v>72</v>
      </c>
      <c r="B75" s="16">
        <v>21201</v>
      </c>
      <c r="C75" s="16" t="str">
        <f>"05"</f>
        <v>05</v>
      </c>
      <c r="D75" s="16" t="str">
        <f>"21"</f>
        <v>21</v>
      </c>
      <c r="E75" s="16" t="str">
        <f>"20212010521"</f>
        <v>20212010521</v>
      </c>
      <c r="F75" s="16" t="s">
        <v>79</v>
      </c>
      <c r="G75" s="23">
        <v>67</v>
      </c>
      <c r="H75" s="10">
        <v>64.3</v>
      </c>
      <c r="I75" s="10">
        <f t="shared" si="2"/>
        <v>66.19</v>
      </c>
      <c r="J75" s="19"/>
    </row>
    <row r="76" ht="14.25" spans="1:10">
      <c r="A76" s="16">
        <v>73</v>
      </c>
      <c r="B76" s="16">
        <v>21201</v>
      </c>
      <c r="C76" s="16" t="str">
        <f>"06"</f>
        <v>06</v>
      </c>
      <c r="D76" s="16" t="str">
        <f>"01"</f>
        <v>01</v>
      </c>
      <c r="E76" s="16" t="str">
        <f>"20212010601"</f>
        <v>20212010601</v>
      </c>
      <c r="F76" s="16" t="s">
        <v>80</v>
      </c>
      <c r="G76" s="23">
        <v>64</v>
      </c>
      <c r="H76" s="10">
        <v>71.2</v>
      </c>
      <c r="I76" s="10">
        <f t="shared" si="2"/>
        <v>66.16</v>
      </c>
      <c r="J76" s="19"/>
    </row>
    <row r="77" ht="14.25" spans="1:10">
      <c r="A77" s="16">
        <v>74</v>
      </c>
      <c r="B77" s="16">
        <v>21201</v>
      </c>
      <c r="C77" s="16" t="str">
        <f>"03"</f>
        <v>03</v>
      </c>
      <c r="D77" s="16" t="str">
        <f>"23"</f>
        <v>23</v>
      </c>
      <c r="E77" s="16" t="str">
        <f>"20212010323"</f>
        <v>20212010323</v>
      </c>
      <c r="F77" s="16" t="s">
        <v>81</v>
      </c>
      <c r="G77" s="23">
        <v>68</v>
      </c>
      <c r="H77" s="10">
        <v>61.8</v>
      </c>
      <c r="I77" s="10">
        <f t="shared" si="2"/>
        <v>66.14</v>
      </c>
      <c r="J77" s="19"/>
    </row>
    <row r="78" ht="14.25" spans="1:10">
      <c r="A78" s="16">
        <v>75</v>
      </c>
      <c r="B78" s="16">
        <v>21201</v>
      </c>
      <c r="C78" s="16" t="str">
        <f>"03"</f>
        <v>03</v>
      </c>
      <c r="D78" s="16" t="str">
        <f>"25"</f>
        <v>25</v>
      </c>
      <c r="E78" s="16" t="str">
        <f>"20212010325"</f>
        <v>20212010325</v>
      </c>
      <c r="F78" s="16" t="s">
        <v>82</v>
      </c>
      <c r="G78" s="23">
        <v>74</v>
      </c>
      <c r="H78" s="10">
        <v>47.8</v>
      </c>
      <c r="I78" s="10">
        <f t="shared" si="2"/>
        <v>66.14</v>
      </c>
      <c r="J78" s="19"/>
    </row>
    <row r="79" ht="14.25" spans="1:10">
      <c r="A79" s="16">
        <v>76</v>
      </c>
      <c r="B79" s="16">
        <v>21201</v>
      </c>
      <c r="C79" s="16" t="str">
        <f>"06"</f>
        <v>06</v>
      </c>
      <c r="D79" s="16" t="str">
        <f>"14"</f>
        <v>14</v>
      </c>
      <c r="E79" s="16" t="str">
        <f>"20212010614"</f>
        <v>20212010614</v>
      </c>
      <c r="F79" s="16" t="s">
        <v>83</v>
      </c>
      <c r="G79" s="23">
        <v>66.5</v>
      </c>
      <c r="H79" s="10">
        <v>65.3</v>
      </c>
      <c r="I79" s="10">
        <f t="shared" si="2"/>
        <v>66.14</v>
      </c>
      <c r="J79" s="19"/>
    </row>
    <row r="80" ht="14.25" spans="1:10">
      <c r="A80" s="16">
        <v>77</v>
      </c>
      <c r="B80" s="16">
        <v>21201</v>
      </c>
      <c r="C80" s="16" t="str">
        <f>"06"</f>
        <v>06</v>
      </c>
      <c r="D80" s="16" t="str">
        <f>"10"</f>
        <v>10</v>
      </c>
      <c r="E80" s="16" t="str">
        <f>"20212010610"</f>
        <v>20212010610</v>
      </c>
      <c r="F80" s="16" t="s">
        <v>84</v>
      </c>
      <c r="G80" s="23">
        <v>72</v>
      </c>
      <c r="H80" s="10">
        <v>51.9</v>
      </c>
      <c r="I80" s="10">
        <f t="shared" si="2"/>
        <v>65.97</v>
      </c>
      <c r="J80" s="19"/>
    </row>
    <row r="81" ht="14.25" spans="1:10">
      <c r="A81" s="16">
        <v>78</v>
      </c>
      <c r="B81" s="16">
        <v>21201</v>
      </c>
      <c r="C81" s="16" t="str">
        <f>"03"</f>
        <v>03</v>
      </c>
      <c r="D81" s="16" t="str">
        <f>"28"</f>
        <v>28</v>
      </c>
      <c r="E81" s="16" t="str">
        <f>"20212010328"</f>
        <v>20212010328</v>
      </c>
      <c r="F81" s="16" t="s">
        <v>85</v>
      </c>
      <c r="G81" s="23">
        <v>65</v>
      </c>
      <c r="H81" s="10">
        <v>68.2</v>
      </c>
      <c r="I81" s="10">
        <f t="shared" si="2"/>
        <v>65.96</v>
      </c>
      <c r="J81" s="19"/>
    </row>
    <row r="82" ht="14.25" spans="1:10">
      <c r="A82" s="16">
        <v>79</v>
      </c>
      <c r="B82" s="16">
        <v>21201</v>
      </c>
      <c r="C82" s="16" t="str">
        <f>"03"</f>
        <v>03</v>
      </c>
      <c r="D82" s="16" t="str">
        <f>"22"</f>
        <v>22</v>
      </c>
      <c r="E82" s="16" t="str">
        <f>"20212010322"</f>
        <v>20212010322</v>
      </c>
      <c r="F82" s="16" t="s">
        <v>86</v>
      </c>
      <c r="G82" s="23">
        <v>61</v>
      </c>
      <c r="H82" s="10">
        <v>76.1</v>
      </c>
      <c r="I82" s="10">
        <f t="shared" si="2"/>
        <v>65.53</v>
      </c>
      <c r="J82" s="19"/>
    </row>
    <row r="83" ht="14.25" spans="1:10">
      <c r="A83" s="16">
        <v>80</v>
      </c>
      <c r="B83" s="16">
        <v>21201</v>
      </c>
      <c r="C83" s="16" t="str">
        <f>"05"</f>
        <v>05</v>
      </c>
      <c r="D83" s="16" t="str">
        <f>"03"</f>
        <v>03</v>
      </c>
      <c r="E83" s="16" t="str">
        <f>"20212010503"</f>
        <v>20212010503</v>
      </c>
      <c r="F83" s="16" t="s">
        <v>87</v>
      </c>
      <c r="G83" s="23">
        <v>71</v>
      </c>
      <c r="H83" s="10">
        <v>52.3</v>
      </c>
      <c r="I83" s="10">
        <f t="shared" si="2"/>
        <v>65.39</v>
      </c>
      <c r="J83" s="19"/>
    </row>
    <row r="84" ht="14.25" spans="1:10">
      <c r="A84" s="16">
        <v>81</v>
      </c>
      <c r="B84" s="16">
        <v>21201</v>
      </c>
      <c r="C84" s="16" t="str">
        <f>"09"</f>
        <v>09</v>
      </c>
      <c r="D84" s="16" t="str">
        <f>"11"</f>
        <v>11</v>
      </c>
      <c r="E84" s="16" t="str">
        <f>"20212010911"</f>
        <v>20212010911</v>
      </c>
      <c r="F84" s="16" t="s">
        <v>88</v>
      </c>
      <c r="G84" s="23">
        <v>69.5</v>
      </c>
      <c r="H84" s="10">
        <v>55.8</v>
      </c>
      <c r="I84" s="10">
        <f t="shared" si="2"/>
        <v>65.39</v>
      </c>
      <c r="J84" s="19"/>
    </row>
    <row r="85" ht="14.25" spans="1:10">
      <c r="A85" s="16">
        <v>82</v>
      </c>
      <c r="B85" s="16">
        <v>21201</v>
      </c>
      <c r="C85" s="16" t="str">
        <f>"03"</f>
        <v>03</v>
      </c>
      <c r="D85" s="16" t="str">
        <f>"16"</f>
        <v>16</v>
      </c>
      <c r="E85" s="16" t="str">
        <f>"20212010316"</f>
        <v>20212010316</v>
      </c>
      <c r="F85" s="16" t="s">
        <v>89</v>
      </c>
      <c r="G85" s="23">
        <v>71</v>
      </c>
      <c r="H85" s="10">
        <v>52.2</v>
      </c>
      <c r="I85" s="10">
        <f t="shared" si="2"/>
        <v>65.36</v>
      </c>
      <c r="J85" s="19"/>
    </row>
    <row r="86" ht="14.25" spans="1:10">
      <c r="A86" s="16">
        <v>83</v>
      </c>
      <c r="B86" s="16">
        <v>21201</v>
      </c>
      <c r="C86" s="16" t="str">
        <f>"08"</f>
        <v>08</v>
      </c>
      <c r="D86" s="16" t="str">
        <f>"26"</f>
        <v>26</v>
      </c>
      <c r="E86" s="16" t="str">
        <f>"20212010826"</f>
        <v>20212010826</v>
      </c>
      <c r="F86" s="16" t="s">
        <v>90</v>
      </c>
      <c r="G86" s="23">
        <v>69</v>
      </c>
      <c r="H86" s="10">
        <v>55.6</v>
      </c>
      <c r="I86" s="10">
        <f t="shared" si="2"/>
        <v>64.98</v>
      </c>
      <c r="J86" s="19"/>
    </row>
    <row r="87" ht="14.25" spans="1:10">
      <c r="A87" s="16">
        <v>84</v>
      </c>
      <c r="B87" s="16">
        <v>21201</v>
      </c>
      <c r="C87" s="16" t="str">
        <f>"08"</f>
        <v>08</v>
      </c>
      <c r="D87" s="16" t="str">
        <f>"11"</f>
        <v>11</v>
      </c>
      <c r="E87" s="16" t="str">
        <f>"20212010811"</f>
        <v>20212010811</v>
      </c>
      <c r="F87" s="16" t="s">
        <v>91</v>
      </c>
      <c r="G87" s="23">
        <v>67</v>
      </c>
      <c r="H87" s="10">
        <v>60.2</v>
      </c>
      <c r="I87" s="10">
        <f t="shared" si="2"/>
        <v>64.96</v>
      </c>
      <c r="J87" s="19"/>
    </row>
    <row r="88" ht="14.25" spans="1:10">
      <c r="A88" s="16">
        <v>85</v>
      </c>
      <c r="B88" s="16">
        <v>21201</v>
      </c>
      <c r="C88" s="16" t="str">
        <f>"07"</f>
        <v>07</v>
      </c>
      <c r="D88" s="16" t="str">
        <f>"18"</f>
        <v>18</v>
      </c>
      <c r="E88" s="16" t="str">
        <f>"20212010718"</f>
        <v>20212010718</v>
      </c>
      <c r="F88" s="16" t="s">
        <v>92</v>
      </c>
      <c r="G88" s="23">
        <v>66</v>
      </c>
      <c r="H88" s="10">
        <v>60.9</v>
      </c>
      <c r="I88" s="10">
        <f t="shared" si="2"/>
        <v>64.47</v>
      </c>
      <c r="J88" s="19"/>
    </row>
    <row r="89" ht="14.25" spans="1:10">
      <c r="A89" s="16">
        <v>86</v>
      </c>
      <c r="B89" s="16">
        <v>21201</v>
      </c>
      <c r="C89" s="16" t="str">
        <f>"05"</f>
        <v>05</v>
      </c>
      <c r="D89" s="16" t="str">
        <f>"06"</f>
        <v>06</v>
      </c>
      <c r="E89" s="16" t="str">
        <f>"20212010506"</f>
        <v>20212010506</v>
      </c>
      <c r="F89" s="16" t="s">
        <v>93</v>
      </c>
      <c r="G89" s="23">
        <v>71.5</v>
      </c>
      <c r="H89" s="10">
        <v>47.7</v>
      </c>
      <c r="I89" s="10">
        <f t="shared" si="2"/>
        <v>64.36</v>
      </c>
      <c r="J89" s="19"/>
    </row>
    <row r="90" ht="14.25" spans="1:10">
      <c r="A90" s="16">
        <v>87</v>
      </c>
      <c r="B90" s="16">
        <v>21201</v>
      </c>
      <c r="C90" s="16" t="str">
        <f>"04"</f>
        <v>04</v>
      </c>
      <c r="D90" s="16" t="str">
        <f>"17"</f>
        <v>17</v>
      </c>
      <c r="E90" s="16" t="str">
        <f>"20212010417"</f>
        <v>20212010417</v>
      </c>
      <c r="F90" s="16" t="s">
        <v>94</v>
      </c>
      <c r="G90" s="23">
        <v>66.5</v>
      </c>
      <c r="H90" s="10">
        <v>59.3</v>
      </c>
      <c r="I90" s="10">
        <f t="shared" si="2"/>
        <v>64.34</v>
      </c>
      <c r="J90" s="19"/>
    </row>
    <row r="91" ht="14.25" spans="1:10">
      <c r="A91" s="16">
        <v>88</v>
      </c>
      <c r="B91" s="16">
        <v>21201</v>
      </c>
      <c r="C91" s="16" t="str">
        <f>"06"</f>
        <v>06</v>
      </c>
      <c r="D91" s="16" t="str">
        <f>"03"</f>
        <v>03</v>
      </c>
      <c r="E91" s="16" t="str">
        <f>"20212010603"</f>
        <v>20212010603</v>
      </c>
      <c r="F91" s="16" t="s">
        <v>95</v>
      </c>
      <c r="G91" s="23">
        <v>65.5</v>
      </c>
      <c r="H91" s="10">
        <v>61</v>
      </c>
      <c r="I91" s="10">
        <f t="shared" si="2"/>
        <v>64.15</v>
      </c>
      <c r="J91" s="19"/>
    </row>
    <row r="92" ht="14.25" spans="1:10">
      <c r="A92" s="16">
        <v>89</v>
      </c>
      <c r="B92" s="16">
        <v>21201</v>
      </c>
      <c r="C92" s="16" t="str">
        <f>"04"</f>
        <v>04</v>
      </c>
      <c r="D92" s="16" t="str">
        <f>"30"</f>
        <v>30</v>
      </c>
      <c r="E92" s="16" t="str">
        <f>"20212010430"</f>
        <v>20212010430</v>
      </c>
      <c r="F92" s="16" t="s">
        <v>96</v>
      </c>
      <c r="G92" s="23">
        <v>69</v>
      </c>
      <c r="H92" s="10">
        <v>52.6</v>
      </c>
      <c r="I92" s="10">
        <f t="shared" si="2"/>
        <v>64.08</v>
      </c>
      <c r="J92" s="19"/>
    </row>
    <row r="93" ht="14.25" spans="1:10">
      <c r="A93" s="16">
        <v>90</v>
      </c>
      <c r="B93" s="16">
        <v>21201</v>
      </c>
      <c r="C93" s="16" t="str">
        <f>"03"</f>
        <v>03</v>
      </c>
      <c r="D93" s="16" t="str">
        <f>"30"</f>
        <v>30</v>
      </c>
      <c r="E93" s="16" t="str">
        <f>"20212010330"</f>
        <v>20212010330</v>
      </c>
      <c r="F93" s="16" t="s">
        <v>97</v>
      </c>
      <c r="G93" s="23">
        <v>61</v>
      </c>
      <c r="H93" s="10">
        <v>70.4</v>
      </c>
      <c r="I93" s="10">
        <f t="shared" si="2"/>
        <v>63.82</v>
      </c>
      <c r="J93" s="19"/>
    </row>
    <row r="94" ht="14.25" spans="1:10">
      <c r="A94" s="16">
        <v>91</v>
      </c>
      <c r="B94" s="16">
        <v>21201</v>
      </c>
      <c r="C94" s="16" t="str">
        <f>"03"</f>
        <v>03</v>
      </c>
      <c r="D94" s="16" t="str">
        <f>"21"</f>
        <v>21</v>
      </c>
      <c r="E94" s="16" t="str">
        <f>"20212010321"</f>
        <v>20212010321</v>
      </c>
      <c r="F94" s="16" t="s">
        <v>98</v>
      </c>
      <c r="G94" s="23">
        <v>66</v>
      </c>
      <c r="H94" s="10">
        <v>58</v>
      </c>
      <c r="I94" s="10">
        <f t="shared" si="2"/>
        <v>63.6</v>
      </c>
      <c r="J94" s="19"/>
    </row>
    <row r="95" ht="14.25" spans="1:10">
      <c r="A95" s="16">
        <v>92</v>
      </c>
      <c r="B95" s="16">
        <v>21201</v>
      </c>
      <c r="C95" s="16" t="str">
        <f>"07"</f>
        <v>07</v>
      </c>
      <c r="D95" s="16" t="str">
        <f>"12"</f>
        <v>12</v>
      </c>
      <c r="E95" s="16" t="str">
        <f>"20212010712"</f>
        <v>20212010712</v>
      </c>
      <c r="F95" s="16" t="s">
        <v>99</v>
      </c>
      <c r="G95" s="23">
        <v>67</v>
      </c>
      <c r="H95" s="10">
        <v>55.4</v>
      </c>
      <c r="I95" s="10">
        <f t="shared" si="2"/>
        <v>63.52</v>
      </c>
      <c r="J95" s="19"/>
    </row>
    <row r="96" ht="14.25" spans="1:10">
      <c r="A96" s="16">
        <v>93</v>
      </c>
      <c r="B96" s="16">
        <v>21201</v>
      </c>
      <c r="C96" s="16" t="str">
        <f>"06"</f>
        <v>06</v>
      </c>
      <c r="D96" s="16" t="str">
        <f>"25"</f>
        <v>25</v>
      </c>
      <c r="E96" s="16" t="str">
        <f>"20212010625"</f>
        <v>20212010625</v>
      </c>
      <c r="F96" s="16" t="s">
        <v>100</v>
      </c>
      <c r="G96" s="23">
        <v>60</v>
      </c>
      <c r="H96" s="10">
        <v>70.3</v>
      </c>
      <c r="I96" s="10">
        <f t="shared" si="2"/>
        <v>63.09</v>
      </c>
      <c r="J96" s="19"/>
    </row>
    <row r="97" ht="14.25" spans="1:10">
      <c r="A97" s="16">
        <v>94</v>
      </c>
      <c r="B97" s="16">
        <v>21201</v>
      </c>
      <c r="C97" s="16" t="str">
        <f>"03"</f>
        <v>03</v>
      </c>
      <c r="D97" s="16" t="str">
        <f>"19"</f>
        <v>19</v>
      </c>
      <c r="E97" s="16" t="str">
        <f>"20212010319"</f>
        <v>20212010319</v>
      </c>
      <c r="F97" s="16" t="s">
        <v>101</v>
      </c>
      <c r="G97" s="23">
        <v>57</v>
      </c>
      <c r="H97" s="10">
        <v>76.6</v>
      </c>
      <c r="I97" s="10">
        <f t="shared" si="2"/>
        <v>62.88</v>
      </c>
      <c r="J97" s="19"/>
    </row>
    <row r="98" ht="14.25" spans="1:10">
      <c r="A98" s="16">
        <v>95</v>
      </c>
      <c r="B98" s="16">
        <v>21201</v>
      </c>
      <c r="C98" s="16" t="str">
        <f>"08"</f>
        <v>08</v>
      </c>
      <c r="D98" s="16" t="str">
        <f>"18"</f>
        <v>18</v>
      </c>
      <c r="E98" s="16" t="str">
        <f>"20212010818"</f>
        <v>20212010818</v>
      </c>
      <c r="F98" s="16" t="s">
        <v>102</v>
      </c>
      <c r="G98" s="23">
        <v>67.5</v>
      </c>
      <c r="H98" s="10">
        <v>51.2</v>
      </c>
      <c r="I98" s="10">
        <f t="shared" si="2"/>
        <v>62.61</v>
      </c>
      <c r="J98" s="19"/>
    </row>
    <row r="99" ht="14.25" spans="1:10">
      <c r="A99" s="16">
        <v>96</v>
      </c>
      <c r="B99" s="16">
        <v>21201</v>
      </c>
      <c r="C99" s="16" t="str">
        <f>"05"</f>
        <v>05</v>
      </c>
      <c r="D99" s="16" t="str">
        <f>"18"</f>
        <v>18</v>
      </c>
      <c r="E99" s="16" t="str">
        <f>"20212010518"</f>
        <v>20212010518</v>
      </c>
      <c r="F99" s="16" t="s">
        <v>103</v>
      </c>
      <c r="G99" s="23">
        <v>68</v>
      </c>
      <c r="H99" s="10">
        <v>49.8</v>
      </c>
      <c r="I99" s="10">
        <f t="shared" si="2"/>
        <v>62.54</v>
      </c>
      <c r="J99" s="19"/>
    </row>
    <row r="100" ht="14.25" spans="1:10">
      <c r="A100" s="16">
        <v>97</v>
      </c>
      <c r="B100" s="16">
        <v>21201</v>
      </c>
      <c r="C100" s="16" t="str">
        <f>"06"</f>
        <v>06</v>
      </c>
      <c r="D100" s="16" t="str">
        <f>"23"</f>
        <v>23</v>
      </c>
      <c r="E100" s="16" t="str">
        <f>"20212010623"</f>
        <v>20212010623</v>
      </c>
      <c r="F100" s="16" t="s">
        <v>104</v>
      </c>
      <c r="G100" s="23">
        <v>64</v>
      </c>
      <c r="H100" s="10">
        <v>58.9</v>
      </c>
      <c r="I100" s="10">
        <f t="shared" si="2"/>
        <v>62.47</v>
      </c>
      <c r="J100" s="19"/>
    </row>
    <row r="101" ht="14.25" spans="1:10">
      <c r="A101" s="16">
        <v>98</v>
      </c>
      <c r="B101" s="16">
        <v>21201</v>
      </c>
      <c r="C101" s="16" t="str">
        <f>"08"</f>
        <v>08</v>
      </c>
      <c r="D101" s="16" t="str">
        <f>"01"</f>
        <v>01</v>
      </c>
      <c r="E101" s="16" t="str">
        <f>"20212010801"</f>
        <v>20212010801</v>
      </c>
      <c r="F101" s="16" t="s">
        <v>105</v>
      </c>
      <c r="G101" s="23">
        <v>64</v>
      </c>
      <c r="H101" s="10">
        <v>58.3</v>
      </c>
      <c r="I101" s="10">
        <f t="shared" si="2"/>
        <v>62.29</v>
      </c>
      <c r="J101" s="19"/>
    </row>
    <row r="102" ht="14.25" spans="1:10">
      <c r="A102" s="16">
        <v>99</v>
      </c>
      <c r="B102" s="16">
        <v>21201</v>
      </c>
      <c r="C102" s="16" t="str">
        <f>"08"</f>
        <v>08</v>
      </c>
      <c r="D102" s="16" t="str">
        <f>"06"</f>
        <v>06</v>
      </c>
      <c r="E102" s="16" t="str">
        <f>"20212010806"</f>
        <v>20212010806</v>
      </c>
      <c r="F102" s="16" t="s">
        <v>106</v>
      </c>
      <c r="G102" s="23">
        <v>66</v>
      </c>
      <c r="H102" s="10">
        <v>53.3</v>
      </c>
      <c r="I102" s="10">
        <f t="shared" si="2"/>
        <v>62.19</v>
      </c>
      <c r="J102" s="19"/>
    </row>
    <row r="103" ht="14.25" spans="1:10">
      <c r="A103" s="16">
        <v>100</v>
      </c>
      <c r="B103" s="16">
        <v>21201</v>
      </c>
      <c r="C103" s="16" t="str">
        <f>"06"</f>
        <v>06</v>
      </c>
      <c r="D103" s="16" t="str">
        <f>"24"</f>
        <v>24</v>
      </c>
      <c r="E103" s="16" t="str">
        <f>"20212010624"</f>
        <v>20212010624</v>
      </c>
      <c r="F103" s="16" t="s">
        <v>107</v>
      </c>
      <c r="G103" s="23">
        <v>65.5</v>
      </c>
      <c r="H103" s="10">
        <v>53</v>
      </c>
      <c r="I103" s="10">
        <f t="shared" si="2"/>
        <v>61.75</v>
      </c>
      <c r="J103" s="19"/>
    </row>
    <row r="104" ht="14.25" spans="1:10">
      <c r="A104" s="16">
        <v>101</v>
      </c>
      <c r="B104" s="16">
        <v>21201</v>
      </c>
      <c r="C104" s="16" t="str">
        <f>"06"</f>
        <v>06</v>
      </c>
      <c r="D104" s="16" t="str">
        <f>"12"</f>
        <v>12</v>
      </c>
      <c r="E104" s="16" t="str">
        <f>"20212010612"</f>
        <v>20212010612</v>
      </c>
      <c r="F104" s="16" t="s">
        <v>108</v>
      </c>
      <c r="G104" s="23">
        <v>65</v>
      </c>
      <c r="H104" s="10">
        <v>54</v>
      </c>
      <c r="I104" s="10">
        <f t="shared" si="2"/>
        <v>61.7</v>
      </c>
      <c r="J104" s="19"/>
    </row>
    <row r="105" ht="14.25" spans="1:10">
      <c r="A105" s="16">
        <v>102</v>
      </c>
      <c r="B105" s="16">
        <v>21201</v>
      </c>
      <c r="C105" s="16" t="str">
        <f>"03"</f>
        <v>03</v>
      </c>
      <c r="D105" s="16" t="str">
        <f>"12"</f>
        <v>12</v>
      </c>
      <c r="E105" s="16" t="str">
        <f>"20212010312"</f>
        <v>20212010312</v>
      </c>
      <c r="F105" s="16" t="s">
        <v>109</v>
      </c>
      <c r="G105" s="23">
        <v>57</v>
      </c>
      <c r="H105" s="10">
        <v>71.8</v>
      </c>
      <c r="I105" s="10">
        <f t="shared" si="2"/>
        <v>61.44</v>
      </c>
      <c r="J105" s="19"/>
    </row>
    <row r="106" ht="14.25" spans="1:10">
      <c r="A106" s="16">
        <v>103</v>
      </c>
      <c r="B106" s="16">
        <v>21201</v>
      </c>
      <c r="C106" s="16" t="str">
        <f>"03"</f>
        <v>03</v>
      </c>
      <c r="D106" s="16" t="str">
        <f>"07"</f>
        <v>07</v>
      </c>
      <c r="E106" s="16" t="str">
        <f>"20212010307"</f>
        <v>20212010307</v>
      </c>
      <c r="F106" s="16" t="s">
        <v>110</v>
      </c>
      <c r="G106" s="23">
        <v>65</v>
      </c>
      <c r="H106" s="10">
        <v>52.5</v>
      </c>
      <c r="I106" s="10">
        <f t="shared" si="2"/>
        <v>61.25</v>
      </c>
      <c r="J106" s="19"/>
    </row>
    <row r="107" ht="14.25" spans="1:10">
      <c r="A107" s="16">
        <v>104</v>
      </c>
      <c r="B107" s="16">
        <v>21201</v>
      </c>
      <c r="C107" s="16" t="str">
        <f>"05"</f>
        <v>05</v>
      </c>
      <c r="D107" s="16" t="str">
        <f>"20"</f>
        <v>20</v>
      </c>
      <c r="E107" s="16" t="str">
        <f>"20212010520"</f>
        <v>20212010520</v>
      </c>
      <c r="F107" s="16" t="s">
        <v>111</v>
      </c>
      <c r="G107" s="23">
        <v>62.5</v>
      </c>
      <c r="H107" s="10">
        <v>57.7</v>
      </c>
      <c r="I107" s="10">
        <f t="shared" si="2"/>
        <v>61.06</v>
      </c>
      <c r="J107" s="19"/>
    </row>
    <row r="108" ht="14.25" spans="1:10">
      <c r="A108" s="16">
        <v>105</v>
      </c>
      <c r="B108" s="16">
        <v>21201</v>
      </c>
      <c r="C108" s="16" t="str">
        <f>"03"</f>
        <v>03</v>
      </c>
      <c r="D108" s="16" t="str">
        <f>"09"</f>
        <v>09</v>
      </c>
      <c r="E108" s="16" t="str">
        <f>"20212010309"</f>
        <v>20212010309</v>
      </c>
      <c r="F108" s="16" t="s">
        <v>112</v>
      </c>
      <c r="G108" s="23">
        <v>63</v>
      </c>
      <c r="H108" s="10">
        <v>55.8</v>
      </c>
      <c r="I108" s="10">
        <f t="shared" si="2"/>
        <v>60.84</v>
      </c>
      <c r="J108" s="19"/>
    </row>
    <row r="109" ht="14.25" spans="1:10">
      <c r="A109" s="16">
        <v>106</v>
      </c>
      <c r="B109" s="16">
        <v>21201</v>
      </c>
      <c r="C109" s="16" t="str">
        <f>"05"</f>
        <v>05</v>
      </c>
      <c r="D109" s="16" t="str">
        <f>"25"</f>
        <v>25</v>
      </c>
      <c r="E109" s="16" t="str">
        <f>"20212010525"</f>
        <v>20212010525</v>
      </c>
      <c r="F109" s="16" t="s">
        <v>113</v>
      </c>
      <c r="G109" s="23">
        <v>59</v>
      </c>
      <c r="H109" s="10">
        <v>64.8</v>
      </c>
      <c r="I109" s="10">
        <f t="shared" si="2"/>
        <v>60.74</v>
      </c>
      <c r="J109" s="19"/>
    </row>
    <row r="110" ht="14.25" spans="1:10">
      <c r="A110" s="16">
        <v>107</v>
      </c>
      <c r="B110" s="16">
        <v>21201</v>
      </c>
      <c r="C110" s="16" t="str">
        <f>"04"</f>
        <v>04</v>
      </c>
      <c r="D110" s="16" t="str">
        <f>"24"</f>
        <v>24</v>
      </c>
      <c r="E110" s="16" t="str">
        <f>"20212010424"</f>
        <v>20212010424</v>
      </c>
      <c r="F110" s="16" t="s">
        <v>114</v>
      </c>
      <c r="G110" s="23">
        <v>62</v>
      </c>
      <c r="H110" s="10">
        <v>57.3</v>
      </c>
      <c r="I110" s="10">
        <f t="shared" si="2"/>
        <v>60.59</v>
      </c>
      <c r="J110" s="19"/>
    </row>
    <row r="111" ht="14.25" spans="1:10">
      <c r="A111" s="16">
        <v>108</v>
      </c>
      <c r="B111" s="16">
        <v>21201</v>
      </c>
      <c r="C111" s="16" t="str">
        <f>"08"</f>
        <v>08</v>
      </c>
      <c r="D111" s="16" t="str">
        <f>"25"</f>
        <v>25</v>
      </c>
      <c r="E111" s="16" t="str">
        <f>"20212010825"</f>
        <v>20212010825</v>
      </c>
      <c r="F111" s="16" t="s">
        <v>115</v>
      </c>
      <c r="G111" s="23">
        <v>67</v>
      </c>
      <c r="H111" s="10">
        <v>44.7</v>
      </c>
      <c r="I111" s="10">
        <f t="shared" si="2"/>
        <v>60.31</v>
      </c>
      <c r="J111" s="19"/>
    </row>
    <row r="112" ht="14.25" spans="1:10">
      <c r="A112" s="16">
        <v>109</v>
      </c>
      <c r="B112" s="16">
        <v>21201</v>
      </c>
      <c r="C112" s="16" t="str">
        <f>"04"</f>
        <v>04</v>
      </c>
      <c r="D112" s="16" t="str">
        <f>"18"</f>
        <v>18</v>
      </c>
      <c r="E112" s="16" t="str">
        <f>"20212010418"</f>
        <v>20212010418</v>
      </c>
      <c r="F112" s="16" t="s">
        <v>116</v>
      </c>
      <c r="G112" s="23">
        <v>62</v>
      </c>
      <c r="H112" s="10">
        <v>53.8</v>
      </c>
      <c r="I112" s="10">
        <f t="shared" si="2"/>
        <v>59.54</v>
      </c>
      <c r="J112" s="19"/>
    </row>
    <row r="113" ht="14.25" spans="1:10">
      <c r="A113" s="16">
        <v>110</v>
      </c>
      <c r="B113" s="16">
        <v>21201</v>
      </c>
      <c r="C113" s="16" t="str">
        <f>"09"</f>
        <v>09</v>
      </c>
      <c r="D113" s="16" t="str">
        <f>"07"</f>
        <v>07</v>
      </c>
      <c r="E113" s="16" t="str">
        <f>"20212010907"</f>
        <v>20212010907</v>
      </c>
      <c r="F113" s="16" t="s">
        <v>117</v>
      </c>
      <c r="G113" s="23">
        <v>59.5</v>
      </c>
      <c r="H113" s="10">
        <v>52.7</v>
      </c>
      <c r="I113" s="10">
        <f t="shared" si="2"/>
        <v>57.46</v>
      </c>
      <c r="J113" s="19"/>
    </row>
    <row r="114" ht="14.25" spans="1:10">
      <c r="A114" s="16">
        <v>111</v>
      </c>
      <c r="B114" s="16">
        <v>21201</v>
      </c>
      <c r="C114" s="16" t="str">
        <f>"06"</f>
        <v>06</v>
      </c>
      <c r="D114" s="16" t="str">
        <f>"27"</f>
        <v>27</v>
      </c>
      <c r="E114" s="16" t="str">
        <f>"20212010627"</f>
        <v>20212010627</v>
      </c>
      <c r="F114" s="16" t="s">
        <v>118</v>
      </c>
      <c r="G114" s="23">
        <v>60</v>
      </c>
      <c r="H114" s="10">
        <v>48.7</v>
      </c>
      <c r="I114" s="10">
        <f t="shared" si="2"/>
        <v>56.61</v>
      </c>
      <c r="J114" s="19"/>
    </row>
    <row r="115" ht="14.25" spans="1:10">
      <c r="A115" s="16">
        <v>112</v>
      </c>
      <c r="B115" s="16">
        <v>21201</v>
      </c>
      <c r="C115" s="16" t="str">
        <f>"06"</f>
        <v>06</v>
      </c>
      <c r="D115" s="16" t="str">
        <f>"13"</f>
        <v>13</v>
      </c>
      <c r="E115" s="16" t="str">
        <f>"20212010613"</f>
        <v>20212010613</v>
      </c>
      <c r="F115" s="16" t="s">
        <v>119</v>
      </c>
      <c r="G115" s="23">
        <v>47</v>
      </c>
      <c r="H115" s="10">
        <v>70</v>
      </c>
      <c r="I115" s="10">
        <f t="shared" si="2"/>
        <v>53.9</v>
      </c>
      <c r="J115" s="19"/>
    </row>
    <row r="116" ht="14.25" spans="1:10">
      <c r="A116" s="16">
        <v>113</v>
      </c>
      <c r="B116" s="16">
        <v>21201</v>
      </c>
      <c r="C116" s="16" t="str">
        <f>"03"</f>
        <v>03</v>
      </c>
      <c r="D116" s="16" t="str">
        <f>"01"</f>
        <v>01</v>
      </c>
      <c r="E116" s="16" t="str">
        <f>"20212010301"</f>
        <v>20212010301</v>
      </c>
      <c r="F116" s="16" t="s">
        <v>120</v>
      </c>
      <c r="G116" s="23">
        <v>53</v>
      </c>
      <c r="H116" s="10">
        <v>55.4</v>
      </c>
      <c r="I116" s="10">
        <f t="shared" si="2"/>
        <v>53.72</v>
      </c>
      <c r="J116" s="19"/>
    </row>
    <row r="117" ht="14.25" spans="1:10">
      <c r="A117" s="16">
        <v>114</v>
      </c>
      <c r="B117" s="16">
        <v>21201</v>
      </c>
      <c r="C117" s="16" t="str">
        <f>"07"</f>
        <v>07</v>
      </c>
      <c r="D117" s="16" t="str">
        <f>"21"</f>
        <v>21</v>
      </c>
      <c r="E117" s="16" t="str">
        <f>"20212010721"</f>
        <v>20212010721</v>
      </c>
      <c r="F117" s="16" t="s">
        <v>121</v>
      </c>
      <c r="G117" s="23">
        <v>48</v>
      </c>
      <c r="H117" s="10">
        <v>62.6</v>
      </c>
      <c r="I117" s="10">
        <f t="shared" si="2"/>
        <v>52.38</v>
      </c>
      <c r="J117" s="19"/>
    </row>
    <row r="118" ht="14.25" spans="1:10">
      <c r="A118" s="16">
        <v>115</v>
      </c>
      <c r="B118" s="16">
        <v>21201</v>
      </c>
      <c r="C118" s="16" t="str">
        <f>"08"</f>
        <v>08</v>
      </c>
      <c r="D118" s="16" t="str">
        <f>"20"</f>
        <v>20</v>
      </c>
      <c r="E118" s="16" t="str">
        <f>"20212010820"</f>
        <v>20212010820</v>
      </c>
      <c r="F118" s="16" t="s">
        <v>122</v>
      </c>
      <c r="G118" s="23">
        <v>52</v>
      </c>
      <c r="H118" s="10">
        <v>50</v>
      </c>
      <c r="I118" s="10">
        <f t="shared" si="2"/>
        <v>51.4</v>
      </c>
      <c r="J118" s="19"/>
    </row>
    <row r="119" ht="14.25" spans="1:10">
      <c r="A119" s="16">
        <v>116</v>
      </c>
      <c r="B119" s="16">
        <v>21201</v>
      </c>
      <c r="C119" s="16" t="str">
        <f>"04"</f>
        <v>04</v>
      </c>
      <c r="D119" s="16" t="str">
        <f>"20"</f>
        <v>20</v>
      </c>
      <c r="E119" s="16" t="str">
        <f>"20212010420"</f>
        <v>20212010420</v>
      </c>
      <c r="F119" s="16" t="s">
        <v>123</v>
      </c>
      <c r="G119" s="23">
        <v>53</v>
      </c>
      <c r="H119" s="10">
        <v>44.9</v>
      </c>
      <c r="I119" s="10">
        <f t="shared" si="2"/>
        <v>50.57</v>
      </c>
      <c r="J119" s="19"/>
    </row>
    <row r="120" ht="14.25" spans="1:10">
      <c r="A120" s="16">
        <v>117</v>
      </c>
      <c r="B120" s="16">
        <v>21201</v>
      </c>
      <c r="C120" s="16" t="str">
        <f>"08"</f>
        <v>08</v>
      </c>
      <c r="D120" s="16" t="str">
        <f>"05"</f>
        <v>05</v>
      </c>
      <c r="E120" s="16" t="str">
        <f>"20212010805"</f>
        <v>20212010805</v>
      </c>
      <c r="F120" s="16" t="s">
        <v>124</v>
      </c>
      <c r="G120" s="23">
        <v>39</v>
      </c>
      <c r="H120" s="10">
        <v>62.8</v>
      </c>
      <c r="I120" s="10">
        <f t="shared" si="2"/>
        <v>46.14</v>
      </c>
      <c r="J120" s="19"/>
    </row>
    <row r="121" ht="14.25" spans="1:10">
      <c r="A121" s="16">
        <v>118</v>
      </c>
      <c r="B121" s="16">
        <v>21201</v>
      </c>
      <c r="C121" s="16" t="str">
        <f t="shared" ref="C121:C128" si="3">"03"</f>
        <v>03</v>
      </c>
      <c r="D121" s="16" t="str">
        <f>"03"</f>
        <v>03</v>
      </c>
      <c r="E121" s="16" t="str">
        <f>"20212010303"</f>
        <v>20212010303</v>
      </c>
      <c r="F121" s="16" t="s">
        <v>125</v>
      </c>
      <c r="G121" s="23">
        <v>0</v>
      </c>
      <c r="H121" s="10">
        <v>0</v>
      </c>
      <c r="I121" s="10">
        <f t="shared" si="2"/>
        <v>0</v>
      </c>
      <c r="J121" s="21" t="s">
        <v>126</v>
      </c>
    </row>
    <row r="122" ht="14.25" spans="1:10">
      <c r="A122" s="16">
        <v>119</v>
      </c>
      <c r="B122" s="16">
        <v>21201</v>
      </c>
      <c r="C122" s="16" t="str">
        <f t="shared" si="3"/>
        <v>03</v>
      </c>
      <c r="D122" s="16" t="str">
        <f>"08"</f>
        <v>08</v>
      </c>
      <c r="E122" s="16" t="str">
        <f>"20212010308"</f>
        <v>20212010308</v>
      </c>
      <c r="F122" s="16" t="s">
        <v>127</v>
      </c>
      <c r="G122" s="23">
        <v>0</v>
      </c>
      <c r="H122" s="10">
        <v>0</v>
      </c>
      <c r="I122" s="10">
        <f t="shared" si="2"/>
        <v>0</v>
      </c>
      <c r="J122" s="21" t="s">
        <v>126</v>
      </c>
    </row>
    <row r="123" ht="14.25" spans="1:10">
      <c r="A123" s="16">
        <v>120</v>
      </c>
      <c r="B123" s="16">
        <v>21201</v>
      </c>
      <c r="C123" s="16" t="str">
        <f t="shared" si="3"/>
        <v>03</v>
      </c>
      <c r="D123" s="16" t="str">
        <f>"10"</f>
        <v>10</v>
      </c>
      <c r="E123" s="16" t="str">
        <f>"20212010310"</f>
        <v>20212010310</v>
      </c>
      <c r="F123" s="16" t="s">
        <v>128</v>
      </c>
      <c r="G123" s="23">
        <v>0</v>
      </c>
      <c r="H123" s="10">
        <v>0</v>
      </c>
      <c r="I123" s="10">
        <f t="shared" si="2"/>
        <v>0</v>
      </c>
      <c r="J123" s="21" t="s">
        <v>126</v>
      </c>
    </row>
    <row r="124" ht="14.25" spans="1:10">
      <c r="A124" s="16">
        <v>121</v>
      </c>
      <c r="B124" s="16">
        <v>21201</v>
      </c>
      <c r="C124" s="16" t="str">
        <f t="shared" si="3"/>
        <v>03</v>
      </c>
      <c r="D124" s="16" t="str">
        <f>"13"</f>
        <v>13</v>
      </c>
      <c r="E124" s="16" t="str">
        <f>"20212010313"</f>
        <v>20212010313</v>
      </c>
      <c r="F124" s="16" t="s">
        <v>129</v>
      </c>
      <c r="G124" s="23">
        <v>0</v>
      </c>
      <c r="H124" s="10">
        <v>0</v>
      </c>
      <c r="I124" s="10">
        <f t="shared" si="2"/>
        <v>0</v>
      </c>
      <c r="J124" s="21" t="s">
        <v>126</v>
      </c>
    </row>
    <row r="125" ht="14.25" spans="1:10">
      <c r="A125" s="16">
        <v>122</v>
      </c>
      <c r="B125" s="16">
        <v>21201</v>
      </c>
      <c r="C125" s="16" t="str">
        <f t="shared" si="3"/>
        <v>03</v>
      </c>
      <c r="D125" s="16" t="str">
        <f>"14"</f>
        <v>14</v>
      </c>
      <c r="E125" s="16" t="str">
        <f>"20212010314"</f>
        <v>20212010314</v>
      </c>
      <c r="F125" s="16" t="s">
        <v>130</v>
      </c>
      <c r="G125" s="23">
        <v>0</v>
      </c>
      <c r="H125" s="10">
        <v>0</v>
      </c>
      <c r="I125" s="10">
        <f t="shared" si="2"/>
        <v>0</v>
      </c>
      <c r="J125" s="21" t="s">
        <v>126</v>
      </c>
    </row>
    <row r="126" ht="14.25" spans="1:10">
      <c r="A126" s="16">
        <v>123</v>
      </c>
      <c r="B126" s="16">
        <v>21201</v>
      </c>
      <c r="C126" s="16" t="str">
        <f t="shared" si="3"/>
        <v>03</v>
      </c>
      <c r="D126" s="16" t="str">
        <f>"15"</f>
        <v>15</v>
      </c>
      <c r="E126" s="16" t="str">
        <f>"20212010315"</f>
        <v>20212010315</v>
      </c>
      <c r="F126" s="16" t="s">
        <v>131</v>
      </c>
      <c r="G126" s="23">
        <v>0</v>
      </c>
      <c r="H126" s="10">
        <v>0</v>
      </c>
      <c r="I126" s="10">
        <f t="shared" si="2"/>
        <v>0</v>
      </c>
      <c r="J126" s="21" t="s">
        <v>126</v>
      </c>
    </row>
    <row r="127" ht="14.25" spans="1:10">
      <c r="A127" s="16">
        <v>124</v>
      </c>
      <c r="B127" s="16">
        <v>21201</v>
      </c>
      <c r="C127" s="16" t="str">
        <f t="shared" si="3"/>
        <v>03</v>
      </c>
      <c r="D127" s="16" t="str">
        <f>"17"</f>
        <v>17</v>
      </c>
      <c r="E127" s="16" t="str">
        <f>"20212010317"</f>
        <v>20212010317</v>
      </c>
      <c r="F127" s="16" t="s">
        <v>132</v>
      </c>
      <c r="G127" s="23">
        <v>0</v>
      </c>
      <c r="H127" s="10">
        <v>0</v>
      </c>
      <c r="I127" s="10">
        <f t="shared" si="2"/>
        <v>0</v>
      </c>
      <c r="J127" s="21" t="s">
        <v>126</v>
      </c>
    </row>
    <row r="128" ht="14.25" spans="1:10">
      <c r="A128" s="16">
        <v>125</v>
      </c>
      <c r="B128" s="16">
        <v>21201</v>
      </c>
      <c r="C128" s="16" t="str">
        <f t="shared" si="3"/>
        <v>03</v>
      </c>
      <c r="D128" s="16" t="str">
        <f>"29"</f>
        <v>29</v>
      </c>
      <c r="E128" s="16" t="str">
        <f>"20212010329"</f>
        <v>20212010329</v>
      </c>
      <c r="F128" s="16" t="s">
        <v>133</v>
      </c>
      <c r="G128" s="23">
        <v>0</v>
      </c>
      <c r="H128" s="10">
        <v>0</v>
      </c>
      <c r="I128" s="10">
        <f t="shared" si="2"/>
        <v>0</v>
      </c>
      <c r="J128" s="21" t="s">
        <v>126</v>
      </c>
    </row>
    <row r="129" ht="14.25" spans="1:10">
      <c r="A129" s="16">
        <v>126</v>
      </c>
      <c r="B129" s="16">
        <v>21201</v>
      </c>
      <c r="C129" s="16" t="str">
        <f t="shared" ref="C129:C137" si="4">"04"</f>
        <v>04</v>
      </c>
      <c r="D129" s="16" t="str">
        <f>"02"</f>
        <v>02</v>
      </c>
      <c r="E129" s="16" t="str">
        <f>"20212010402"</f>
        <v>20212010402</v>
      </c>
      <c r="F129" s="16" t="s">
        <v>134</v>
      </c>
      <c r="G129" s="23">
        <v>0</v>
      </c>
      <c r="H129" s="10">
        <v>0</v>
      </c>
      <c r="I129" s="10">
        <f t="shared" si="2"/>
        <v>0</v>
      </c>
      <c r="J129" s="21" t="s">
        <v>126</v>
      </c>
    </row>
    <row r="130" ht="14.25" spans="1:10">
      <c r="A130" s="16">
        <v>127</v>
      </c>
      <c r="B130" s="16">
        <v>21201</v>
      </c>
      <c r="C130" s="16" t="str">
        <f t="shared" si="4"/>
        <v>04</v>
      </c>
      <c r="D130" s="16" t="str">
        <f>"03"</f>
        <v>03</v>
      </c>
      <c r="E130" s="16" t="str">
        <f>"20212010403"</f>
        <v>20212010403</v>
      </c>
      <c r="F130" s="16" t="s">
        <v>135</v>
      </c>
      <c r="G130" s="23">
        <v>0</v>
      </c>
      <c r="H130" s="10">
        <v>0</v>
      </c>
      <c r="I130" s="10">
        <f t="shared" si="2"/>
        <v>0</v>
      </c>
      <c r="J130" s="21" t="s">
        <v>126</v>
      </c>
    </row>
    <row r="131" ht="14.25" spans="1:10">
      <c r="A131" s="16">
        <v>128</v>
      </c>
      <c r="B131" s="16">
        <v>21201</v>
      </c>
      <c r="C131" s="16" t="str">
        <f t="shared" si="4"/>
        <v>04</v>
      </c>
      <c r="D131" s="16" t="str">
        <f>"04"</f>
        <v>04</v>
      </c>
      <c r="E131" s="16" t="str">
        <f>"20212010404"</f>
        <v>20212010404</v>
      </c>
      <c r="F131" s="16" t="s">
        <v>136</v>
      </c>
      <c r="G131" s="23">
        <v>0</v>
      </c>
      <c r="H131" s="10">
        <v>0</v>
      </c>
      <c r="I131" s="10">
        <f t="shared" si="2"/>
        <v>0</v>
      </c>
      <c r="J131" s="21" t="s">
        <v>126</v>
      </c>
    </row>
    <row r="132" ht="14.25" spans="1:10">
      <c r="A132" s="16">
        <v>129</v>
      </c>
      <c r="B132" s="16">
        <v>21201</v>
      </c>
      <c r="C132" s="16" t="str">
        <f t="shared" si="4"/>
        <v>04</v>
      </c>
      <c r="D132" s="16" t="str">
        <f>"09"</f>
        <v>09</v>
      </c>
      <c r="E132" s="16" t="str">
        <f>"20212010409"</f>
        <v>20212010409</v>
      </c>
      <c r="F132" s="16" t="s">
        <v>137</v>
      </c>
      <c r="G132" s="23">
        <v>0</v>
      </c>
      <c r="H132" s="10">
        <v>0</v>
      </c>
      <c r="I132" s="10">
        <f t="shared" si="2"/>
        <v>0</v>
      </c>
      <c r="J132" s="21" t="s">
        <v>126</v>
      </c>
    </row>
    <row r="133" ht="14.25" spans="1:10">
      <c r="A133" s="16">
        <v>130</v>
      </c>
      <c r="B133" s="16">
        <v>21201</v>
      </c>
      <c r="C133" s="16" t="str">
        <f t="shared" si="4"/>
        <v>04</v>
      </c>
      <c r="D133" s="16" t="str">
        <f>"13"</f>
        <v>13</v>
      </c>
      <c r="E133" s="16" t="str">
        <f>"20212010413"</f>
        <v>20212010413</v>
      </c>
      <c r="F133" s="16" t="s">
        <v>138</v>
      </c>
      <c r="G133" s="23">
        <v>0</v>
      </c>
      <c r="H133" s="10">
        <v>0</v>
      </c>
      <c r="I133" s="10">
        <f t="shared" si="2"/>
        <v>0</v>
      </c>
      <c r="J133" s="21" t="s">
        <v>126</v>
      </c>
    </row>
    <row r="134" ht="14.25" spans="1:10">
      <c r="A134" s="16">
        <v>131</v>
      </c>
      <c r="B134" s="16">
        <v>21201</v>
      </c>
      <c r="C134" s="16" t="str">
        <f t="shared" si="4"/>
        <v>04</v>
      </c>
      <c r="D134" s="16" t="str">
        <f>"16"</f>
        <v>16</v>
      </c>
      <c r="E134" s="16" t="str">
        <f>"20212010416"</f>
        <v>20212010416</v>
      </c>
      <c r="F134" s="16" t="s">
        <v>139</v>
      </c>
      <c r="G134" s="23">
        <v>0</v>
      </c>
      <c r="H134" s="10">
        <v>0</v>
      </c>
      <c r="I134" s="10">
        <f t="shared" si="2"/>
        <v>0</v>
      </c>
      <c r="J134" s="21" t="s">
        <v>126</v>
      </c>
    </row>
    <row r="135" ht="14.25" spans="1:10">
      <c r="A135" s="16">
        <v>132</v>
      </c>
      <c r="B135" s="16">
        <v>21201</v>
      </c>
      <c r="C135" s="16" t="str">
        <f t="shared" si="4"/>
        <v>04</v>
      </c>
      <c r="D135" s="16" t="str">
        <f>"19"</f>
        <v>19</v>
      </c>
      <c r="E135" s="16" t="str">
        <f>"20212010419"</f>
        <v>20212010419</v>
      </c>
      <c r="F135" s="16" t="s">
        <v>140</v>
      </c>
      <c r="G135" s="23">
        <v>0</v>
      </c>
      <c r="H135" s="10">
        <v>0</v>
      </c>
      <c r="I135" s="10">
        <f t="shared" si="2"/>
        <v>0</v>
      </c>
      <c r="J135" s="21" t="s">
        <v>126</v>
      </c>
    </row>
    <row r="136" ht="14.25" spans="1:10">
      <c r="A136" s="16">
        <v>133</v>
      </c>
      <c r="B136" s="16">
        <v>21201</v>
      </c>
      <c r="C136" s="16" t="str">
        <f t="shared" si="4"/>
        <v>04</v>
      </c>
      <c r="D136" s="16" t="str">
        <f>"21"</f>
        <v>21</v>
      </c>
      <c r="E136" s="16" t="str">
        <f>"20212010421"</f>
        <v>20212010421</v>
      </c>
      <c r="F136" s="16" t="s">
        <v>141</v>
      </c>
      <c r="G136" s="23">
        <v>0</v>
      </c>
      <c r="H136" s="10">
        <v>0</v>
      </c>
      <c r="I136" s="10">
        <f t="shared" si="2"/>
        <v>0</v>
      </c>
      <c r="J136" s="21" t="s">
        <v>126</v>
      </c>
    </row>
    <row r="137" ht="14.25" spans="1:10">
      <c r="A137" s="16">
        <v>134</v>
      </c>
      <c r="B137" s="16">
        <v>21201</v>
      </c>
      <c r="C137" s="16" t="str">
        <f t="shared" si="4"/>
        <v>04</v>
      </c>
      <c r="D137" s="16" t="str">
        <f>"27"</f>
        <v>27</v>
      </c>
      <c r="E137" s="16" t="str">
        <f>"20212010427"</f>
        <v>20212010427</v>
      </c>
      <c r="F137" s="16" t="s">
        <v>142</v>
      </c>
      <c r="G137" s="23">
        <v>0</v>
      </c>
      <c r="H137" s="10">
        <v>0</v>
      </c>
      <c r="I137" s="10">
        <f t="shared" si="2"/>
        <v>0</v>
      </c>
      <c r="J137" s="21" t="s">
        <v>126</v>
      </c>
    </row>
    <row r="138" ht="14.25" spans="1:10">
      <c r="A138" s="16">
        <v>135</v>
      </c>
      <c r="B138" s="16">
        <v>21201</v>
      </c>
      <c r="C138" s="16" t="str">
        <f t="shared" ref="C138:C147" si="5">"05"</f>
        <v>05</v>
      </c>
      <c r="D138" s="16" t="str">
        <f>"01"</f>
        <v>01</v>
      </c>
      <c r="E138" s="16" t="str">
        <f>"20212010501"</f>
        <v>20212010501</v>
      </c>
      <c r="F138" s="16" t="s">
        <v>143</v>
      </c>
      <c r="G138" s="23">
        <v>0</v>
      </c>
      <c r="H138" s="10">
        <v>0</v>
      </c>
      <c r="I138" s="10">
        <f t="shared" ref="I138:I194" si="6">G138*0.7+H138*0.3</f>
        <v>0</v>
      </c>
      <c r="J138" s="21" t="s">
        <v>126</v>
      </c>
    </row>
    <row r="139" ht="14.25" spans="1:10">
      <c r="A139" s="16">
        <v>136</v>
      </c>
      <c r="B139" s="16">
        <v>21201</v>
      </c>
      <c r="C139" s="16" t="str">
        <f t="shared" si="5"/>
        <v>05</v>
      </c>
      <c r="D139" s="16" t="str">
        <f>"07"</f>
        <v>07</v>
      </c>
      <c r="E139" s="16" t="str">
        <f>"20212010507"</f>
        <v>20212010507</v>
      </c>
      <c r="F139" s="16" t="s">
        <v>144</v>
      </c>
      <c r="G139" s="23">
        <v>0</v>
      </c>
      <c r="H139" s="10">
        <v>0</v>
      </c>
      <c r="I139" s="10">
        <f t="shared" si="6"/>
        <v>0</v>
      </c>
      <c r="J139" s="21" t="s">
        <v>126</v>
      </c>
    </row>
    <row r="140" ht="14.25" spans="1:10">
      <c r="A140" s="16">
        <v>137</v>
      </c>
      <c r="B140" s="16">
        <v>21201</v>
      </c>
      <c r="C140" s="16" t="str">
        <f t="shared" si="5"/>
        <v>05</v>
      </c>
      <c r="D140" s="16" t="str">
        <f>"08"</f>
        <v>08</v>
      </c>
      <c r="E140" s="16" t="str">
        <f>"20212010508"</f>
        <v>20212010508</v>
      </c>
      <c r="F140" s="16" t="s">
        <v>145</v>
      </c>
      <c r="G140" s="23">
        <v>0</v>
      </c>
      <c r="H140" s="10">
        <v>0</v>
      </c>
      <c r="I140" s="10">
        <f t="shared" si="6"/>
        <v>0</v>
      </c>
      <c r="J140" s="21" t="s">
        <v>126</v>
      </c>
    </row>
    <row r="141" ht="14.25" spans="1:10">
      <c r="A141" s="16">
        <v>138</v>
      </c>
      <c r="B141" s="16">
        <v>21201</v>
      </c>
      <c r="C141" s="16" t="str">
        <f t="shared" si="5"/>
        <v>05</v>
      </c>
      <c r="D141" s="16" t="str">
        <f>"09"</f>
        <v>09</v>
      </c>
      <c r="E141" s="16" t="str">
        <f>"20212010509"</f>
        <v>20212010509</v>
      </c>
      <c r="F141" s="16" t="s">
        <v>146</v>
      </c>
      <c r="G141" s="23">
        <v>0</v>
      </c>
      <c r="H141" s="10">
        <v>0</v>
      </c>
      <c r="I141" s="10">
        <f t="shared" si="6"/>
        <v>0</v>
      </c>
      <c r="J141" s="21" t="s">
        <v>126</v>
      </c>
    </row>
    <row r="142" ht="14.25" spans="1:10">
      <c r="A142" s="16">
        <v>139</v>
      </c>
      <c r="B142" s="16">
        <v>21201</v>
      </c>
      <c r="C142" s="16" t="str">
        <f t="shared" si="5"/>
        <v>05</v>
      </c>
      <c r="D142" s="16" t="str">
        <f>"12"</f>
        <v>12</v>
      </c>
      <c r="E142" s="16" t="str">
        <f>"20212010512"</f>
        <v>20212010512</v>
      </c>
      <c r="F142" s="16" t="s">
        <v>147</v>
      </c>
      <c r="G142" s="23">
        <v>0</v>
      </c>
      <c r="H142" s="10">
        <v>0</v>
      </c>
      <c r="I142" s="10">
        <f t="shared" si="6"/>
        <v>0</v>
      </c>
      <c r="J142" s="21" t="s">
        <v>126</v>
      </c>
    </row>
    <row r="143" ht="14.25" spans="1:10">
      <c r="A143" s="16">
        <v>140</v>
      </c>
      <c r="B143" s="16">
        <v>21201</v>
      </c>
      <c r="C143" s="16" t="str">
        <f t="shared" si="5"/>
        <v>05</v>
      </c>
      <c r="D143" s="16" t="str">
        <f>"14"</f>
        <v>14</v>
      </c>
      <c r="E143" s="16" t="str">
        <f>"20212010514"</f>
        <v>20212010514</v>
      </c>
      <c r="F143" s="16" t="s">
        <v>148</v>
      </c>
      <c r="G143" s="23">
        <v>0</v>
      </c>
      <c r="H143" s="10">
        <v>0</v>
      </c>
      <c r="I143" s="10">
        <f t="shared" si="6"/>
        <v>0</v>
      </c>
      <c r="J143" s="21" t="s">
        <v>126</v>
      </c>
    </row>
    <row r="144" ht="14.25" spans="1:10">
      <c r="A144" s="16">
        <v>141</v>
      </c>
      <c r="B144" s="16">
        <v>21201</v>
      </c>
      <c r="C144" s="16" t="str">
        <f t="shared" si="5"/>
        <v>05</v>
      </c>
      <c r="D144" s="16" t="str">
        <f>"15"</f>
        <v>15</v>
      </c>
      <c r="E144" s="16" t="str">
        <f>"20212010515"</f>
        <v>20212010515</v>
      </c>
      <c r="F144" s="16" t="s">
        <v>149</v>
      </c>
      <c r="G144" s="23">
        <v>0</v>
      </c>
      <c r="H144" s="10">
        <v>0</v>
      </c>
      <c r="I144" s="10">
        <f t="shared" si="6"/>
        <v>0</v>
      </c>
      <c r="J144" s="21" t="s">
        <v>126</v>
      </c>
    </row>
    <row r="145" ht="14.25" spans="1:10">
      <c r="A145" s="16">
        <v>142</v>
      </c>
      <c r="B145" s="16">
        <v>21201</v>
      </c>
      <c r="C145" s="16" t="str">
        <f t="shared" si="5"/>
        <v>05</v>
      </c>
      <c r="D145" s="16" t="str">
        <f>"17"</f>
        <v>17</v>
      </c>
      <c r="E145" s="16" t="str">
        <f>"20212010517"</f>
        <v>20212010517</v>
      </c>
      <c r="F145" s="16" t="s">
        <v>150</v>
      </c>
      <c r="G145" s="23">
        <v>0</v>
      </c>
      <c r="H145" s="10">
        <v>0</v>
      </c>
      <c r="I145" s="10">
        <f t="shared" si="6"/>
        <v>0</v>
      </c>
      <c r="J145" s="21" t="s">
        <v>126</v>
      </c>
    </row>
    <row r="146" ht="14.25" spans="1:10">
      <c r="A146" s="16">
        <v>143</v>
      </c>
      <c r="B146" s="16">
        <v>21201</v>
      </c>
      <c r="C146" s="16" t="str">
        <f t="shared" si="5"/>
        <v>05</v>
      </c>
      <c r="D146" s="16" t="str">
        <f>"19"</f>
        <v>19</v>
      </c>
      <c r="E146" s="16" t="str">
        <f>"20212010519"</f>
        <v>20212010519</v>
      </c>
      <c r="F146" s="16" t="s">
        <v>151</v>
      </c>
      <c r="G146" s="23">
        <v>0</v>
      </c>
      <c r="H146" s="10">
        <v>0</v>
      </c>
      <c r="I146" s="10">
        <f t="shared" si="6"/>
        <v>0</v>
      </c>
      <c r="J146" s="21" t="s">
        <v>126</v>
      </c>
    </row>
    <row r="147" ht="14.25" spans="1:10">
      <c r="A147" s="16">
        <v>144</v>
      </c>
      <c r="B147" s="16">
        <v>21201</v>
      </c>
      <c r="C147" s="16" t="str">
        <f t="shared" si="5"/>
        <v>05</v>
      </c>
      <c r="D147" s="16" t="str">
        <f>"26"</f>
        <v>26</v>
      </c>
      <c r="E147" s="16" t="str">
        <f>"20212010526"</f>
        <v>20212010526</v>
      </c>
      <c r="F147" s="16" t="s">
        <v>152</v>
      </c>
      <c r="G147" s="23">
        <v>0</v>
      </c>
      <c r="H147" s="10">
        <v>0</v>
      </c>
      <c r="I147" s="10">
        <f t="shared" si="6"/>
        <v>0</v>
      </c>
      <c r="J147" s="21" t="s">
        <v>126</v>
      </c>
    </row>
    <row r="148" ht="14.25" spans="1:10">
      <c r="A148" s="16">
        <v>145</v>
      </c>
      <c r="B148" s="16">
        <v>21201</v>
      </c>
      <c r="C148" s="16" t="str">
        <f t="shared" ref="C148:C157" si="7">"06"</f>
        <v>06</v>
      </c>
      <c r="D148" s="16" t="str">
        <f>"02"</f>
        <v>02</v>
      </c>
      <c r="E148" s="16" t="str">
        <f>"20212010602"</f>
        <v>20212010602</v>
      </c>
      <c r="F148" s="16" t="s">
        <v>153</v>
      </c>
      <c r="G148" s="23">
        <v>0</v>
      </c>
      <c r="H148" s="10">
        <v>0</v>
      </c>
      <c r="I148" s="10">
        <f t="shared" si="6"/>
        <v>0</v>
      </c>
      <c r="J148" s="21" t="s">
        <v>126</v>
      </c>
    </row>
    <row r="149" ht="14.25" spans="1:10">
      <c r="A149" s="16">
        <v>146</v>
      </c>
      <c r="B149" s="16">
        <v>21201</v>
      </c>
      <c r="C149" s="16" t="str">
        <f t="shared" si="7"/>
        <v>06</v>
      </c>
      <c r="D149" s="16" t="str">
        <f>"06"</f>
        <v>06</v>
      </c>
      <c r="E149" s="16" t="str">
        <f>"20212010606"</f>
        <v>20212010606</v>
      </c>
      <c r="F149" s="16" t="s">
        <v>154</v>
      </c>
      <c r="G149" s="23">
        <v>0</v>
      </c>
      <c r="H149" s="10">
        <v>0</v>
      </c>
      <c r="I149" s="10">
        <f t="shared" si="6"/>
        <v>0</v>
      </c>
      <c r="J149" s="21" t="s">
        <v>126</v>
      </c>
    </row>
    <row r="150" ht="14.25" spans="1:10">
      <c r="A150" s="16">
        <v>147</v>
      </c>
      <c r="B150" s="16">
        <v>21201</v>
      </c>
      <c r="C150" s="16" t="str">
        <f t="shared" si="7"/>
        <v>06</v>
      </c>
      <c r="D150" s="16" t="str">
        <f>"07"</f>
        <v>07</v>
      </c>
      <c r="E150" s="16" t="str">
        <f>"20212010607"</f>
        <v>20212010607</v>
      </c>
      <c r="F150" s="16" t="s">
        <v>155</v>
      </c>
      <c r="G150" s="23">
        <v>0</v>
      </c>
      <c r="H150" s="10">
        <v>0</v>
      </c>
      <c r="I150" s="10">
        <f t="shared" si="6"/>
        <v>0</v>
      </c>
      <c r="J150" s="21" t="s">
        <v>126</v>
      </c>
    </row>
    <row r="151" ht="14.25" spans="1:10">
      <c r="A151" s="16">
        <v>148</v>
      </c>
      <c r="B151" s="16">
        <v>21201</v>
      </c>
      <c r="C151" s="16" t="str">
        <f t="shared" si="7"/>
        <v>06</v>
      </c>
      <c r="D151" s="16" t="str">
        <f>"09"</f>
        <v>09</v>
      </c>
      <c r="E151" s="16" t="str">
        <f>"20212010609"</f>
        <v>20212010609</v>
      </c>
      <c r="F151" s="16" t="s">
        <v>156</v>
      </c>
      <c r="G151" s="23">
        <v>0</v>
      </c>
      <c r="H151" s="10">
        <v>0</v>
      </c>
      <c r="I151" s="10">
        <f t="shared" si="6"/>
        <v>0</v>
      </c>
      <c r="J151" s="21" t="s">
        <v>126</v>
      </c>
    </row>
    <row r="152" ht="14.25" spans="1:10">
      <c r="A152" s="16">
        <v>149</v>
      </c>
      <c r="B152" s="16">
        <v>21201</v>
      </c>
      <c r="C152" s="16" t="str">
        <f t="shared" si="7"/>
        <v>06</v>
      </c>
      <c r="D152" s="16" t="str">
        <f>"11"</f>
        <v>11</v>
      </c>
      <c r="E152" s="16" t="str">
        <f>"20212010611"</f>
        <v>20212010611</v>
      </c>
      <c r="F152" s="16" t="s">
        <v>157</v>
      </c>
      <c r="G152" s="23">
        <v>0</v>
      </c>
      <c r="H152" s="10">
        <v>0</v>
      </c>
      <c r="I152" s="10">
        <f t="shared" si="6"/>
        <v>0</v>
      </c>
      <c r="J152" s="21" t="s">
        <v>126</v>
      </c>
    </row>
    <row r="153" ht="14.25" spans="1:10">
      <c r="A153" s="16">
        <v>150</v>
      </c>
      <c r="B153" s="16">
        <v>21201</v>
      </c>
      <c r="C153" s="16" t="str">
        <f t="shared" si="7"/>
        <v>06</v>
      </c>
      <c r="D153" s="16" t="str">
        <f>"15"</f>
        <v>15</v>
      </c>
      <c r="E153" s="16" t="str">
        <f>"20212010615"</f>
        <v>20212010615</v>
      </c>
      <c r="F153" s="16" t="s">
        <v>158</v>
      </c>
      <c r="G153" s="23">
        <v>0</v>
      </c>
      <c r="H153" s="10">
        <v>0</v>
      </c>
      <c r="I153" s="10">
        <f t="shared" si="6"/>
        <v>0</v>
      </c>
      <c r="J153" s="21" t="s">
        <v>126</v>
      </c>
    </row>
    <row r="154" ht="14.25" spans="1:10">
      <c r="A154" s="16">
        <v>151</v>
      </c>
      <c r="B154" s="16">
        <v>21201</v>
      </c>
      <c r="C154" s="16" t="str">
        <f t="shared" si="7"/>
        <v>06</v>
      </c>
      <c r="D154" s="16" t="str">
        <f>"16"</f>
        <v>16</v>
      </c>
      <c r="E154" s="16" t="str">
        <f>"20212010616"</f>
        <v>20212010616</v>
      </c>
      <c r="F154" s="16" t="s">
        <v>159</v>
      </c>
      <c r="G154" s="23">
        <v>0</v>
      </c>
      <c r="H154" s="10">
        <v>0</v>
      </c>
      <c r="I154" s="10">
        <f t="shared" si="6"/>
        <v>0</v>
      </c>
      <c r="J154" s="21" t="s">
        <v>126</v>
      </c>
    </row>
    <row r="155" ht="14.25" spans="1:10">
      <c r="A155" s="16">
        <v>152</v>
      </c>
      <c r="B155" s="16">
        <v>21201</v>
      </c>
      <c r="C155" s="16" t="str">
        <f t="shared" si="7"/>
        <v>06</v>
      </c>
      <c r="D155" s="16" t="str">
        <f>"18"</f>
        <v>18</v>
      </c>
      <c r="E155" s="16" t="str">
        <f>"20212010618"</f>
        <v>20212010618</v>
      </c>
      <c r="F155" s="16" t="s">
        <v>160</v>
      </c>
      <c r="G155" s="23">
        <v>0</v>
      </c>
      <c r="H155" s="10">
        <v>0</v>
      </c>
      <c r="I155" s="10">
        <f t="shared" si="6"/>
        <v>0</v>
      </c>
      <c r="J155" s="21" t="s">
        <v>126</v>
      </c>
    </row>
    <row r="156" ht="14.25" spans="1:10">
      <c r="A156" s="16">
        <v>153</v>
      </c>
      <c r="B156" s="16">
        <v>21201</v>
      </c>
      <c r="C156" s="16" t="str">
        <f t="shared" si="7"/>
        <v>06</v>
      </c>
      <c r="D156" s="16" t="str">
        <f>"19"</f>
        <v>19</v>
      </c>
      <c r="E156" s="16" t="str">
        <f>"20212010619"</f>
        <v>20212010619</v>
      </c>
      <c r="F156" s="16" t="s">
        <v>161</v>
      </c>
      <c r="G156" s="23">
        <v>0</v>
      </c>
      <c r="H156" s="10">
        <v>0</v>
      </c>
      <c r="I156" s="10">
        <f t="shared" si="6"/>
        <v>0</v>
      </c>
      <c r="J156" s="21" t="s">
        <v>126</v>
      </c>
    </row>
    <row r="157" ht="14.25" spans="1:10">
      <c r="A157" s="16">
        <v>154</v>
      </c>
      <c r="B157" s="16">
        <v>21201</v>
      </c>
      <c r="C157" s="16" t="str">
        <f t="shared" si="7"/>
        <v>06</v>
      </c>
      <c r="D157" s="16" t="str">
        <f>"29"</f>
        <v>29</v>
      </c>
      <c r="E157" s="16" t="str">
        <f>"20212010629"</f>
        <v>20212010629</v>
      </c>
      <c r="F157" s="16" t="s">
        <v>162</v>
      </c>
      <c r="G157" s="23">
        <v>0</v>
      </c>
      <c r="H157" s="10">
        <v>0</v>
      </c>
      <c r="I157" s="10">
        <f t="shared" si="6"/>
        <v>0</v>
      </c>
      <c r="J157" s="21" t="s">
        <v>126</v>
      </c>
    </row>
    <row r="158" ht="14.25" spans="1:10">
      <c r="A158" s="16">
        <v>155</v>
      </c>
      <c r="B158" s="16">
        <v>21201</v>
      </c>
      <c r="C158" s="16" t="str">
        <f t="shared" ref="C158:C174" si="8">"07"</f>
        <v>07</v>
      </c>
      <c r="D158" s="16" t="str">
        <f>"03"</f>
        <v>03</v>
      </c>
      <c r="E158" s="16" t="str">
        <f>"20212010703"</f>
        <v>20212010703</v>
      </c>
      <c r="F158" s="16" t="s">
        <v>163</v>
      </c>
      <c r="G158" s="23">
        <v>0</v>
      </c>
      <c r="H158" s="10">
        <v>0</v>
      </c>
      <c r="I158" s="10">
        <f t="shared" si="6"/>
        <v>0</v>
      </c>
      <c r="J158" s="21" t="s">
        <v>126</v>
      </c>
    </row>
    <row r="159" ht="14.25" spans="1:10">
      <c r="A159" s="16">
        <v>156</v>
      </c>
      <c r="B159" s="16">
        <v>21201</v>
      </c>
      <c r="C159" s="16" t="str">
        <f t="shared" si="8"/>
        <v>07</v>
      </c>
      <c r="D159" s="16" t="str">
        <f>"04"</f>
        <v>04</v>
      </c>
      <c r="E159" s="16" t="str">
        <f>"20212010704"</f>
        <v>20212010704</v>
      </c>
      <c r="F159" s="16" t="s">
        <v>164</v>
      </c>
      <c r="G159" s="23">
        <v>0</v>
      </c>
      <c r="H159" s="10">
        <v>0</v>
      </c>
      <c r="I159" s="10">
        <f t="shared" si="6"/>
        <v>0</v>
      </c>
      <c r="J159" s="21" t="s">
        <v>126</v>
      </c>
    </row>
    <row r="160" ht="14.25" spans="1:10">
      <c r="A160" s="16">
        <v>157</v>
      </c>
      <c r="B160" s="16">
        <v>21201</v>
      </c>
      <c r="C160" s="16" t="str">
        <f t="shared" si="8"/>
        <v>07</v>
      </c>
      <c r="D160" s="16" t="str">
        <f>"07"</f>
        <v>07</v>
      </c>
      <c r="E160" s="16" t="str">
        <f>"20212010707"</f>
        <v>20212010707</v>
      </c>
      <c r="F160" s="16" t="s">
        <v>165</v>
      </c>
      <c r="G160" s="23">
        <v>0</v>
      </c>
      <c r="H160" s="10">
        <v>0</v>
      </c>
      <c r="I160" s="10">
        <f t="shared" si="6"/>
        <v>0</v>
      </c>
      <c r="J160" s="21" t="s">
        <v>126</v>
      </c>
    </row>
    <row r="161" ht="14.25" spans="1:10">
      <c r="A161" s="16">
        <v>158</v>
      </c>
      <c r="B161" s="16">
        <v>21201</v>
      </c>
      <c r="C161" s="16" t="str">
        <f t="shared" si="8"/>
        <v>07</v>
      </c>
      <c r="D161" s="16" t="str">
        <f>"09"</f>
        <v>09</v>
      </c>
      <c r="E161" s="16" t="str">
        <f>"20212010709"</f>
        <v>20212010709</v>
      </c>
      <c r="F161" s="16" t="s">
        <v>166</v>
      </c>
      <c r="G161" s="23">
        <v>0</v>
      </c>
      <c r="H161" s="10">
        <v>0</v>
      </c>
      <c r="I161" s="10">
        <f t="shared" si="6"/>
        <v>0</v>
      </c>
      <c r="J161" s="21" t="s">
        <v>126</v>
      </c>
    </row>
    <row r="162" ht="14.25" spans="1:10">
      <c r="A162" s="16">
        <v>159</v>
      </c>
      <c r="B162" s="16">
        <v>21201</v>
      </c>
      <c r="C162" s="16" t="str">
        <f t="shared" si="8"/>
        <v>07</v>
      </c>
      <c r="D162" s="16" t="str">
        <f>"11"</f>
        <v>11</v>
      </c>
      <c r="E162" s="16" t="str">
        <f>"20212010711"</f>
        <v>20212010711</v>
      </c>
      <c r="F162" s="16" t="s">
        <v>167</v>
      </c>
      <c r="G162" s="23">
        <v>0</v>
      </c>
      <c r="H162" s="10">
        <v>0</v>
      </c>
      <c r="I162" s="10">
        <f t="shared" si="6"/>
        <v>0</v>
      </c>
      <c r="J162" s="21" t="s">
        <v>126</v>
      </c>
    </row>
    <row r="163" ht="14.25" spans="1:10">
      <c r="A163" s="16">
        <v>160</v>
      </c>
      <c r="B163" s="16">
        <v>21201</v>
      </c>
      <c r="C163" s="16" t="str">
        <f t="shared" si="8"/>
        <v>07</v>
      </c>
      <c r="D163" s="16" t="str">
        <f>"13"</f>
        <v>13</v>
      </c>
      <c r="E163" s="16" t="str">
        <f>"20212010713"</f>
        <v>20212010713</v>
      </c>
      <c r="F163" s="16" t="s">
        <v>168</v>
      </c>
      <c r="G163" s="23">
        <v>0</v>
      </c>
      <c r="H163" s="10">
        <v>0</v>
      </c>
      <c r="I163" s="10">
        <f t="shared" si="6"/>
        <v>0</v>
      </c>
      <c r="J163" s="21" t="s">
        <v>126</v>
      </c>
    </row>
    <row r="164" ht="14.25" spans="1:10">
      <c r="A164" s="16">
        <v>161</v>
      </c>
      <c r="B164" s="16">
        <v>21201</v>
      </c>
      <c r="C164" s="16" t="str">
        <f t="shared" si="8"/>
        <v>07</v>
      </c>
      <c r="D164" s="16" t="str">
        <f>"14"</f>
        <v>14</v>
      </c>
      <c r="E164" s="16" t="str">
        <f>"20212010714"</f>
        <v>20212010714</v>
      </c>
      <c r="F164" s="16" t="s">
        <v>169</v>
      </c>
      <c r="G164" s="23">
        <v>0</v>
      </c>
      <c r="H164" s="10">
        <v>0</v>
      </c>
      <c r="I164" s="10">
        <f t="shared" si="6"/>
        <v>0</v>
      </c>
      <c r="J164" s="21" t="s">
        <v>126</v>
      </c>
    </row>
    <row r="165" ht="14.25" spans="1:10">
      <c r="A165" s="16">
        <v>162</v>
      </c>
      <c r="B165" s="16">
        <v>21201</v>
      </c>
      <c r="C165" s="16" t="str">
        <f t="shared" si="8"/>
        <v>07</v>
      </c>
      <c r="D165" s="16" t="str">
        <f>"16"</f>
        <v>16</v>
      </c>
      <c r="E165" s="16" t="str">
        <f>"20212010716"</f>
        <v>20212010716</v>
      </c>
      <c r="F165" s="16" t="s">
        <v>170</v>
      </c>
      <c r="G165" s="23">
        <v>0</v>
      </c>
      <c r="H165" s="10">
        <v>0</v>
      </c>
      <c r="I165" s="10">
        <f t="shared" si="6"/>
        <v>0</v>
      </c>
      <c r="J165" s="21" t="s">
        <v>126</v>
      </c>
    </row>
    <row r="166" ht="14.25" spans="1:10">
      <c r="A166" s="16">
        <v>163</v>
      </c>
      <c r="B166" s="16">
        <v>21201</v>
      </c>
      <c r="C166" s="16" t="str">
        <f t="shared" si="8"/>
        <v>07</v>
      </c>
      <c r="D166" s="16" t="str">
        <f>"17"</f>
        <v>17</v>
      </c>
      <c r="E166" s="16" t="str">
        <f>"20212010717"</f>
        <v>20212010717</v>
      </c>
      <c r="F166" s="16" t="s">
        <v>171</v>
      </c>
      <c r="G166" s="23">
        <v>0</v>
      </c>
      <c r="H166" s="10">
        <v>0</v>
      </c>
      <c r="I166" s="10">
        <f t="shared" si="6"/>
        <v>0</v>
      </c>
      <c r="J166" s="21" t="s">
        <v>126</v>
      </c>
    </row>
    <row r="167" ht="14.25" spans="1:10">
      <c r="A167" s="16">
        <v>164</v>
      </c>
      <c r="B167" s="16">
        <v>21201</v>
      </c>
      <c r="C167" s="16" t="str">
        <f t="shared" si="8"/>
        <v>07</v>
      </c>
      <c r="D167" s="16" t="str">
        <f>"19"</f>
        <v>19</v>
      </c>
      <c r="E167" s="16" t="str">
        <f>"20212010719"</f>
        <v>20212010719</v>
      </c>
      <c r="F167" s="16" t="s">
        <v>172</v>
      </c>
      <c r="G167" s="23">
        <v>0</v>
      </c>
      <c r="H167" s="10">
        <v>0</v>
      </c>
      <c r="I167" s="10">
        <f t="shared" si="6"/>
        <v>0</v>
      </c>
      <c r="J167" s="21" t="s">
        <v>126</v>
      </c>
    </row>
    <row r="168" ht="14.25" spans="1:10">
      <c r="A168" s="16">
        <v>165</v>
      </c>
      <c r="B168" s="16">
        <v>21201</v>
      </c>
      <c r="C168" s="16" t="str">
        <f t="shared" si="8"/>
        <v>07</v>
      </c>
      <c r="D168" s="16" t="str">
        <f>"20"</f>
        <v>20</v>
      </c>
      <c r="E168" s="16" t="str">
        <f>"20212010720"</f>
        <v>20212010720</v>
      </c>
      <c r="F168" s="16" t="s">
        <v>173</v>
      </c>
      <c r="G168" s="23">
        <v>0</v>
      </c>
      <c r="H168" s="10">
        <v>0</v>
      </c>
      <c r="I168" s="10">
        <f t="shared" si="6"/>
        <v>0</v>
      </c>
      <c r="J168" s="21" t="s">
        <v>126</v>
      </c>
    </row>
    <row r="169" ht="14.25" spans="1:10">
      <c r="A169" s="16">
        <v>166</v>
      </c>
      <c r="B169" s="16">
        <v>21201</v>
      </c>
      <c r="C169" s="16" t="str">
        <f t="shared" si="8"/>
        <v>07</v>
      </c>
      <c r="D169" s="16" t="str">
        <f>"22"</f>
        <v>22</v>
      </c>
      <c r="E169" s="16" t="str">
        <f>"20212010722"</f>
        <v>20212010722</v>
      </c>
      <c r="F169" s="16" t="s">
        <v>174</v>
      </c>
      <c r="G169" s="23">
        <v>0</v>
      </c>
      <c r="H169" s="10">
        <v>0</v>
      </c>
      <c r="I169" s="10">
        <f t="shared" si="6"/>
        <v>0</v>
      </c>
      <c r="J169" s="21" t="s">
        <v>126</v>
      </c>
    </row>
    <row r="170" ht="14.25" spans="1:10">
      <c r="A170" s="16">
        <v>167</v>
      </c>
      <c r="B170" s="16">
        <v>21201</v>
      </c>
      <c r="C170" s="16" t="str">
        <f t="shared" si="8"/>
        <v>07</v>
      </c>
      <c r="D170" s="16" t="str">
        <f>"23"</f>
        <v>23</v>
      </c>
      <c r="E170" s="16" t="str">
        <f>"20212010723"</f>
        <v>20212010723</v>
      </c>
      <c r="F170" s="16" t="s">
        <v>175</v>
      </c>
      <c r="G170" s="23">
        <v>0</v>
      </c>
      <c r="H170" s="10">
        <v>0</v>
      </c>
      <c r="I170" s="10">
        <f t="shared" si="6"/>
        <v>0</v>
      </c>
      <c r="J170" s="19"/>
    </row>
    <row r="171" ht="14.25" spans="1:10">
      <c r="A171" s="16">
        <v>168</v>
      </c>
      <c r="B171" s="16">
        <v>21201</v>
      </c>
      <c r="C171" s="16" t="str">
        <f t="shared" si="8"/>
        <v>07</v>
      </c>
      <c r="D171" s="16" t="str">
        <f>"25"</f>
        <v>25</v>
      </c>
      <c r="E171" s="16" t="str">
        <f>"20212010725"</f>
        <v>20212010725</v>
      </c>
      <c r="F171" s="16" t="s">
        <v>176</v>
      </c>
      <c r="G171" s="23">
        <v>0</v>
      </c>
      <c r="H171" s="10">
        <v>0</v>
      </c>
      <c r="I171" s="10">
        <f t="shared" si="6"/>
        <v>0</v>
      </c>
      <c r="J171" s="21" t="s">
        <v>126</v>
      </c>
    </row>
    <row r="172" ht="14.25" spans="1:10">
      <c r="A172" s="16">
        <v>169</v>
      </c>
      <c r="B172" s="16">
        <v>21201</v>
      </c>
      <c r="C172" s="16" t="str">
        <f t="shared" si="8"/>
        <v>07</v>
      </c>
      <c r="D172" s="16" t="str">
        <f>"27"</f>
        <v>27</v>
      </c>
      <c r="E172" s="16" t="str">
        <f>"20212010727"</f>
        <v>20212010727</v>
      </c>
      <c r="F172" s="16" t="s">
        <v>177</v>
      </c>
      <c r="G172" s="23">
        <v>0</v>
      </c>
      <c r="H172" s="10">
        <v>0</v>
      </c>
      <c r="I172" s="10">
        <f t="shared" si="6"/>
        <v>0</v>
      </c>
      <c r="J172" s="21" t="s">
        <v>126</v>
      </c>
    </row>
    <row r="173" ht="14.25" spans="1:10">
      <c r="A173" s="16">
        <v>170</v>
      </c>
      <c r="B173" s="16">
        <v>21201</v>
      </c>
      <c r="C173" s="16" t="str">
        <f t="shared" si="8"/>
        <v>07</v>
      </c>
      <c r="D173" s="16" t="str">
        <f>"29"</f>
        <v>29</v>
      </c>
      <c r="E173" s="16" t="str">
        <f>"20212010729"</f>
        <v>20212010729</v>
      </c>
      <c r="F173" s="16" t="s">
        <v>178</v>
      </c>
      <c r="G173" s="23">
        <v>0</v>
      </c>
      <c r="H173" s="10">
        <v>0</v>
      </c>
      <c r="I173" s="10">
        <f t="shared" si="6"/>
        <v>0</v>
      </c>
      <c r="J173" s="21" t="s">
        <v>126</v>
      </c>
    </row>
    <row r="174" ht="14.25" spans="1:10">
      <c r="A174" s="16">
        <v>171</v>
      </c>
      <c r="B174" s="16">
        <v>21201</v>
      </c>
      <c r="C174" s="16" t="str">
        <f t="shared" si="8"/>
        <v>07</v>
      </c>
      <c r="D174" s="16" t="str">
        <f>"30"</f>
        <v>30</v>
      </c>
      <c r="E174" s="16" t="str">
        <f>"20212010730"</f>
        <v>20212010730</v>
      </c>
      <c r="F174" s="16" t="s">
        <v>179</v>
      </c>
      <c r="G174" s="23">
        <v>0</v>
      </c>
      <c r="H174" s="10">
        <v>0</v>
      </c>
      <c r="I174" s="10">
        <f t="shared" si="6"/>
        <v>0</v>
      </c>
      <c r="J174" s="21" t="s">
        <v>126</v>
      </c>
    </row>
    <row r="175" ht="14.25" spans="1:10">
      <c r="A175" s="16">
        <v>172</v>
      </c>
      <c r="B175" s="16">
        <v>21201</v>
      </c>
      <c r="C175" s="16" t="str">
        <f t="shared" ref="C175:C189" si="9">"08"</f>
        <v>08</v>
      </c>
      <c r="D175" s="16" t="str">
        <f>"02"</f>
        <v>02</v>
      </c>
      <c r="E175" s="16" t="str">
        <f>"20212010802"</f>
        <v>20212010802</v>
      </c>
      <c r="F175" s="16" t="s">
        <v>180</v>
      </c>
      <c r="G175" s="23">
        <v>0</v>
      </c>
      <c r="H175" s="10">
        <v>0</v>
      </c>
      <c r="I175" s="10">
        <f t="shared" si="6"/>
        <v>0</v>
      </c>
      <c r="J175" s="21" t="s">
        <v>126</v>
      </c>
    </row>
    <row r="176" ht="14.25" spans="1:10">
      <c r="A176" s="16">
        <v>173</v>
      </c>
      <c r="B176" s="16">
        <v>21201</v>
      </c>
      <c r="C176" s="16" t="str">
        <f t="shared" si="9"/>
        <v>08</v>
      </c>
      <c r="D176" s="16" t="str">
        <f>"04"</f>
        <v>04</v>
      </c>
      <c r="E176" s="16" t="str">
        <f>"20212010804"</f>
        <v>20212010804</v>
      </c>
      <c r="F176" s="16" t="s">
        <v>181</v>
      </c>
      <c r="G176" s="23">
        <v>0</v>
      </c>
      <c r="H176" s="10">
        <v>0</v>
      </c>
      <c r="I176" s="10">
        <f t="shared" si="6"/>
        <v>0</v>
      </c>
      <c r="J176" s="21" t="s">
        <v>126</v>
      </c>
    </row>
    <row r="177" ht="14.25" spans="1:10">
      <c r="A177" s="16">
        <v>174</v>
      </c>
      <c r="B177" s="16">
        <v>21201</v>
      </c>
      <c r="C177" s="16" t="str">
        <f t="shared" si="9"/>
        <v>08</v>
      </c>
      <c r="D177" s="16" t="str">
        <f>"07"</f>
        <v>07</v>
      </c>
      <c r="E177" s="16" t="str">
        <f>"20212010807"</f>
        <v>20212010807</v>
      </c>
      <c r="F177" s="16" t="s">
        <v>182</v>
      </c>
      <c r="G177" s="23">
        <v>0</v>
      </c>
      <c r="H177" s="10">
        <v>0</v>
      </c>
      <c r="I177" s="10">
        <f t="shared" si="6"/>
        <v>0</v>
      </c>
      <c r="J177" s="21" t="s">
        <v>126</v>
      </c>
    </row>
    <row r="178" ht="14.25" spans="1:10">
      <c r="A178" s="16">
        <v>175</v>
      </c>
      <c r="B178" s="16">
        <v>21201</v>
      </c>
      <c r="C178" s="16" t="str">
        <f t="shared" si="9"/>
        <v>08</v>
      </c>
      <c r="D178" s="16" t="str">
        <f>"08"</f>
        <v>08</v>
      </c>
      <c r="E178" s="16" t="str">
        <f>"20212010808"</f>
        <v>20212010808</v>
      </c>
      <c r="F178" s="16" t="s">
        <v>183</v>
      </c>
      <c r="G178" s="23">
        <v>0</v>
      </c>
      <c r="H178" s="10">
        <v>0</v>
      </c>
      <c r="I178" s="10">
        <f t="shared" si="6"/>
        <v>0</v>
      </c>
      <c r="J178" s="21" t="s">
        <v>126</v>
      </c>
    </row>
    <row r="179" ht="14.25" spans="1:10">
      <c r="A179" s="16">
        <v>176</v>
      </c>
      <c r="B179" s="16">
        <v>21201</v>
      </c>
      <c r="C179" s="16" t="str">
        <f t="shared" si="9"/>
        <v>08</v>
      </c>
      <c r="D179" s="16" t="str">
        <f>"09"</f>
        <v>09</v>
      </c>
      <c r="E179" s="16" t="str">
        <f>"20212010809"</f>
        <v>20212010809</v>
      </c>
      <c r="F179" s="16" t="s">
        <v>184</v>
      </c>
      <c r="G179" s="23">
        <v>0</v>
      </c>
      <c r="H179" s="10">
        <v>0</v>
      </c>
      <c r="I179" s="10">
        <f t="shared" si="6"/>
        <v>0</v>
      </c>
      <c r="J179" s="21" t="s">
        <v>126</v>
      </c>
    </row>
    <row r="180" ht="14.25" spans="1:10">
      <c r="A180" s="16">
        <v>177</v>
      </c>
      <c r="B180" s="16">
        <v>21201</v>
      </c>
      <c r="C180" s="16" t="str">
        <f t="shared" si="9"/>
        <v>08</v>
      </c>
      <c r="D180" s="16" t="str">
        <f>"12"</f>
        <v>12</v>
      </c>
      <c r="E180" s="16" t="str">
        <f>"20212010812"</f>
        <v>20212010812</v>
      </c>
      <c r="F180" s="16" t="s">
        <v>185</v>
      </c>
      <c r="G180" s="23">
        <v>0</v>
      </c>
      <c r="H180" s="10">
        <v>0</v>
      </c>
      <c r="I180" s="10">
        <f t="shared" si="6"/>
        <v>0</v>
      </c>
      <c r="J180" s="21" t="s">
        <v>126</v>
      </c>
    </row>
    <row r="181" ht="14.25" spans="1:10">
      <c r="A181" s="16">
        <v>178</v>
      </c>
      <c r="B181" s="16">
        <v>21201</v>
      </c>
      <c r="C181" s="16" t="str">
        <f t="shared" si="9"/>
        <v>08</v>
      </c>
      <c r="D181" s="16" t="str">
        <f>"13"</f>
        <v>13</v>
      </c>
      <c r="E181" s="16" t="str">
        <f>"20212010813"</f>
        <v>20212010813</v>
      </c>
      <c r="F181" s="16" t="s">
        <v>186</v>
      </c>
      <c r="G181" s="23">
        <v>0</v>
      </c>
      <c r="H181" s="10">
        <v>0</v>
      </c>
      <c r="I181" s="10">
        <f t="shared" si="6"/>
        <v>0</v>
      </c>
      <c r="J181" s="21" t="s">
        <v>126</v>
      </c>
    </row>
    <row r="182" ht="14.25" spans="1:10">
      <c r="A182" s="16">
        <v>179</v>
      </c>
      <c r="B182" s="16">
        <v>21201</v>
      </c>
      <c r="C182" s="16" t="str">
        <f t="shared" si="9"/>
        <v>08</v>
      </c>
      <c r="D182" s="16" t="str">
        <f>"14"</f>
        <v>14</v>
      </c>
      <c r="E182" s="16" t="str">
        <f>"20212010814"</f>
        <v>20212010814</v>
      </c>
      <c r="F182" s="16" t="s">
        <v>187</v>
      </c>
      <c r="G182" s="23">
        <v>0</v>
      </c>
      <c r="H182" s="10">
        <v>0</v>
      </c>
      <c r="I182" s="10">
        <f t="shared" si="6"/>
        <v>0</v>
      </c>
      <c r="J182" s="21" t="s">
        <v>126</v>
      </c>
    </row>
    <row r="183" ht="14.25" spans="1:10">
      <c r="A183" s="16">
        <v>180</v>
      </c>
      <c r="B183" s="16">
        <v>21201</v>
      </c>
      <c r="C183" s="16" t="str">
        <f t="shared" si="9"/>
        <v>08</v>
      </c>
      <c r="D183" s="16" t="str">
        <f>"15"</f>
        <v>15</v>
      </c>
      <c r="E183" s="16" t="str">
        <f>"20212010815"</f>
        <v>20212010815</v>
      </c>
      <c r="F183" s="16" t="s">
        <v>188</v>
      </c>
      <c r="G183" s="23">
        <v>0</v>
      </c>
      <c r="H183" s="10">
        <v>0</v>
      </c>
      <c r="I183" s="10">
        <f t="shared" si="6"/>
        <v>0</v>
      </c>
      <c r="J183" s="21" t="s">
        <v>126</v>
      </c>
    </row>
    <row r="184" ht="14.25" spans="1:10">
      <c r="A184" s="16">
        <v>181</v>
      </c>
      <c r="B184" s="16">
        <v>21201</v>
      </c>
      <c r="C184" s="16" t="str">
        <f t="shared" si="9"/>
        <v>08</v>
      </c>
      <c r="D184" s="16" t="str">
        <f>"16"</f>
        <v>16</v>
      </c>
      <c r="E184" s="16" t="str">
        <f>"20212010816"</f>
        <v>20212010816</v>
      </c>
      <c r="F184" s="16" t="s">
        <v>189</v>
      </c>
      <c r="G184" s="23">
        <v>0</v>
      </c>
      <c r="H184" s="10">
        <v>0</v>
      </c>
      <c r="I184" s="10">
        <f t="shared" si="6"/>
        <v>0</v>
      </c>
      <c r="J184" s="21" t="s">
        <v>126</v>
      </c>
    </row>
    <row r="185" ht="14.25" spans="1:10">
      <c r="A185" s="16">
        <v>182</v>
      </c>
      <c r="B185" s="16">
        <v>21201</v>
      </c>
      <c r="C185" s="16" t="str">
        <f t="shared" si="9"/>
        <v>08</v>
      </c>
      <c r="D185" s="16" t="str">
        <f>"17"</f>
        <v>17</v>
      </c>
      <c r="E185" s="16" t="str">
        <f>"20212010817"</f>
        <v>20212010817</v>
      </c>
      <c r="F185" s="16" t="s">
        <v>190</v>
      </c>
      <c r="G185" s="23">
        <v>0</v>
      </c>
      <c r="H185" s="10">
        <v>0</v>
      </c>
      <c r="I185" s="10">
        <f t="shared" si="6"/>
        <v>0</v>
      </c>
      <c r="J185" s="21" t="s">
        <v>126</v>
      </c>
    </row>
    <row r="186" ht="14.25" spans="1:10">
      <c r="A186" s="16">
        <v>183</v>
      </c>
      <c r="B186" s="16">
        <v>21201</v>
      </c>
      <c r="C186" s="16" t="str">
        <f t="shared" si="9"/>
        <v>08</v>
      </c>
      <c r="D186" s="16" t="str">
        <f>"21"</f>
        <v>21</v>
      </c>
      <c r="E186" s="16" t="str">
        <f>"20212010821"</f>
        <v>20212010821</v>
      </c>
      <c r="F186" s="16" t="s">
        <v>191</v>
      </c>
      <c r="G186" s="23">
        <v>0</v>
      </c>
      <c r="H186" s="10">
        <v>0</v>
      </c>
      <c r="I186" s="10">
        <f t="shared" si="6"/>
        <v>0</v>
      </c>
      <c r="J186" s="21" t="s">
        <v>126</v>
      </c>
    </row>
    <row r="187" ht="14.25" spans="1:10">
      <c r="A187" s="16">
        <v>184</v>
      </c>
      <c r="B187" s="16">
        <v>21201</v>
      </c>
      <c r="C187" s="16" t="str">
        <f t="shared" si="9"/>
        <v>08</v>
      </c>
      <c r="D187" s="16" t="str">
        <f>"23"</f>
        <v>23</v>
      </c>
      <c r="E187" s="16" t="str">
        <f>"20212010823"</f>
        <v>20212010823</v>
      </c>
      <c r="F187" s="16" t="s">
        <v>192</v>
      </c>
      <c r="G187" s="23">
        <v>0</v>
      </c>
      <c r="H187" s="10">
        <v>0</v>
      </c>
      <c r="I187" s="10">
        <f t="shared" si="6"/>
        <v>0</v>
      </c>
      <c r="J187" s="21" t="s">
        <v>126</v>
      </c>
    </row>
    <row r="188" ht="14.25" spans="1:10">
      <c r="A188" s="16">
        <v>185</v>
      </c>
      <c r="B188" s="16">
        <v>21201</v>
      </c>
      <c r="C188" s="16" t="str">
        <f t="shared" si="9"/>
        <v>08</v>
      </c>
      <c r="D188" s="16" t="str">
        <f>"29"</f>
        <v>29</v>
      </c>
      <c r="E188" s="16" t="str">
        <f>"20212010829"</f>
        <v>20212010829</v>
      </c>
      <c r="F188" s="16" t="s">
        <v>193</v>
      </c>
      <c r="G188" s="23">
        <v>0</v>
      </c>
      <c r="H188" s="10">
        <v>0</v>
      </c>
      <c r="I188" s="10">
        <f t="shared" si="6"/>
        <v>0</v>
      </c>
      <c r="J188" s="21" t="s">
        <v>126</v>
      </c>
    </row>
    <row r="189" ht="14.25" spans="1:10">
      <c r="A189" s="16">
        <v>186</v>
      </c>
      <c r="B189" s="16">
        <v>21201</v>
      </c>
      <c r="C189" s="16" t="str">
        <f t="shared" si="9"/>
        <v>08</v>
      </c>
      <c r="D189" s="16" t="str">
        <f>"30"</f>
        <v>30</v>
      </c>
      <c r="E189" s="16" t="str">
        <f>"20212010830"</f>
        <v>20212010830</v>
      </c>
      <c r="F189" s="16" t="s">
        <v>194</v>
      </c>
      <c r="G189" s="23">
        <v>0</v>
      </c>
      <c r="H189" s="10">
        <v>0</v>
      </c>
      <c r="I189" s="10">
        <f t="shared" si="6"/>
        <v>0</v>
      </c>
      <c r="J189" s="21" t="s">
        <v>126</v>
      </c>
    </row>
    <row r="190" ht="14.25" spans="1:10">
      <c r="A190" s="16">
        <v>187</v>
      </c>
      <c r="B190" s="16">
        <v>21201</v>
      </c>
      <c r="C190" s="16" t="str">
        <f>"09"</f>
        <v>09</v>
      </c>
      <c r="D190" s="16" t="str">
        <f>"02"</f>
        <v>02</v>
      </c>
      <c r="E190" s="16" t="str">
        <f>"20212010902"</f>
        <v>20212010902</v>
      </c>
      <c r="F190" s="16" t="s">
        <v>195</v>
      </c>
      <c r="G190" s="23">
        <v>0</v>
      </c>
      <c r="H190" s="10">
        <v>0</v>
      </c>
      <c r="I190" s="10">
        <f t="shared" si="6"/>
        <v>0</v>
      </c>
      <c r="J190" s="21" t="s">
        <v>126</v>
      </c>
    </row>
    <row r="191" ht="14.25" spans="1:10">
      <c r="A191" s="16">
        <v>188</v>
      </c>
      <c r="B191" s="16">
        <v>21201</v>
      </c>
      <c r="C191" s="16" t="str">
        <f>"09"</f>
        <v>09</v>
      </c>
      <c r="D191" s="16" t="str">
        <f>"04"</f>
        <v>04</v>
      </c>
      <c r="E191" s="16" t="str">
        <f>"20212010904"</f>
        <v>20212010904</v>
      </c>
      <c r="F191" s="16" t="s">
        <v>196</v>
      </c>
      <c r="G191" s="23">
        <v>0</v>
      </c>
      <c r="H191" s="10">
        <v>0</v>
      </c>
      <c r="I191" s="10">
        <f t="shared" si="6"/>
        <v>0</v>
      </c>
      <c r="J191" s="21" t="s">
        <v>126</v>
      </c>
    </row>
    <row r="192" ht="14.25" spans="1:10">
      <c r="A192" s="16">
        <v>189</v>
      </c>
      <c r="B192" s="16">
        <v>21201</v>
      </c>
      <c r="C192" s="16" t="str">
        <f>"09"</f>
        <v>09</v>
      </c>
      <c r="D192" s="16" t="str">
        <f>"05"</f>
        <v>05</v>
      </c>
      <c r="E192" s="16" t="str">
        <f>"20212010905"</f>
        <v>20212010905</v>
      </c>
      <c r="F192" s="16" t="s">
        <v>197</v>
      </c>
      <c r="G192" s="23">
        <v>0</v>
      </c>
      <c r="H192" s="10">
        <v>0</v>
      </c>
      <c r="I192" s="10">
        <f t="shared" si="6"/>
        <v>0</v>
      </c>
      <c r="J192" s="21" t="s">
        <v>126</v>
      </c>
    </row>
    <row r="193" ht="14.25" spans="1:10">
      <c r="A193" s="16">
        <v>190</v>
      </c>
      <c r="B193" s="16">
        <v>21201</v>
      </c>
      <c r="C193" s="16" t="str">
        <f>"09"</f>
        <v>09</v>
      </c>
      <c r="D193" s="16" t="str">
        <f>"08"</f>
        <v>08</v>
      </c>
      <c r="E193" s="16" t="str">
        <f>"20212010908"</f>
        <v>20212010908</v>
      </c>
      <c r="F193" s="16" t="s">
        <v>198</v>
      </c>
      <c r="G193" s="23">
        <v>0</v>
      </c>
      <c r="H193" s="10">
        <v>0</v>
      </c>
      <c r="I193" s="10">
        <f t="shared" si="6"/>
        <v>0</v>
      </c>
      <c r="J193" s="21" t="s">
        <v>126</v>
      </c>
    </row>
    <row r="194" ht="14.25" spans="1:10">
      <c r="A194" s="16">
        <v>191</v>
      </c>
      <c r="B194" s="16">
        <v>21201</v>
      </c>
      <c r="C194" s="16" t="str">
        <f>"09"</f>
        <v>09</v>
      </c>
      <c r="D194" s="16" t="str">
        <f>"10"</f>
        <v>10</v>
      </c>
      <c r="E194" s="16" t="str">
        <f>"20212010910"</f>
        <v>20212010910</v>
      </c>
      <c r="F194" s="16" t="s">
        <v>199</v>
      </c>
      <c r="G194" s="23">
        <v>0</v>
      </c>
      <c r="H194" s="10">
        <v>0</v>
      </c>
      <c r="I194" s="10">
        <f t="shared" si="6"/>
        <v>0</v>
      </c>
      <c r="J194" s="21" t="s">
        <v>126</v>
      </c>
    </row>
  </sheetData>
  <sheetProtection formatCells="0" formatColumns="0" formatRows="0" insertRows="0" insertColumns="0" insertHyperlinks="0" deleteColumns="0" deleteRows="0" sort="0" autoFilter="0" pivotTables="0"/>
  <autoFilter ref="A1:J194">
    <extLst/>
  </autoFilter>
  <sortState ref="B3:J193">
    <sortCondition ref="I3:I193" descending="1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7"/>
  <sheetViews>
    <sheetView topLeftCell="A10" workbookViewId="0">
      <selection activeCell="N22" sqref="N22"/>
    </sheetView>
  </sheetViews>
  <sheetFormatPr defaultColWidth="9" defaultRowHeight="13.5"/>
  <cols>
    <col min="5" max="5" width="11.5" customWidth="1"/>
    <col min="7" max="7" width="13.375" customWidth="1"/>
    <col min="8" max="9" width="15.625" customWidth="1"/>
  </cols>
  <sheetData>
    <row r="1" ht="30" customHeight="1" spans="1:10">
      <c r="A1" s="15" t="s">
        <v>200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/>
      <c r="J2" s="6" t="s">
        <v>9</v>
      </c>
    </row>
    <row r="3" ht="14.25" spans="1:10">
      <c r="A3" s="16">
        <v>1</v>
      </c>
      <c r="B3" s="16">
        <v>21209</v>
      </c>
      <c r="C3" s="16" t="str">
        <f>"09"</f>
        <v>09</v>
      </c>
      <c r="D3" s="16" t="str">
        <f>"27"</f>
        <v>27</v>
      </c>
      <c r="E3" s="16" t="str">
        <f>"20212090927"</f>
        <v>20212090927</v>
      </c>
      <c r="F3" s="16" t="s">
        <v>201</v>
      </c>
      <c r="G3" s="16">
        <v>88</v>
      </c>
      <c r="H3" s="10">
        <v>79.8</v>
      </c>
      <c r="I3" s="10">
        <f>G3*0.7+H3*0.3</f>
        <v>85.54</v>
      </c>
      <c r="J3" s="19"/>
    </row>
    <row r="4" ht="14.25" spans="1:10">
      <c r="A4" s="16">
        <v>2</v>
      </c>
      <c r="B4" s="16">
        <v>21209</v>
      </c>
      <c r="C4" s="16" t="str">
        <f>"09"</f>
        <v>09</v>
      </c>
      <c r="D4" s="16" t="str">
        <f>"21"</f>
        <v>21</v>
      </c>
      <c r="E4" s="16" t="str">
        <f>"20212090921"</f>
        <v>20212090921</v>
      </c>
      <c r="F4" s="16" t="s">
        <v>202</v>
      </c>
      <c r="G4" s="16">
        <v>80</v>
      </c>
      <c r="H4" s="10">
        <v>66.9</v>
      </c>
      <c r="I4" s="10">
        <f>G4*0.7+H4*0.3</f>
        <v>76.07</v>
      </c>
      <c r="J4" s="19"/>
    </row>
    <row r="5" ht="14.25" spans="1:10">
      <c r="A5" s="16">
        <v>3</v>
      </c>
      <c r="B5" s="16">
        <v>21209</v>
      </c>
      <c r="C5" s="16" t="str">
        <f>"09"</f>
        <v>09</v>
      </c>
      <c r="D5" s="16" t="str">
        <f>"23"</f>
        <v>23</v>
      </c>
      <c r="E5" s="16" t="str">
        <f>"20212090923"</f>
        <v>20212090923</v>
      </c>
      <c r="F5" s="16" t="s">
        <v>203</v>
      </c>
      <c r="G5" s="16">
        <v>81</v>
      </c>
      <c r="H5" s="10">
        <v>59.2</v>
      </c>
      <c r="I5" s="10">
        <f>G5*0.7+H5*0.3</f>
        <v>74.46</v>
      </c>
      <c r="J5" s="19"/>
    </row>
    <row r="6" ht="14.25" spans="1:10">
      <c r="A6" s="16"/>
      <c r="B6" s="16"/>
      <c r="C6" s="16"/>
      <c r="D6" s="16"/>
      <c r="E6" s="16"/>
      <c r="F6" s="16"/>
      <c r="G6" s="16"/>
      <c r="H6" s="10"/>
      <c r="I6" s="10"/>
      <c r="J6" s="19"/>
    </row>
    <row r="7" ht="14.25" spans="1:10">
      <c r="A7" s="16">
        <v>4</v>
      </c>
      <c r="B7" s="16">
        <v>21209</v>
      </c>
      <c r="C7" s="16" t="str">
        <f t="shared" ref="C7:C13" si="0">"09"</f>
        <v>09</v>
      </c>
      <c r="D7" s="16" t="str">
        <f>"25"</f>
        <v>25</v>
      </c>
      <c r="E7" s="16" t="str">
        <f>"20212090925"</f>
        <v>20212090925</v>
      </c>
      <c r="F7" s="16" t="s">
        <v>204</v>
      </c>
      <c r="G7" s="16">
        <v>69</v>
      </c>
      <c r="H7" s="10">
        <v>75.8</v>
      </c>
      <c r="I7" s="10">
        <f t="shared" ref="I7:I13" si="1">G7*0.7+H7*0.3</f>
        <v>71.04</v>
      </c>
      <c r="J7" s="19"/>
    </row>
    <row r="8" ht="14.25" spans="1:10">
      <c r="A8" s="16">
        <v>5</v>
      </c>
      <c r="B8" s="16">
        <v>21209</v>
      </c>
      <c r="C8" s="16" t="str">
        <f t="shared" si="0"/>
        <v>09</v>
      </c>
      <c r="D8" s="16" t="str">
        <f>"30"</f>
        <v>30</v>
      </c>
      <c r="E8" s="16" t="str">
        <f>"20212090930"</f>
        <v>20212090930</v>
      </c>
      <c r="F8" s="16" t="s">
        <v>205</v>
      </c>
      <c r="G8" s="16">
        <v>68</v>
      </c>
      <c r="H8" s="10">
        <v>77.3</v>
      </c>
      <c r="I8" s="10">
        <f t="shared" si="1"/>
        <v>70.79</v>
      </c>
      <c r="J8" s="19"/>
    </row>
    <row r="9" ht="14.25" spans="1:10">
      <c r="A9" s="16">
        <v>6</v>
      </c>
      <c r="B9" s="16">
        <v>21209</v>
      </c>
      <c r="C9" s="16" t="str">
        <f t="shared" si="0"/>
        <v>09</v>
      </c>
      <c r="D9" s="16" t="str">
        <f>"22"</f>
        <v>22</v>
      </c>
      <c r="E9" s="16" t="str">
        <f>"20212090922"</f>
        <v>20212090922</v>
      </c>
      <c r="F9" s="16" t="s">
        <v>206</v>
      </c>
      <c r="G9" s="16">
        <v>54</v>
      </c>
      <c r="H9" s="10">
        <v>63.1</v>
      </c>
      <c r="I9" s="10">
        <f t="shared" si="1"/>
        <v>56.73</v>
      </c>
      <c r="J9" s="19"/>
    </row>
    <row r="10" ht="14.25" spans="1:10">
      <c r="A10" s="16">
        <v>7</v>
      </c>
      <c r="B10" s="16">
        <v>21209</v>
      </c>
      <c r="C10" s="16" t="str">
        <f t="shared" si="0"/>
        <v>09</v>
      </c>
      <c r="D10" s="16" t="str">
        <f>"24"</f>
        <v>24</v>
      </c>
      <c r="E10" s="16" t="str">
        <f>"20212090924"</f>
        <v>20212090924</v>
      </c>
      <c r="F10" s="16" t="s">
        <v>207</v>
      </c>
      <c r="G10" s="16">
        <v>57</v>
      </c>
      <c r="H10" s="10">
        <v>55.4</v>
      </c>
      <c r="I10" s="10">
        <f t="shared" si="1"/>
        <v>56.52</v>
      </c>
      <c r="J10" s="19"/>
    </row>
    <row r="11" ht="14.25" spans="1:10">
      <c r="A11" s="16">
        <v>8</v>
      </c>
      <c r="B11" s="16">
        <v>21209</v>
      </c>
      <c r="C11" s="16" t="str">
        <f t="shared" si="0"/>
        <v>09</v>
      </c>
      <c r="D11" s="16" t="str">
        <f>"26"</f>
        <v>26</v>
      </c>
      <c r="E11" s="16" t="str">
        <f>"20212090926"</f>
        <v>20212090926</v>
      </c>
      <c r="F11" s="16" t="s">
        <v>208</v>
      </c>
      <c r="G11" s="16">
        <v>38</v>
      </c>
      <c r="H11" s="10">
        <v>17.5</v>
      </c>
      <c r="I11" s="10">
        <f t="shared" si="1"/>
        <v>31.85</v>
      </c>
      <c r="J11" s="19"/>
    </row>
    <row r="12" ht="14.25" spans="1:10">
      <c r="A12" s="16">
        <v>9</v>
      </c>
      <c r="B12" s="16">
        <v>21209</v>
      </c>
      <c r="C12" s="16" t="str">
        <f t="shared" si="0"/>
        <v>09</v>
      </c>
      <c r="D12" s="16" t="str">
        <f>"28"</f>
        <v>28</v>
      </c>
      <c r="E12" s="16" t="str">
        <f>"20212090928"</f>
        <v>20212090928</v>
      </c>
      <c r="F12" s="16" t="s">
        <v>209</v>
      </c>
      <c r="G12" s="16">
        <v>0</v>
      </c>
      <c r="H12" s="10">
        <v>0</v>
      </c>
      <c r="I12" s="10">
        <f t="shared" si="1"/>
        <v>0</v>
      </c>
      <c r="J12" s="21" t="s">
        <v>126</v>
      </c>
    </row>
    <row r="13" ht="14.25" spans="1:10">
      <c r="A13" s="16">
        <v>10</v>
      </c>
      <c r="B13" s="16">
        <v>21209</v>
      </c>
      <c r="C13" s="16" t="str">
        <f t="shared" si="0"/>
        <v>09</v>
      </c>
      <c r="D13" s="16" t="str">
        <f>"29"</f>
        <v>29</v>
      </c>
      <c r="E13" s="16" t="str">
        <f>"20212090929"</f>
        <v>20212090929</v>
      </c>
      <c r="F13" s="16" t="s">
        <v>210</v>
      </c>
      <c r="G13" s="16">
        <v>0</v>
      </c>
      <c r="H13" s="10">
        <v>0</v>
      </c>
      <c r="I13" s="10">
        <f t="shared" si="1"/>
        <v>0</v>
      </c>
      <c r="J13" s="21" t="s">
        <v>126</v>
      </c>
    </row>
    <row r="14" ht="14.25" spans="1:10">
      <c r="A14" s="16"/>
      <c r="B14" s="16"/>
      <c r="C14" s="16"/>
      <c r="D14" s="16"/>
      <c r="E14" s="16"/>
      <c r="F14" s="16"/>
      <c r="G14" s="16"/>
      <c r="H14" s="10"/>
      <c r="I14" s="10"/>
      <c r="J14" s="21"/>
    </row>
    <row r="15" ht="14.25" spans="1:10">
      <c r="A15" s="16"/>
      <c r="B15" s="16"/>
      <c r="C15" s="16"/>
      <c r="D15" s="16"/>
      <c r="E15" s="16"/>
      <c r="F15" s="16"/>
      <c r="G15" s="16"/>
      <c r="H15" s="10"/>
      <c r="I15" s="10"/>
      <c r="J15" s="21"/>
    </row>
    <row r="16" ht="14.25" spans="1:10">
      <c r="A16" s="16">
        <v>11</v>
      </c>
      <c r="B16" s="16">
        <v>21203</v>
      </c>
      <c r="C16" s="16" t="str">
        <f>"11"</f>
        <v>11</v>
      </c>
      <c r="D16" s="16" t="str">
        <f>"26"</f>
        <v>26</v>
      </c>
      <c r="E16" s="16" t="str">
        <f>"20212031126"</f>
        <v>20212031126</v>
      </c>
      <c r="F16" s="16" t="s">
        <v>211</v>
      </c>
      <c r="G16" s="16">
        <v>84</v>
      </c>
      <c r="H16" s="10">
        <v>81.1</v>
      </c>
      <c r="I16" s="10">
        <f t="shared" ref="I16:I21" si="2">G16*0.7+H16*0.3</f>
        <v>83.13</v>
      </c>
      <c r="J16" s="19">
        <v>1</v>
      </c>
    </row>
    <row r="17" ht="14.25" spans="1:10">
      <c r="A17" s="16">
        <v>12</v>
      </c>
      <c r="B17" s="16">
        <v>21203</v>
      </c>
      <c r="C17" s="16" t="str">
        <f>"10"</f>
        <v>10</v>
      </c>
      <c r="D17" s="16" t="str">
        <f>"29"</f>
        <v>29</v>
      </c>
      <c r="E17" s="16" t="str">
        <f>"20212031029"</f>
        <v>20212031029</v>
      </c>
      <c r="F17" s="16" t="s">
        <v>212</v>
      </c>
      <c r="G17" s="16">
        <v>82</v>
      </c>
      <c r="H17" s="10">
        <v>85.7</v>
      </c>
      <c r="I17" s="10">
        <f t="shared" si="2"/>
        <v>83.11</v>
      </c>
      <c r="J17" s="19">
        <v>2</v>
      </c>
    </row>
    <row r="18" ht="14.25" spans="1:10">
      <c r="A18" s="16">
        <v>13</v>
      </c>
      <c r="B18" s="16">
        <v>21203</v>
      </c>
      <c r="C18" s="16" t="str">
        <f>"12"</f>
        <v>12</v>
      </c>
      <c r="D18" s="16" t="str">
        <f>"11"</f>
        <v>11</v>
      </c>
      <c r="E18" s="16" t="str">
        <f>"20212031211"</f>
        <v>20212031211</v>
      </c>
      <c r="F18" s="16" t="s">
        <v>213</v>
      </c>
      <c r="G18" s="16">
        <v>83</v>
      </c>
      <c r="H18" s="10">
        <v>73.7</v>
      </c>
      <c r="I18" s="10">
        <f t="shared" si="2"/>
        <v>80.21</v>
      </c>
      <c r="J18" s="19">
        <v>3</v>
      </c>
    </row>
    <row r="19" ht="14.25" spans="1:10">
      <c r="A19" s="16">
        <v>14</v>
      </c>
      <c r="B19" s="16">
        <v>21203</v>
      </c>
      <c r="C19" s="16" t="str">
        <f>"10"</f>
        <v>10</v>
      </c>
      <c r="D19" s="16" t="str">
        <f>"01"</f>
        <v>01</v>
      </c>
      <c r="E19" s="16" t="str">
        <f>"20212031001"</f>
        <v>20212031001</v>
      </c>
      <c r="F19" s="16" t="s">
        <v>214</v>
      </c>
      <c r="G19" s="16">
        <v>78</v>
      </c>
      <c r="H19" s="10">
        <v>79.1</v>
      </c>
      <c r="I19" s="10">
        <f t="shared" si="2"/>
        <v>78.33</v>
      </c>
      <c r="J19" s="19">
        <v>4</v>
      </c>
    </row>
    <row r="20" ht="14.25" spans="1:10">
      <c r="A20" s="16">
        <v>15</v>
      </c>
      <c r="B20" s="16">
        <v>21203</v>
      </c>
      <c r="C20" s="16" t="str">
        <f>"12"</f>
        <v>12</v>
      </c>
      <c r="D20" s="16" t="str">
        <f>"24"</f>
        <v>24</v>
      </c>
      <c r="E20" s="16" t="str">
        <f>"20212031224"</f>
        <v>20212031224</v>
      </c>
      <c r="F20" s="16" t="s">
        <v>215</v>
      </c>
      <c r="G20" s="16">
        <v>78</v>
      </c>
      <c r="H20" s="10">
        <v>75.9</v>
      </c>
      <c r="I20" s="10">
        <f t="shared" si="2"/>
        <v>77.37</v>
      </c>
      <c r="J20" s="19">
        <v>5</v>
      </c>
    </row>
    <row r="21" ht="14.25" spans="1:10">
      <c r="A21" s="16">
        <v>16</v>
      </c>
      <c r="B21" s="16">
        <v>21203</v>
      </c>
      <c r="C21" s="16" t="str">
        <f>"12"</f>
        <v>12</v>
      </c>
      <c r="D21" s="16" t="str">
        <f>"19"</f>
        <v>19</v>
      </c>
      <c r="E21" s="16" t="str">
        <f>"20212031219"</f>
        <v>20212031219</v>
      </c>
      <c r="F21" s="16" t="s">
        <v>216</v>
      </c>
      <c r="G21" s="16">
        <v>79</v>
      </c>
      <c r="H21" s="10">
        <v>70.7</v>
      </c>
      <c r="I21" s="10">
        <f t="shared" si="2"/>
        <v>76.51</v>
      </c>
      <c r="J21" s="19">
        <v>6</v>
      </c>
    </row>
    <row r="22" ht="14.25" spans="1:10">
      <c r="A22" s="16"/>
      <c r="B22" s="16"/>
      <c r="C22" s="16"/>
      <c r="D22" s="16"/>
      <c r="E22" s="16"/>
      <c r="F22" s="16"/>
      <c r="G22" s="16"/>
      <c r="H22" s="10"/>
      <c r="I22" s="10"/>
      <c r="J22" s="19"/>
    </row>
    <row r="23" ht="14.25" spans="1:10">
      <c r="A23" s="16">
        <v>17</v>
      </c>
      <c r="B23" s="16">
        <v>21203</v>
      </c>
      <c r="C23" s="16" t="str">
        <f>"10"</f>
        <v>10</v>
      </c>
      <c r="D23" s="16" t="str">
        <f>"23"</f>
        <v>23</v>
      </c>
      <c r="E23" s="16" t="str">
        <f>"20212031023"</f>
        <v>20212031023</v>
      </c>
      <c r="F23" s="16" t="s">
        <v>217</v>
      </c>
      <c r="G23" s="16">
        <v>78</v>
      </c>
      <c r="H23" s="10">
        <v>71.9</v>
      </c>
      <c r="I23" s="10">
        <f t="shared" ref="I23:I86" si="3">G23*0.7+H23*0.3</f>
        <v>76.17</v>
      </c>
      <c r="J23" s="19"/>
    </row>
    <row r="24" ht="14.25" spans="1:10">
      <c r="A24" s="16">
        <v>18</v>
      </c>
      <c r="B24" s="16">
        <v>21203</v>
      </c>
      <c r="C24" s="16" t="str">
        <f>"11"</f>
        <v>11</v>
      </c>
      <c r="D24" s="16" t="str">
        <f>"13"</f>
        <v>13</v>
      </c>
      <c r="E24" s="16" t="str">
        <f>"20212031113"</f>
        <v>20212031113</v>
      </c>
      <c r="F24" s="16" t="s">
        <v>218</v>
      </c>
      <c r="G24" s="16">
        <v>71</v>
      </c>
      <c r="H24" s="10">
        <v>85.9</v>
      </c>
      <c r="I24" s="10">
        <f t="shared" si="3"/>
        <v>75.47</v>
      </c>
      <c r="J24" s="19"/>
    </row>
    <row r="25" ht="14.25" spans="1:10">
      <c r="A25" s="16">
        <v>19</v>
      </c>
      <c r="B25" s="16">
        <v>21203</v>
      </c>
      <c r="C25" s="16" t="str">
        <f>"11"</f>
        <v>11</v>
      </c>
      <c r="D25" s="16" t="str">
        <f>"11"</f>
        <v>11</v>
      </c>
      <c r="E25" s="16" t="str">
        <f>"20212031111"</f>
        <v>20212031111</v>
      </c>
      <c r="F25" s="16" t="s">
        <v>219</v>
      </c>
      <c r="G25" s="16">
        <v>70</v>
      </c>
      <c r="H25" s="10">
        <v>84.6</v>
      </c>
      <c r="I25" s="10">
        <f t="shared" si="3"/>
        <v>74.38</v>
      </c>
      <c r="J25" s="19"/>
    </row>
    <row r="26" ht="14.25" spans="1:10">
      <c r="A26" s="16">
        <v>20</v>
      </c>
      <c r="B26" s="16">
        <v>21203</v>
      </c>
      <c r="C26" s="16" t="str">
        <f>"10"</f>
        <v>10</v>
      </c>
      <c r="D26" s="16" t="str">
        <f>"24"</f>
        <v>24</v>
      </c>
      <c r="E26" s="16" t="str">
        <f>"20212031024"</f>
        <v>20212031024</v>
      </c>
      <c r="F26" s="16" t="s">
        <v>220</v>
      </c>
      <c r="G26" s="16">
        <v>68</v>
      </c>
      <c r="H26" s="10">
        <v>86</v>
      </c>
      <c r="I26" s="10">
        <f t="shared" si="3"/>
        <v>73.4</v>
      </c>
      <c r="J26" s="19"/>
    </row>
    <row r="27" ht="14.25" spans="1:16">
      <c r="A27" s="16">
        <v>21</v>
      </c>
      <c r="B27" s="16">
        <v>21203</v>
      </c>
      <c r="C27" s="16" t="str">
        <f>"12"</f>
        <v>12</v>
      </c>
      <c r="D27" s="16" t="str">
        <f>"01"</f>
        <v>01</v>
      </c>
      <c r="E27" s="16" t="str">
        <f>"20212031201"</f>
        <v>20212031201</v>
      </c>
      <c r="F27" s="16" t="s">
        <v>221</v>
      </c>
      <c r="G27" s="16">
        <v>72</v>
      </c>
      <c r="H27" s="10">
        <v>75.3</v>
      </c>
      <c r="I27" s="10">
        <f t="shared" si="3"/>
        <v>72.99</v>
      </c>
      <c r="J27" s="19"/>
      <c r="P27" t="s">
        <v>222</v>
      </c>
    </row>
    <row r="28" ht="14.25" spans="1:10">
      <c r="A28" s="16">
        <v>22</v>
      </c>
      <c r="B28" s="16">
        <v>21203</v>
      </c>
      <c r="C28" s="16" t="str">
        <f>"12"</f>
        <v>12</v>
      </c>
      <c r="D28" s="16" t="str">
        <f>"29"</f>
        <v>29</v>
      </c>
      <c r="E28" s="16" t="str">
        <f>"20212031229"</f>
        <v>20212031229</v>
      </c>
      <c r="F28" s="16" t="s">
        <v>223</v>
      </c>
      <c r="G28" s="16">
        <v>68</v>
      </c>
      <c r="H28" s="10">
        <v>84</v>
      </c>
      <c r="I28" s="10">
        <f t="shared" si="3"/>
        <v>72.8</v>
      </c>
      <c r="J28" s="19"/>
    </row>
    <row r="29" ht="14.25" spans="1:10">
      <c r="A29" s="16">
        <v>23</v>
      </c>
      <c r="B29" s="16">
        <v>21203</v>
      </c>
      <c r="C29" s="16" t="str">
        <f>"12"</f>
        <v>12</v>
      </c>
      <c r="D29" s="16" t="str">
        <f>"07"</f>
        <v>07</v>
      </c>
      <c r="E29" s="16" t="str">
        <f>"20212031207"</f>
        <v>20212031207</v>
      </c>
      <c r="F29" s="16" t="s">
        <v>224</v>
      </c>
      <c r="G29" s="16">
        <v>77</v>
      </c>
      <c r="H29" s="10">
        <v>61.3</v>
      </c>
      <c r="I29" s="10">
        <f t="shared" si="3"/>
        <v>72.29</v>
      </c>
      <c r="J29" s="19"/>
    </row>
    <row r="30" ht="14.25" spans="1:10">
      <c r="A30" s="16">
        <v>24</v>
      </c>
      <c r="B30" s="16">
        <v>21203</v>
      </c>
      <c r="C30" s="16" t="str">
        <f>"11"</f>
        <v>11</v>
      </c>
      <c r="D30" s="16" t="str">
        <f>"16"</f>
        <v>16</v>
      </c>
      <c r="E30" s="16" t="str">
        <f>"20212031116"</f>
        <v>20212031116</v>
      </c>
      <c r="F30" s="16" t="s">
        <v>225</v>
      </c>
      <c r="G30" s="16">
        <v>71</v>
      </c>
      <c r="H30" s="10">
        <v>74.9</v>
      </c>
      <c r="I30" s="10">
        <f t="shared" si="3"/>
        <v>72.17</v>
      </c>
      <c r="J30" s="19"/>
    </row>
    <row r="31" ht="14.25" spans="1:10">
      <c r="A31" s="16">
        <v>25</v>
      </c>
      <c r="B31" s="16">
        <v>21203</v>
      </c>
      <c r="C31" s="16" t="str">
        <f>"12"</f>
        <v>12</v>
      </c>
      <c r="D31" s="16" t="str">
        <f>"04"</f>
        <v>04</v>
      </c>
      <c r="E31" s="16" t="str">
        <f>"20212031204"</f>
        <v>20212031204</v>
      </c>
      <c r="F31" s="16" t="s">
        <v>226</v>
      </c>
      <c r="G31" s="16">
        <v>73</v>
      </c>
      <c r="H31" s="10">
        <v>69.2</v>
      </c>
      <c r="I31" s="10">
        <f t="shared" si="3"/>
        <v>71.86</v>
      </c>
      <c r="J31" s="19"/>
    </row>
    <row r="32" ht="14.25" spans="1:10">
      <c r="A32" s="16">
        <v>26</v>
      </c>
      <c r="B32" s="16">
        <v>21203</v>
      </c>
      <c r="C32" s="16" t="str">
        <f>"11"</f>
        <v>11</v>
      </c>
      <c r="D32" s="16" t="str">
        <f>"09"</f>
        <v>09</v>
      </c>
      <c r="E32" s="16" t="str">
        <f>"20212031109"</f>
        <v>20212031109</v>
      </c>
      <c r="F32" s="16" t="s">
        <v>227</v>
      </c>
      <c r="G32" s="16">
        <v>68</v>
      </c>
      <c r="H32" s="10">
        <v>80</v>
      </c>
      <c r="I32" s="10">
        <f t="shared" si="3"/>
        <v>71.6</v>
      </c>
      <c r="J32" s="19"/>
    </row>
    <row r="33" ht="14.25" spans="1:10">
      <c r="A33" s="16">
        <v>27</v>
      </c>
      <c r="B33" s="16">
        <v>21203</v>
      </c>
      <c r="C33" s="16" t="str">
        <f>"11"</f>
        <v>11</v>
      </c>
      <c r="D33" s="16" t="str">
        <f>"08"</f>
        <v>08</v>
      </c>
      <c r="E33" s="16" t="str">
        <f>"20212031108"</f>
        <v>20212031108</v>
      </c>
      <c r="F33" s="16" t="s">
        <v>228</v>
      </c>
      <c r="G33" s="16">
        <v>70</v>
      </c>
      <c r="H33" s="10">
        <v>75</v>
      </c>
      <c r="I33" s="10">
        <f t="shared" si="3"/>
        <v>71.5</v>
      </c>
      <c r="J33" s="19"/>
    </row>
    <row r="34" ht="14.25" spans="1:10">
      <c r="A34" s="16">
        <v>28</v>
      </c>
      <c r="B34" s="16">
        <v>21203</v>
      </c>
      <c r="C34" s="16" t="str">
        <f>"11"</f>
        <v>11</v>
      </c>
      <c r="D34" s="16" t="str">
        <f>"25"</f>
        <v>25</v>
      </c>
      <c r="E34" s="16" t="str">
        <f>"20212031125"</f>
        <v>20212031125</v>
      </c>
      <c r="F34" s="16" t="s">
        <v>229</v>
      </c>
      <c r="G34" s="16">
        <v>66</v>
      </c>
      <c r="H34" s="10">
        <v>83</v>
      </c>
      <c r="I34" s="10">
        <f t="shared" si="3"/>
        <v>71.1</v>
      </c>
      <c r="J34" s="19"/>
    </row>
    <row r="35" ht="14.25" spans="1:10">
      <c r="A35" s="16">
        <v>29</v>
      </c>
      <c r="B35" s="16">
        <v>21203</v>
      </c>
      <c r="C35" s="16" t="str">
        <f>"12"</f>
        <v>12</v>
      </c>
      <c r="D35" s="16" t="str">
        <f>"10"</f>
        <v>10</v>
      </c>
      <c r="E35" s="16" t="str">
        <f>"20212031210"</f>
        <v>20212031210</v>
      </c>
      <c r="F35" s="16" t="s">
        <v>230</v>
      </c>
      <c r="G35" s="16">
        <v>71</v>
      </c>
      <c r="H35" s="10">
        <v>70</v>
      </c>
      <c r="I35" s="10">
        <f t="shared" si="3"/>
        <v>70.7</v>
      </c>
      <c r="J35" s="19"/>
    </row>
    <row r="36" ht="14.25" spans="1:10">
      <c r="A36" s="16">
        <v>30</v>
      </c>
      <c r="B36" s="16">
        <v>21203</v>
      </c>
      <c r="C36" s="16" t="str">
        <f>"11"</f>
        <v>11</v>
      </c>
      <c r="D36" s="16" t="str">
        <f>"07"</f>
        <v>07</v>
      </c>
      <c r="E36" s="16" t="str">
        <f>"20212031107"</f>
        <v>20212031107</v>
      </c>
      <c r="F36" s="16" t="s">
        <v>231</v>
      </c>
      <c r="G36" s="16">
        <v>67</v>
      </c>
      <c r="H36" s="10">
        <v>77.3</v>
      </c>
      <c r="I36" s="10">
        <f t="shared" si="3"/>
        <v>70.09</v>
      </c>
      <c r="J36" s="19"/>
    </row>
    <row r="37" ht="14.25" spans="1:10">
      <c r="A37" s="16">
        <v>31</v>
      </c>
      <c r="B37" s="16">
        <v>21203</v>
      </c>
      <c r="C37" s="16" t="str">
        <f>"11"</f>
        <v>11</v>
      </c>
      <c r="D37" s="16" t="str">
        <f>"30"</f>
        <v>30</v>
      </c>
      <c r="E37" s="16" t="str">
        <f>"20212031130"</f>
        <v>20212031130</v>
      </c>
      <c r="F37" s="16" t="s">
        <v>232</v>
      </c>
      <c r="G37" s="16">
        <v>73</v>
      </c>
      <c r="H37" s="10">
        <v>62.9</v>
      </c>
      <c r="I37" s="10">
        <f t="shared" si="3"/>
        <v>69.97</v>
      </c>
      <c r="J37" s="19"/>
    </row>
    <row r="38" ht="14.25" spans="1:10">
      <c r="A38" s="16">
        <v>32</v>
      </c>
      <c r="B38" s="16">
        <v>21203</v>
      </c>
      <c r="C38" s="16" t="str">
        <f>"10"</f>
        <v>10</v>
      </c>
      <c r="D38" s="16" t="str">
        <f>"18"</f>
        <v>18</v>
      </c>
      <c r="E38" s="16" t="str">
        <f>"20212031018"</f>
        <v>20212031018</v>
      </c>
      <c r="F38" s="16" t="s">
        <v>233</v>
      </c>
      <c r="G38" s="16">
        <v>65</v>
      </c>
      <c r="H38" s="10">
        <v>80.6</v>
      </c>
      <c r="I38" s="10">
        <f t="shared" si="3"/>
        <v>69.68</v>
      </c>
      <c r="J38" s="19"/>
    </row>
    <row r="39" ht="14.25" spans="1:10">
      <c r="A39" s="16">
        <v>33</v>
      </c>
      <c r="B39" s="16">
        <v>21203</v>
      </c>
      <c r="C39" s="16" t="str">
        <f>"12"</f>
        <v>12</v>
      </c>
      <c r="D39" s="16" t="str">
        <f>"18"</f>
        <v>18</v>
      </c>
      <c r="E39" s="16" t="str">
        <f>"20212031218"</f>
        <v>20212031218</v>
      </c>
      <c r="F39" s="16" t="s">
        <v>190</v>
      </c>
      <c r="G39" s="16">
        <v>73</v>
      </c>
      <c r="H39" s="10">
        <v>60.4</v>
      </c>
      <c r="I39" s="10">
        <f t="shared" si="3"/>
        <v>69.22</v>
      </c>
      <c r="J39" s="19"/>
    </row>
    <row r="40" ht="14.25" spans="1:10">
      <c r="A40" s="16">
        <v>34</v>
      </c>
      <c r="B40" s="16">
        <v>21203</v>
      </c>
      <c r="C40" s="16" t="str">
        <f>"11"</f>
        <v>11</v>
      </c>
      <c r="D40" s="16" t="str">
        <f>"27"</f>
        <v>27</v>
      </c>
      <c r="E40" s="16" t="str">
        <f>"20212031127"</f>
        <v>20212031127</v>
      </c>
      <c r="F40" s="16" t="s">
        <v>234</v>
      </c>
      <c r="G40" s="16">
        <v>65</v>
      </c>
      <c r="H40" s="10">
        <v>76.5</v>
      </c>
      <c r="I40" s="10">
        <f t="shared" si="3"/>
        <v>68.45</v>
      </c>
      <c r="J40" s="19"/>
    </row>
    <row r="41" ht="14.25" spans="1:10">
      <c r="A41" s="16">
        <v>35</v>
      </c>
      <c r="B41" s="16">
        <v>21203</v>
      </c>
      <c r="C41" s="16" t="str">
        <f>"12"</f>
        <v>12</v>
      </c>
      <c r="D41" s="16" t="str">
        <f>"03"</f>
        <v>03</v>
      </c>
      <c r="E41" s="16" t="str">
        <f>"20212031203"</f>
        <v>20212031203</v>
      </c>
      <c r="F41" s="16" t="s">
        <v>235</v>
      </c>
      <c r="G41" s="16">
        <v>70</v>
      </c>
      <c r="H41" s="10">
        <v>64.4</v>
      </c>
      <c r="I41" s="10">
        <f t="shared" si="3"/>
        <v>68.32</v>
      </c>
      <c r="J41" s="19"/>
    </row>
    <row r="42" ht="14.25" spans="1:10">
      <c r="A42" s="16">
        <v>36</v>
      </c>
      <c r="B42" s="16">
        <v>21203</v>
      </c>
      <c r="C42" s="16" t="str">
        <f>"10"</f>
        <v>10</v>
      </c>
      <c r="D42" s="16" t="str">
        <f>"30"</f>
        <v>30</v>
      </c>
      <c r="E42" s="16" t="str">
        <f>"20212031030"</f>
        <v>20212031030</v>
      </c>
      <c r="F42" s="16" t="s">
        <v>236</v>
      </c>
      <c r="G42" s="16">
        <v>63</v>
      </c>
      <c r="H42" s="10">
        <v>78.7</v>
      </c>
      <c r="I42" s="10">
        <f t="shared" si="3"/>
        <v>67.71</v>
      </c>
      <c r="J42" s="19"/>
    </row>
    <row r="43" ht="14.25" spans="1:10">
      <c r="A43" s="16">
        <v>37</v>
      </c>
      <c r="B43" s="16">
        <v>21203</v>
      </c>
      <c r="C43" s="16" t="str">
        <f>"11"</f>
        <v>11</v>
      </c>
      <c r="D43" s="16" t="str">
        <f>"19"</f>
        <v>19</v>
      </c>
      <c r="E43" s="16" t="str">
        <f>"20212031119"</f>
        <v>20212031119</v>
      </c>
      <c r="F43" s="16" t="s">
        <v>237</v>
      </c>
      <c r="G43" s="16">
        <v>61</v>
      </c>
      <c r="H43" s="10">
        <v>82.9</v>
      </c>
      <c r="I43" s="10">
        <f t="shared" si="3"/>
        <v>67.57</v>
      </c>
      <c r="J43" s="19"/>
    </row>
    <row r="44" ht="14.25" spans="1:10">
      <c r="A44" s="16">
        <v>38</v>
      </c>
      <c r="B44" s="16">
        <v>21203</v>
      </c>
      <c r="C44" s="16" t="str">
        <f>"11"</f>
        <v>11</v>
      </c>
      <c r="D44" s="16" t="str">
        <f>"04"</f>
        <v>04</v>
      </c>
      <c r="E44" s="16" t="str">
        <f>"20212031104"</f>
        <v>20212031104</v>
      </c>
      <c r="F44" s="16" t="s">
        <v>238</v>
      </c>
      <c r="G44" s="16">
        <v>67</v>
      </c>
      <c r="H44" s="10">
        <v>67.9</v>
      </c>
      <c r="I44" s="10">
        <f t="shared" si="3"/>
        <v>67.27</v>
      </c>
      <c r="J44" s="19"/>
    </row>
    <row r="45" ht="14.25" spans="1:10">
      <c r="A45" s="16">
        <v>39</v>
      </c>
      <c r="B45" s="16">
        <v>21203</v>
      </c>
      <c r="C45" s="16" t="str">
        <f>"12"</f>
        <v>12</v>
      </c>
      <c r="D45" s="16" t="str">
        <f>"13"</f>
        <v>13</v>
      </c>
      <c r="E45" s="16" t="str">
        <f>"20212031213"</f>
        <v>20212031213</v>
      </c>
      <c r="F45" s="16" t="s">
        <v>239</v>
      </c>
      <c r="G45" s="16">
        <v>67</v>
      </c>
      <c r="H45" s="10">
        <v>67.1</v>
      </c>
      <c r="I45" s="10">
        <f t="shared" si="3"/>
        <v>67.03</v>
      </c>
      <c r="J45" s="19"/>
    </row>
    <row r="46" ht="14.25" spans="1:10">
      <c r="A46" s="16">
        <v>40</v>
      </c>
      <c r="B46" s="16">
        <v>21203</v>
      </c>
      <c r="C46" s="16" t="str">
        <f>"12"</f>
        <v>12</v>
      </c>
      <c r="D46" s="16" t="str">
        <f>"22"</f>
        <v>22</v>
      </c>
      <c r="E46" s="16" t="str">
        <f>"20212031222"</f>
        <v>20212031222</v>
      </c>
      <c r="F46" s="16" t="s">
        <v>240</v>
      </c>
      <c r="G46" s="16">
        <v>69</v>
      </c>
      <c r="H46" s="10">
        <v>61.7</v>
      </c>
      <c r="I46" s="10">
        <f t="shared" si="3"/>
        <v>66.81</v>
      </c>
      <c r="J46" s="19"/>
    </row>
    <row r="47" ht="14.25" spans="1:10">
      <c r="A47" s="16">
        <v>41</v>
      </c>
      <c r="B47" s="16">
        <v>21203</v>
      </c>
      <c r="C47" s="16" t="str">
        <f>"11"</f>
        <v>11</v>
      </c>
      <c r="D47" s="16" t="str">
        <f>"15"</f>
        <v>15</v>
      </c>
      <c r="E47" s="16" t="str">
        <f>"20212031115"</f>
        <v>20212031115</v>
      </c>
      <c r="F47" s="16" t="s">
        <v>241</v>
      </c>
      <c r="G47" s="16">
        <v>68</v>
      </c>
      <c r="H47" s="10">
        <v>62.7</v>
      </c>
      <c r="I47" s="10">
        <f t="shared" si="3"/>
        <v>66.41</v>
      </c>
      <c r="J47" s="19"/>
    </row>
    <row r="48" ht="14.25" spans="1:10">
      <c r="A48" s="16">
        <v>42</v>
      </c>
      <c r="B48" s="16">
        <v>21203</v>
      </c>
      <c r="C48" s="16" t="str">
        <f>"10"</f>
        <v>10</v>
      </c>
      <c r="D48" s="16" t="str">
        <f>"04"</f>
        <v>04</v>
      </c>
      <c r="E48" s="16" t="str">
        <f>"20212031004"</f>
        <v>20212031004</v>
      </c>
      <c r="F48" s="16" t="s">
        <v>242</v>
      </c>
      <c r="G48" s="16">
        <v>65</v>
      </c>
      <c r="H48" s="10">
        <v>67.4</v>
      </c>
      <c r="I48" s="10">
        <f t="shared" si="3"/>
        <v>65.72</v>
      </c>
      <c r="J48" s="19"/>
    </row>
    <row r="49" ht="14.25" spans="1:10">
      <c r="A49" s="16">
        <v>43</v>
      </c>
      <c r="B49" s="16">
        <v>21203</v>
      </c>
      <c r="C49" s="16" t="str">
        <f>"11"</f>
        <v>11</v>
      </c>
      <c r="D49" s="16" t="str">
        <f>"24"</f>
        <v>24</v>
      </c>
      <c r="E49" s="16" t="str">
        <f>"20212031124"</f>
        <v>20212031124</v>
      </c>
      <c r="F49" s="16" t="s">
        <v>243</v>
      </c>
      <c r="G49" s="16">
        <v>60</v>
      </c>
      <c r="H49" s="10">
        <v>78.7</v>
      </c>
      <c r="I49" s="10">
        <f t="shared" si="3"/>
        <v>65.61</v>
      </c>
      <c r="J49" s="19"/>
    </row>
    <row r="50" ht="14.25" spans="1:10">
      <c r="A50" s="16">
        <v>44</v>
      </c>
      <c r="B50" s="16">
        <v>21203</v>
      </c>
      <c r="C50" s="16" t="str">
        <f>"10"</f>
        <v>10</v>
      </c>
      <c r="D50" s="16" t="str">
        <f>"25"</f>
        <v>25</v>
      </c>
      <c r="E50" s="16" t="str">
        <f>"20212031025"</f>
        <v>20212031025</v>
      </c>
      <c r="F50" s="16" t="s">
        <v>244</v>
      </c>
      <c r="G50" s="16">
        <v>64</v>
      </c>
      <c r="H50" s="10">
        <v>67.2</v>
      </c>
      <c r="I50" s="10">
        <f t="shared" si="3"/>
        <v>64.96</v>
      </c>
      <c r="J50" s="19"/>
    </row>
    <row r="51" ht="14.25" spans="1:10">
      <c r="A51" s="16">
        <v>45</v>
      </c>
      <c r="B51" s="16">
        <v>21203</v>
      </c>
      <c r="C51" s="16" t="str">
        <f>"10"</f>
        <v>10</v>
      </c>
      <c r="D51" s="16" t="str">
        <f>"21"</f>
        <v>21</v>
      </c>
      <c r="E51" s="16" t="str">
        <f>"20212031021"</f>
        <v>20212031021</v>
      </c>
      <c r="F51" s="16" t="s">
        <v>245</v>
      </c>
      <c r="G51" s="16">
        <v>64</v>
      </c>
      <c r="H51" s="10">
        <v>67</v>
      </c>
      <c r="I51" s="10">
        <f t="shared" si="3"/>
        <v>64.9</v>
      </c>
      <c r="J51" s="19"/>
    </row>
    <row r="52" ht="14.25" spans="1:10">
      <c r="A52" s="16">
        <v>46</v>
      </c>
      <c r="B52" s="16">
        <v>21203</v>
      </c>
      <c r="C52" s="16" t="str">
        <f>"11"</f>
        <v>11</v>
      </c>
      <c r="D52" s="16" t="str">
        <f>"10"</f>
        <v>10</v>
      </c>
      <c r="E52" s="16" t="str">
        <f>"20212031110"</f>
        <v>20212031110</v>
      </c>
      <c r="F52" s="16" t="s">
        <v>246</v>
      </c>
      <c r="G52" s="16">
        <v>62</v>
      </c>
      <c r="H52" s="10">
        <v>67.1</v>
      </c>
      <c r="I52" s="10">
        <f t="shared" si="3"/>
        <v>63.53</v>
      </c>
      <c r="J52" s="19"/>
    </row>
    <row r="53" ht="14.25" spans="1:10">
      <c r="A53" s="16">
        <v>47</v>
      </c>
      <c r="B53" s="16">
        <v>21203</v>
      </c>
      <c r="C53" s="16" t="str">
        <f>"12"</f>
        <v>12</v>
      </c>
      <c r="D53" s="16" t="str">
        <f>"02"</f>
        <v>02</v>
      </c>
      <c r="E53" s="16" t="str">
        <f>"20212031202"</f>
        <v>20212031202</v>
      </c>
      <c r="F53" s="16" t="s">
        <v>247</v>
      </c>
      <c r="G53" s="16">
        <v>60</v>
      </c>
      <c r="H53" s="10">
        <v>70.3</v>
      </c>
      <c r="I53" s="10">
        <f t="shared" si="3"/>
        <v>63.09</v>
      </c>
      <c r="J53" s="19"/>
    </row>
    <row r="54" ht="14.25" spans="1:10">
      <c r="A54" s="16">
        <v>48</v>
      </c>
      <c r="B54" s="16">
        <v>21203</v>
      </c>
      <c r="C54" s="16" t="str">
        <f>"10"</f>
        <v>10</v>
      </c>
      <c r="D54" s="16" t="str">
        <f>"13"</f>
        <v>13</v>
      </c>
      <c r="E54" s="16" t="str">
        <f>"20212031013"</f>
        <v>20212031013</v>
      </c>
      <c r="F54" s="16" t="s">
        <v>248</v>
      </c>
      <c r="G54" s="16">
        <v>55</v>
      </c>
      <c r="H54" s="10">
        <v>80.3</v>
      </c>
      <c r="I54" s="10">
        <f t="shared" si="3"/>
        <v>62.59</v>
      </c>
      <c r="J54" s="19"/>
    </row>
    <row r="55" ht="14.25" spans="1:10">
      <c r="A55" s="16">
        <v>49</v>
      </c>
      <c r="B55" s="16">
        <v>21203</v>
      </c>
      <c r="C55" s="16" t="str">
        <f>"12"</f>
        <v>12</v>
      </c>
      <c r="D55" s="16" t="str">
        <f>"15"</f>
        <v>15</v>
      </c>
      <c r="E55" s="16" t="str">
        <f>"20212031215"</f>
        <v>20212031215</v>
      </c>
      <c r="F55" s="16" t="s">
        <v>249</v>
      </c>
      <c r="G55" s="16">
        <v>63</v>
      </c>
      <c r="H55" s="10">
        <v>61.6</v>
      </c>
      <c r="I55" s="10">
        <f t="shared" si="3"/>
        <v>62.58</v>
      </c>
      <c r="J55" s="19"/>
    </row>
    <row r="56" ht="14.25" spans="1:10">
      <c r="A56" s="16">
        <v>50</v>
      </c>
      <c r="B56" s="16">
        <v>21203</v>
      </c>
      <c r="C56" s="16" t="str">
        <f>"11"</f>
        <v>11</v>
      </c>
      <c r="D56" s="16" t="str">
        <f>"12"</f>
        <v>12</v>
      </c>
      <c r="E56" s="16" t="str">
        <f>"20212031112"</f>
        <v>20212031112</v>
      </c>
      <c r="F56" s="16" t="s">
        <v>62</v>
      </c>
      <c r="G56" s="16">
        <v>62</v>
      </c>
      <c r="H56" s="10">
        <v>61.1</v>
      </c>
      <c r="I56" s="10">
        <f t="shared" si="3"/>
        <v>61.73</v>
      </c>
      <c r="J56" s="19"/>
    </row>
    <row r="57" ht="14.25" spans="1:10">
      <c r="A57" s="16">
        <v>51</v>
      </c>
      <c r="B57" s="16">
        <v>21203</v>
      </c>
      <c r="C57" s="16" t="str">
        <f>"10"</f>
        <v>10</v>
      </c>
      <c r="D57" s="16" t="str">
        <f>"10"</f>
        <v>10</v>
      </c>
      <c r="E57" s="16" t="str">
        <f>"20212031010"</f>
        <v>20212031010</v>
      </c>
      <c r="F57" s="16" t="s">
        <v>250</v>
      </c>
      <c r="G57" s="16">
        <v>57</v>
      </c>
      <c r="H57" s="10">
        <v>71.1</v>
      </c>
      <c r="I57" s="10">
        <f t="shared" si="3"/>
        <v>61.23</v>
      </c>
      <c r="J57" s="19"/>
    </row>
    <row r="58" ht="14.25" spans="1:10">
      <c r="A58" s="16">
        <v>52</v>
      </c>
      <c r="B58" s="16">
        <v>21203</v>
      </c>
      <c r="C58" s="16" t="str">
        <f>"11"</f>
        <v>11</v>
      </c>
      <c r="D58" s="16" t="str">
        <f>"20"</f>
        <v>20</v>
      </c>
      <c r="E58" s="16" t="str">
        <f>"20212031120"</f>
        <v>20212031120</v>
      </c>
      <c r="F58" s="16" t="s">
        <v>251</v>
      </c>
      <c r="G58" s="16">
        <v>62</v>
      </c>
      <c r="H58" s="10">
        <v>59</v>
      </c>
      <c r="I58" s="10">
        <f t="shared" si="3"/>
        <v>61.1</v>
      </c>
      <c r="J58" s="19"/>
    </row>
    <row r="59" ht="14.25" spans="1:10">
      <c r="A59" s="16">
        <v>53</v>
      </c>
      <c r="B59" s="16">
        <v>21203</v>
      </c>
      <c r="C59" s="16" t="str">
        <f>"12"</f>
        <v>12</v>
      </c>
      <c r="D59" s="16" t="str">
        <f>"06"</f>
        <v>06</v>
      </c>
      <c r="E59" s="16" t="str">
        <f>"20212031206"</f>
        <v>20212031206</v>
      </c>
      <c r="F59" s="16" t="s">
        <v>252</v>
      </c>
      <c r="G59" s="16">
        <v>59</v>
      </c>
      <c r="H59" s="10">
        <v>64.8</v>
      </c>
      <c r="I59" s="10">
        <f t="shared" si="3"/>
        <v>60.74</v>
      </c>
      <c r="J59" s="19"/>
    </row>
    <row r="60" ht="14.25" spans="1:10">
      <c r="A60" s="16">
        <v>54</v>
      </c>
      <c r="B60" s="16">
        <v>21203</v>
      </c>
      <c r="C60" s="16" t="str">
        <f>"10"</f>
        <v>10</v>
      </c>
      <c r="D60" s="16" t="str">
        <f>"26"</f>
        <v>26</v>
      </c>
      <c r="E60" s="16" t="str">
        <f>"20212031026"</f>
        <v>20212031026</v>
      </c>
      <c r="F60" s="16" t="s">
        <v>253</v>
      </c>
      <c r="G60" s="16">
        <v>58</v>
      </c>
      <c r="H60" s="10">
        <v>66.4</v>
      </c>
      <c r="I60" s="10">
        <f t="shared" si="3"/>
        <v>60.52</v>
      </c>
      <c r="J60" s="19"/>
    </row>
    <row r="61" ht="14.25" spans="1:10">
      <c r="A61" s="16">
        <v>55</v>
      </c>
      <c r="B61" s="16">
        <v>21203</v>
      </c>
      <c r="C61" s="16" t="str">
        <f>"11"</f>
        <v>11</v>
      </c>
      <c r="D61" s="16" t="str">
        <f>"17"</f>
        <v>17</v>
      </c>
      <c r="E61" s="16" t="str">
        <f>"20212031117"</f>
        <v>20212031117</v>
      </c>
      <c r="F61" s="16" t="s">
        <v>254</v>
      </c>
      <c r="G61" s="16">
        <v>58</v>
      </c>
      <c r="H61" s="10">
        <v>65.2</v>
      </c>
      <c r="I61" s="10">
        <f t="shared" si="3"/>
        <v>60.16</v>
      </c>
      <c r="J61" s="19"/>
    </row>
    <row r="62" ht="14.25" spans="1:10">
      <c r="A62" s="16">
        <v>56</v>
      </c>
      <c r="B62" s="16">
        <v>21203</v>
      </c>
      <c r="C62" s="16" t="str">
        <f>"12"</f>
        <v>12</v>
      </c>
      <c r="D62" s="16" t="str">
        <f>"20"</f>
        <v>20</v>
      </c>
      <c r="E62" s="16" t="str">
        <f>"20212031220"</f>
        <v>20212031220</v>
      </c>
      <c r="F62" s="16" t="s">
        <v>255</v>
      </c>
      <c r="G62" s="16">
        <v>60</v>
      </c>
      <c r="H62" s="10">
        <v>58.4</v>
      </c>
      <c r="I62" s="10">
        <f t="shared" si="3"/>
        <v>59.52</v>
      </c>
      <c r="J62" s="19"/>
    </row>
    <row r="63" ht="14.25" spans="1:10">
      <c r="A63" s="16">
        <v>57</v>
      </c>
      <c r="B63" s="16">
        <v>21203</v>
      </c>
      <c r="C63" s="16" t="str">
        <f>"10"</f>
        <v>10</v>
      </c>
      <c r="D63" s="16" t="str">
        <f>"16"</f>
        <v>16</v>
      </c>
      <c r="E63" s="16" t="str">
        <f>"20212031016"</f>
        <v>20212031016</v>
      </c>
      <c r="F63" s="16" t="s">
        <v>256</v>
      </c>
      <c r="G63" s="16">
        <v>59</v>
      </c>
      <c r="H63" s="10">
        <v>59.5</v>
      </c>
      <c r="I63" s="10">
        <f t="shared" si="3"/>
        <v>59.15</v>
      </c>
      <c r="J63" s="19"/>
    </row>
    <row r="64" ht="14.25" spans="1:10">
      <c r="A64" s="16">
        <v>58</v>
      </c>
      <c r="B64" s="16">
        <v>21203</v>
      </c>
      <c r="C64" s="16" t="str">
        <f>"10"</f>
        <v>10</v>
      </c>
      <c r="D64" s="16" t="str">
        <f>"27"</f>
        <v>27</v>
      </c>
      <c r="E64" s="16" t="str">
        <f>"20212031027"</f>
        <v>20212031027</v>
      </c>
      <c r="F64" s="16" t="s">
        <v>207</v>
      </c>
      <c r="G64" s="16">
        <v>57</v>
      </c>
      <c r="H64" s="10">
        <v>63.9</v>
      </c>
      <c r="I64" s="10">
        <f t="shared" si="3"/>
        <v>59.07</v>
      </c>
      <c r="J64" s="19"/>
    </row>
    <row r="65" ht="14.25" spans="1:10">
      <c r="A65" s="16">
        <v>59</v>
      </c>
      <c r="B65" s="16">
        <v>21203</v>
      </c>
      <c r="C65" s="16" t="str">
        <f>"10"</f>
        <v>10</v>
      </c>
      <c r="D65" s="16" t="str">
        <f>"03"</f>
        <v>03</v>
      </c>
      <c r="E65" s="16" t="str">
        <f>"20212031003"</f>
        <v>20212031003</v>
      </c>
      <c r="F65" s="16" t="s">
        <v>257</v>
      </c>
      <c r="G65" s="16">
        <v>51</v>
      </c>
      <c r="H65" s="10">
        <v>76.7</v>
      </c>
      <c r="I65" s="10">
        <f t="shared" si="3"/>
        <v>58.71</v>
      </c>
      <c r="J65" s="19"/>
    </row>
    <row r="66" ht="14.25" spans="1:10">
      <c r="A66" s="16">
        <v>60</v>
      </c>
      <c r="B66" s="16">
        <v>21203</v>
      </c>
      <c r="C66" s="16" t="str">
        <f>"10"</f>
        <v>10</v>
      </c>
      <c r="D66" s="16" t="str">
        <f>"09"</f>
        <v>09</v>
      </c>
      <c r="E66" s="16" t="str">
        <f>"20212031009"</f>
        <v>20212031009</v>
      </c>
      <c r="F66" s="16" t="s">
        <v>258</v>
      </c>
      <c r="G66" s="16">
        <v>54</v>
      </c>
      <c r="H66" s="10">
        <v>68.2</v>
      </c>
      <c r="I66" s="10">
        <f t="shared" si="3"/>
        <v>58.26</v>
      </c>
      <c r="J66" s="19"/>
    </row>
    <row r="67" ht="14.25" spans="1:10">
      <c r="A67" s="16">
        <v>61</v>
      </c>
      <c r="B67" s="16">
        <v>21203</v>
      </c>
      <c r="C67" s="16" t="str">
        <f>"12"</f>
        <v>12</v>
      </c>
      <c r="D67" s="16" t="str">
        <f>"12"</f>
        <v>12</v>
      </c>
      <c r="E67" s="16" t="str">
        <f>"20212031212"</f>
        <v>20212031212</v>
      </c>
      <c r="F67" s="16" t="s">
        <v>259</v>
      </c>
      <c r="G67" s="16">
        <v>58</v>
      </c>
      <c r="H67" s="10">
        <v>55.5</v>
      </c>
      <c r="I67" s="10">
        <f t="shared" si="3"/>
        <v>57.25</v>
      </c>
      <c r="J67" s="19"/>
    </row>
    <row r="68" ht="14.25" spans="1:10">
      <c r="A68" s="16">
        <v>62</v>
      </c>
      <c r="B68" s="16">
        <v>21203</v>
      </c>
      <c r="C68" s="16" t="str">
        <f>"11"</f>
        <v>11</v>
      </c>
      <c r="D68" s="16" t="str">
        <f>"06"</f>
        <v>06</v>
      </c>
      <c r="E68" s="16" t="str">
        <f>"20212031106"</f>
        <v>20212031106</v>
      </c>
      <c r="F68" s="16" t="s">
        <v>260</v>
      </c>
      <c r="G68" s="16">
        <v>56</v>
      </c>
      <c r="H68" s="10">
        <v>57.7</v>
      </c>
      <c r="I68" s="10">
        <f t="shared" si="3"/>
        <v>56.51</v>
      </c>
      <c r="J68" s="19"/>
    </row>
    <row r="69" ht="14.25" spans="1:10">
      <c r="A69" s="16">
        <v>63</v>
      </c>
      <c r="B69" s="16">
        <v>21203</v>
      </c>
      <c r="C69" s="16" t="str">
        <f>"11"</f>
        <v>11</v>
      </c>
      <c r="D69" s="16" t="str">
        <f>"14"</f>
        <v>14</v>
      </c>
      <c r="E69" s="16" t="str">
        <f>"20212031114"</f>
        <v>20212031114</v>
      </c>
      <c r="F69" s="16" t="s">
        <v>261</v>
      </c>
      <c r="G69" s="16">
        <v>57</v>
      </c>
      <c r="H69" s="10">
        <v>54.9</v>
      </c>
      <c r="I69" s="10">
        <f t="shared" si="3"/>
        <v>56.37</v>
      </c>
      <c r="J69" s="19"/>
    </row>
    <row r="70" ht="14.25" spans="1:10">
      <c r="A70" s="16">
        <v>64</v>
      </c>
      <c r="B70" s="16">
        <v>21203</v>
      </c>
      <c r="C70" s="16" t="str">
        <f>"10"</f>
        <v>10</v>
      </c>
      <c r="D70" s="16" t="str">
        <f>"05"</f>
        <v>05</v>
      </c>
      <c r="E70" s="16" t="str">
        <f>"20212031005"</f>
        <v>20212031005</v>
      </c>
      <c r="F70" s="16" t="s">
        <v>262</v>
      </c>
      <c r="G70" s="16">
        <v>52</v>
      </c>
      <c r="H70" s="10">
        <v>64.8</v>
      </c>
      <c r="I70" s="10">
        <f t="shared" si="3"/>
        <v>55.84</v>
      </c>
      <c r="J70" s="19"/>
    </row>
    <row r="71" ht="14.25" spans="1:10">
      <c r="A71" s="16">
        <v>65</v>
      </c>
      <c r="B71" s="16">
        <v>21203</v>
      </c>
      <c r="C71" s="16" t="str">
        <f>"12"</f>
        <v>12</v>
      </c>
      <c r="D71" s="16" t="str">
        <f>"31"</f>
        <v>31</v>
      </c>
      <c r="E71" s="16" t="str">
        <f>"20212031231"</f>
        <v>20212031231</v>
      </c>
      <c r="F71" s="16" t="s">
        <v>263</v>
      </c>
      <c r="G71" s="16">
        <v>56</v>
      </c>
      <c r="H71" s="10">
        <v>53</v>
      </c>
      <c r="I71" s="10">
        <f t="shared" si="3"/>
        <v>55.1</v>
      </c>
      <c r="J71" s="19"/>
    </row>
    <row r="72" ht="14.25" spans="1:10">
      <c r="A72" s="16">
        <v>66</v>
      </c>
      <c r="B72" s="16">
        <v>21203</v>
      </c>
      <c r="C72" s="16" t="str">
        <f>"12"</f>
        <v>12</v>
      </c>
      <c r="D72" s="16" t="str">
        <f>"25"</f>
        <v>25</v>
      </c>
      <c r="E72" s="16" t="str">
        <f>"20212031225"</f>
        <v>20212031225</v>
      </c>
      <c r="F72" s="16" t="s">
        <v>264</v>
      </c>
      <c r="G72" s="16">
        <v>54</v>
      </c>
      <c r="H72" s="10">
        <v>55.2</v>
      </c>
      <c r="I72" s="10">
        <f t="shared" si="3"/>
        <v>54.36</v>
      </c>
      <c r="J72" s="19"/>
    </row>
    <row r="73" ht="14.25" spans="1:10">
      <c r="A73" s="16">
        <v>67</v>
      </c>
      <c r="B73" s="16">
        <v>21203</v>
      </c>
      <c r="C73" s="16" t="str">
        <f>"10"</f>
        <v>10</v>
      </c>
      <c r="D73" s="16" t="str">
        <f>"11"</f>
        <v>11</v>
      </c>
      <c r="E73" s="16" t="str">
        <f>"20212031011"</f>
        <v>20212031011</v>
      </c>
      <c r="F73" s="16" t="s">
        <v>265</v>
      </c>
      <c r="G73" s="16">
        <v>46</v>
      </c>
      <c r="H73" s="10">
        <v>67.4</v>
      </c>
      <c r="I73" s="10">
        <f t="shared" si="3"/>
        <v>52.42</v>
      </c>
      <c r="J73" s="19"/>
    </row>
    <row r="74" ht="14.25" spans="1:10">
      <c r="A74" s="16">
        <v>68</v>
      </c>
      <c r="B74" s="16">
        <v>21203</v>
      </c>
      <c r="C74" s="16" t="str">
        <f>"11"</f>
        <v>11</v>
      </c>
      <c r="D74" s="16" t="str">
        <f>"01"</f>
        <v>01</v>
      </c>
      <c r="E74" s="16" t="str">
        <f>"20212031101"</f>
        <v>20212031101</v>
      </c>
      <c r="F74" s="16" t="s">
        <v>266</v>
      </c>
      <c r="G74" s="16">
        <v>45</v>
      </c>
      <c r="H74" s="10">
        <v>51.1</v>
      </c>
      <c r="I74" s="10">
        <f t="shared" si="3"/>
        <v>46.83</v>
      </c>
      <c r="J74" s="19"/>
    </row>
    <row r="75" ht="14.25" spans="1:10">
      <c r="A75" s="16">
        <v>69</v>
      </c>
      <c r="B75" s="16">
        <v>21203</v>
      </c>
      <c r="C75" s="16" t="str">
        <f>"10"</f>
        <v>10</v>
      </c>
      <c r="D75" s="16" t="str">
        <f>"20"</f>
        <v>20</v>
      </c>
      <c r="E75" s="16" t="str">
        <f>"20212031020"</f>
        <v>20212031020</v>
      </c>
      <c r="F75" s="16" t="s">
        <v>267</v>
      </c>
      <c r="G75" s="16">
        <v>39</v>
      </c>
      <c r="H75" s="10">
        <v>64.5</v>
      </c>
      <c r="I75" s="10">
        <f t="shared" si="3"/>
        <v>46.65</v>
      </c>
      <c r="J75" s="19"/>
    </row>
    <row r="76" ht="14.25" spans="1:10">
      <c r="A76" s="16">
        <v>70</v>
      </c>
      <c r="B76" s="16">
        <v>21203</v>
      </c>
      <c r="C76" s="16" t="str">
        <f>"12"</f>
        <v>12</v>
      </c>
      <c r="D76" s="16" t="str">
        <f>"27"</f>
        <v>27</v>
      </c>
      <c r="E76" s="16" t="str">
        <f>"20212031227"</f>
        <v>20212031227</v>
      </c>
      <c r="F76" s="16" t="s">
        <v>268</v>
      </c>
      <c r="G76" s="16">
        <v>27</v>
      </c>
      <c r="H76" s="10">
        <v>66.3</v>
      </c>
      <c r="I76" s="10">
        <f t="shared" si="3"/>
        <v>38.79</v>
      </c>
      <c r="J76" s="19"/>
    </row>
    <row r="77" ht="14.25" spans="1:10">
      <c r="A77" s="16">
        <v>71</v>
      </c>
      <c r="B77" s="16">
        <v>21203</v>
      </c>
      <c r="C77" s="16" t="str">
        <f>"10"</f>
        <v>10</v>
      </c>
      <c r="D77" s="16" t="str">
        <f>"02"</f>
        <v>02</v>
      </c>
      <c r="E77" s="16" t="str">
        <f>"20212031002"</f>
        <v>20212031002</v>
      </c>
      <c r="F77" s="16" t="s">
        <v>269</v>
      </c>
      <c r="G77" s="16">
        <v>28</v>
      </c>
      <c r="H77" s="10">
        <v>51.6</v>
      </c>
      <c r="I77" s="10">
        <f t="shared" si="3"/>
        <v>35.08</v>
      </c>
      <c r="J77" s="19"/>
    </row>
    <row r="78" ht="14.25" spans="1:10">
      <c r="A78" s="16">
        <v>72</v>
      </c>
      <c r="B78" s="16">
        <v>21203</v>
      </c>
      <c r="C78" s="16" t="str">
        <f>"12"</f>
        <v>12</v>
      </c>
      <c r="D78" s="16" t="str">
        <f>"05"</f>
        <v>05</v>
      </c>
      <c r="E78" s="16" t="str">
        <f>"20212031205"</f>
        <v>20212031205</v>
      </c>
      <c r="F78" s="16" t="s">
        <v>270</v>
      </c>
      <c r="G78" s="16">
        <v>49</v>
      </c>
      <c r="H78" s="10">
        <v>0</v>
      </c>
      <c r="I78" s="10">
        <f t="shared" si="3"/>
        <v>34.3</v>
      </c>
      <c r="J78" s="19" t="s">
        <v>271</v>
      </c>
    </row>
    <row r="79" ht="14.25" spans="1:10">
      <c r="A79" s="16">
        <v>73</v>
      </c>
      <c r="B79" s="16">
        <v>21203</v>
      </c>
      <c r="C79" s="16" t="str">
        <f t="shared" ref="C79:C88" si="4">"10"</f>
        <v>10</v>
      </c>
      <c r="D79" s="16" t="str">
        <f>"06"</f>
        <v>06</v>
      </c>
      <c r="E79" s="16" t="str">
        <f>"20212031006"</f>
        <v>20212031006</v>
      </c>
      <c r="F79" s="16" t="s">
        <v>272</v>
      </c>
      <c r="G79" s="16">
        <v>0</v>
      </c>
      <c r="H79" s="10">
        <v>0</v>
      </c>
      <c r="I79" s="10">
        <f t="shared" si="3"/>
        <v>0</v>
      </c>
      <c r="J79" s="21" t="s">
        <v>126</v>
      </c>
    </row>
    <row r="80" ht="14.25" spans="1:10">
      <c r="A80" s="16">
        <v>74</v>
      </c>
      <c r="B80" s="16">
        <v>21203</v>
      </c>
      <c r="C80" s="16" t="str">
        <f t="shared" si="4"/>
        <v>10</v>
      </c>
      <c r="D80" s="16" t="str">
        <f>"07"</f>
        <v>07</v>
      </c>
      <c r="E80" s="16" t="str">
        <f>"20212031007"</f>
        <v>20212031007</v>
      </c>
      <c r="F80" s="16" t="s">
        <v>273</v>
      </c>
      <c r="G80" s="16">
        <v>0</v>
      </c>
      <c r="H80" s="10">
        <v>0</v>
      </c>
      <c r="I80" s="10">
        <f t="shared" si="3"/>
        <v>0</v>
      </c>
      <c r="J80" s="21" t="s">
        <v>126</v>
      </c>
    </row>
    <row r="81" ht="14.25" spans="1:10">
      <c r="A81" s="16">
        <v>75</v>
      </c>
      <c r="B81" s="16">
        <v>21203</v>
      </c>
      <c r="C81" s="16" t="str">
        <f t="shared" si="4"/>
        <v>10</v>
      </c>
      <c r="D81" s="16" t="str">
        <f>"08"</f>
        <v>08</v>
      </c>
      <c r="E81" s="16" t="str">
        <f>"20212031008"</f>
        <v>20212031008</v>
      </c>
      <c r="F81" s="16" t="s">
        <v>274</v>
      </c>
      <c r="G81" s="16">
        <v>0</v>
      </c>
      <c r="H81" s="10">
        <v>0</v>
      </c>
      <c r="I81" s="10">
        <f t="shared" si="3"/>
        <v>0</v>
      </c>
      <c r="J81" s="21" t="s">
        <v>126</v>
      </c>
    </row>
    <row r="82" ht="14.25" spans="1:10">
      <c r="A82" s="16">
        <v>76</v>
      </c>
      <c r="B82" s="16">
        <v>21203</v>
      </c>
      <c r="C82" s="16" t="str">
        <f t="shared" si="4"/>
        <v>10</v>
      </c>
      <c r="D82" s="16" t="str">
        <f>"12"</f>
        <v>12</v>
      </c>
      <c r="E82" s="16" t="str">
        <f>"20212031012"</f>
        <v>20212031012</v>
      </c>
      <c r="F82" s="16" t="s">
        <v>275</v>
      </c>
      <c r="G82" s="16">
        <v>0</v>
      </c>
      <c r="H82" s="10">
        <v>0</v>
      </c>
      <c r="I82" s="10">
        <f t="shared" si="3"/>
        <v>0</v>
      </c>
      <c r="J82" s="21" t="s">
        <v>126</v>
      </c>
    </row>
    <row r="83" ht="14.25" spans="1:10">
      <c r="A83" s="16">
        <v>77</v>
      </c>
      <c r="B83" s="16">
        <v>21203</v>
      </c>
      <c r="C83" s="16" t="str">
        <f t="shared" si="4"/>
        <v>10</v>
      </c>
      <c r="D83" s="16" t="str">
        <f>"14"</f>
        <v>14</v>
      </c>
      <c r="E83" s="16" t="str">
        <f>"20212031014"</f>
        <v>20212031014</v>
      </c>
      <c r="F83" s="16" t="s">
        <v>276</v>
      </c>
      <c r="G83" s="16">
        <v>0</v>
      </c>
      <c r="H83" s="10">
        <v>0</v>
      </c>
      <c r="I83" s="10">
        <f t="shared" si="3"/>
        <v>0</v>
      </c>
      <c r="J83" s="21" t="s">
        <v>126</v>
      </c>
    </row>
    <row r="84" ht="14.25" spans="1:10">
      <c r="A84" s="16">
        <v>78</v>
      </c>
      <c r="B84" s="16">
        <v>21203</v>
      </c>
      <c r="C84" s="16" t="str">
        <f t="shared" si="4"/>
        <v>10</v>
      </c>
      <c r="D84" s="16" t="str">
        <f>"15"</f>
        <v>15</v>
      </c>
      <c r="E84" s="16" t="str">
        <f>"20212031015"</f>
        <v>20212031015</v>
      </c>
      <c r="F84" s="16" t="s">
        <v>277</v>
      </c>
      <c r="G84" s="16">
        <v>0</v>
      </c>
      <c r="H84" s="10">
        <v>0</v>
      </c>
      <c r="I84" s="10">
        <f t="shared" si="3"/>
        <v>0</v>
      </c>
      <c r="J84" s="21" t="s">
        <v>126</v>
      </c>
    </row>
    <row r="85" ht="14.25" spans="1:10">
      <c r="A85" s="16">
        <v>79</v>
      </c>
      <c r="B85" s="16">
        <v>21203</v>
      </c>
      <c r="C85" s="16" t="str">
        <f t="shared" si="4"/>
        <v>10</v>
      </c>
      <c r="D85" s="16" t="str">
        <f>"17"</f>
        <v>17</v>
      </c>
      <c r="E85" s="16" t="str">
        <f>"20212031017"</f>
        <v>20212031017</v>
      </c>
      <c r="F85" s="16" t="s">
        <v>278</v>
      </c>
      <c r="G85" s="16">
        <v>0</v>
      </c>
      <c r="H85" s="10">
        <v>0</v>
      </c>
      <c r="I85" s="10">
        <f t="shared" si="3"/>
        <v>0</v>
      </c>
      <c r="J85" s="21" t="s">
        <v>126</v>
      </c>
    </row>
    <row r="86" ht="14.25" spans="1:10">
      <c r="A86" s="16">
        <v>80</v>
      </c>
      <c r="B86" s="16">
        <v>21203</v>
      </c>
      <c r="C86" s="16" t="str">
        <f t="shared" si="4"/>
        <v>10</v>
      </c>
      <c r="D86" s="16" t="str">
        <f>"19"</f>
        <v>19</v>
      </c>
      <c r="E86" s="16" t="str">
        <f>"20212031019"</f>
        <v>20212031019</v>
      </c>
      <c r="F86" s="16" t="s">
        <v>279</v>
      </c>
      <c r="G86" s="16">
        <v>0</v>
      </c>
      <c r="H86" s="10">
        <v>0</v>
      </c>
      <c r="I86" s="10">
        <f t="shared" si="3"/>
        <v>0</v>
      </c>
      <c r="J86" s="21" t="s">
        <v>126</v>
      </c>
    </row>
    <row r="87" ht="14.25" spans="1:10">
      <c r="A87" s="16">
        <v>81</v>
      </c>
      <c r="B87" s="16">
        <v>21203</v>
      </c>
      <c r="C87" s="16" t="str">
        <f t="shared" si="4"/>
        <v>10</v>
      </c>
      <c r="D87" s="16" t="str">
        <f>"22"</f>
        <v>22</v>
      </c>
      <c r="E87" s="16" t="str">
        <f>"20212031022"</f>
        <v>20212031022</v>
      </c>
      <c r="F87" s="16" t="s">
        <v>280</v>
      </c>
      <c r="G87" s="16">
        <v>0</v>
      </c>
      <c r="H87" s="10">
        <v>0</v>
      </c>
      <c r="I87" s="10">
        <f t="shared" ref="I87:I107" si="5">G87*0.7+H87*0.3</f>
        <v>0</v>
      </c>
      <c r="J87" s="21" t="s">
        <v>126</v>
      </c>
    </row>
    <row r="88" ht="14.25" spans="1:10">
      <c r="A88" s="16">
        <v>82</v>
      </c>
      <c r="B88" s="16">
        <v>21203</v>
      </c>
      <c r="C88" s="16" t="str">
        <f t="shared" si="4"/>
        <v>10</v>
      </c>
      <c r="D88" s="16" t="str">
        <f>"28"</f>
        <v>28</v>
      </c>
      <c r="E88" s="16" t="str">
        <f>"20212031028"</f>
        <v>20212031028</v>
      </c>
      <c r="F88" s="16" t="s">
        <v>281</v>
      </c>
      <c r="G88" s="16">
        <v>0</v>
      </c>
      <c r="H88" s="10">
        <v>0</v>
      </c>
      <c r="I88" s="10">
        <f t="shared" si="5"/>
        <v>0</v>
      </c>
      <c r="J88" s="21" t="s">
        <v>126</v>
      </c>
    </row>
    <row r="89" ht="14.25" spans="1:10">
      <c r="A89" s="16">
        <v>83</v>
      </c>
      <c r="B89" s="16">
        <v>21203</v>
      </c>
      <c r="C89" s="16" t="str">
        <f t="shared" ref="C89:C97" si="6">"11"</f>
        <v>11</v>
      </c>
      <c r="D89" s="16" t="str">
        <f>"02"</f>
        <v>02</v>
      </c>
      <c r="E89" s="16" t="str">
        <f>"20212031102"</f>
        <v>20212031102</v>
      </c>
      <c r="F89" s="16" t="s">
        <v>282</v>
      </c>
      <c r="G89" s="16">
        <v>0</v>
      </c>
      <c r="H89" s="10">
        <v>0</v>
      </c>
      <c r="I89" s="10">
        <f t="shared" si="5"/>
        <v>0</v>
      </c>
      <c r="J89" s="21" t="s">
        <v>126</v>
      </c>
    </row>
    <row r="90" ht="14.25" spans="1:10">
      <c r="A90" s="16">
        <v>84</v>
      </c>
      <c r="B90" s="16">
        <v>21203</v>
      </c>
      <c r="C90" s="16" t="str">
        <f t="shared" si="6"/>
        <v>11</v>
      </c>
      <c r="D90" s="16" t="str">
        <f>"03"</f>
        <v>03</v>
      </c>
      <c r="E90" s="16" t="str">
        <f>"20212031103"</f>
        <v>20212031103</v>
      </c>
      <c r="F90" s="16" t="s">
        <v>283</v>
      </c>
      <c r="G90" s="16">
        <v>0</v>
      </c>
      <c r="H90" s="10">
        <v>0</v>
      </c>
      <c r="I90" s="10">
        <f t="shared" si="5"/>
        <v>0</v>
      </c>
      <c r="J90" s="21" t="s">
        <v>126</v>
      </c>
    </row>
    <row r="91" ht="14.25" spans="1:10">
      <c r="A91" s="16">
        <v>85</v>
      </c>
      <c r="B91" s="16">
        <v>21203</v>
      </c>
      <c r="C91" s="16" t="str">
        <f t="shared" si="6"/>
        <v>11</v>
      </c>
      <c r="D91" s="16" t="str">
        <f>"05"</f>
        <v>05</v>
      </c>
      <c r="E91" s="16" t="str">
        <f>"20212031105"</f>
        <v>20212031105</v>
      </c>
      <c r="F91" s="16" t="s">
        <v>284</v>
      </c>
      <c r="G91" s="16">
        <v>0</v>
      </c>
      <c r="H91" s="10">
        <v>0</v>
      </c>
      <c r="I91" s="10">
        <f t="shared" si="5"/>
        <v>0</v>
      </c>
      <c r="J91" s="21" t="s">
        <v>126</v>
      </c>
    </row>
    <row r="92" ht="14.25" spans="1:10">
      <c r="A92" s="16">
        <v>86</v>
      </c>
      <c r="B92" s="16">
        <v>21203</v>
      </c>
      <c r="C92" s="16" t="str">
        <f t="shared" si="6"/>
        <v>11</v>
      </c>
      <c r="D92" s="16" t="str">
        <f>"18"</f>
        <v>18</v>
      </c>
      <c r="E92" s="16" t="str">
        <f>"20212031118"</f>
        <v>20212031118</v>
      </c>
      <c r="F92" s="16" t="s">
        <v>285</v>
      </c>
      <c r="G92" s="16">
        <v>0</v>
      </c>
      <c r="H92" s="10">
        <v>0</v>
      </c>
      <c r="I92" s="10">
        <f t="shared" si="5"/>
        <v>0</v>
      </c>
      <c r="J92" s="21" t="s">
        <v>126</v>
      </c>
    </row>
    <row r="93" ht="14.25" spans="1:10">
      <c r="A93" s="16">
        <v>87</v>
      </c>
      <c r="B93" s="16">
        <v>21203</v>
      </c>
      <c r="C93" s="16" t="str">
        <f t="shared" si="6"/>
        <v>11</v>
      </c>
      <c r="D93" s="16" t="str">
        <f>"21"</f>
        <v>21</v>
      </c>
      <c r="E93" s="16" t="str">
        <f>"20212031121"</f>
        <v>20212031121</v>
      </c>
      <c r="F93" s="16" t="s">
        <v>286</v>
      </c>
      <c r="G93" s="16">
        <v>0</v>
      </c>
      <c r="H93" s="10">
        <v>0</v>
      </c>
      <c r="I93" s="10">
        <f t="shared" si="5"/>
        <v>0</v>
      </c>
      <c r="J93" s="21" t="s">
        <v>126</v>
      </c>
    </row>
    <row r="94" ht="14.25" spans="1:10">
      <c r="A94" s="16">
        <v>88</v>
      </c>
      <c r="B94" s="16">
        <v>21203</v>
      </c>
      <c r="C94" s="16" t="str">
        <f t="shared" si="6"/>
        <v>11</v>
      </c>
      <c r="D94" s="16" t="str">
        <f>"22"</f>
        <v>22</v>
      </c>
      <c r="E94" s="16" t="str">
        <f>"20212031122"</f>
        <v>20212031122</v>
      </c>
      <c r="F94" s="16" t="s">
        <v>287</v>
      </c>
      <c r="G94" s="16">
        <v>0</v>
      </c>
      <c r="H94" s="10">
        <v>0</v>
      </c>
      <c r="I94" s="10">
        <f t="shared" si="5"/>
        <v>0</v>
      </c>
      <c r="J94" s="21" t="s">
        <v>126</v>
      </c>
    </row>
    <row r="95" ht="14.25" spans="1:10">
      <c r="A95" s="16">
        <v>89</v>
      </c>
      <c r="B95" s="16">
        <v>21203</v>
      </c>
      <c r="C95" s="16" t="str">
        <f t="shared" si="6"/>
        <v>11</v>
      </c>
      <c r="D95" s="16" t="str">
        <f>"23"</f>
        <v>23</v>
      </c>
      <c r="E95" s="16" t="str">
        <f>"20212031123"</f>
        <v>20212031123</v>
      </c>
      <c r="F95" s="16" t="s">
        <v>288</v>
      </c>
      <c r="G95" s="16">
        <v>0</v>
      </c>
      <c r="H95" s="10">
        <v>0</v>
      </c>
      <c r="I95" s="10">
        <f t="shared" si="5"/>
        <v>0</v>
      </c>
      <c r="J95" s="21" t="s">
        <v>126</v>
      </c>
    </row>
    <row r="96" ht="14.25" spans="1:10">
      <c r="A96" s="16">
        <v>90</v>
      </c>
      <c r="B96" s="16">
        <v>21203</v>
      </c>
      <c r="C96" s="16" t="str">
        <f t="shared" si="6"/>
        <v>11</v>
      </c>
      <c r="D96" s="16" t="str">
        <f>"28"</f>
        <v>28</v>
      </c>
      <c r="E96" s="16" t="str">
        <f>"20212031128"</f>
        <v>20212031128</v>
      </c>
      <c r="F96" s="16" t="s">
        <v>289</v>
      </c>
      <c r="G96" s="16">
        <v>0</v>
      </c>
      <c r="H96" s="10">
        <v>0</v>
      </c>
      <c r="I96" s="10">
        <f t="shared" si="5"/>
        <v>0</v>
      </c>
      <c r="J96" s="21" t="s">
        <v>126</v>
      </c>
    </row>
    <row r="97" ht="14.25" spans="1:10">
      <c r="A97" s="16">
        <v>91</v>
      </c>
      <c r="B97" s="16">
        <v>21203</v>
      </c>
      <c r="C97" s="16" t="str">
        <f t="shared" si="6"/>
        <v>11</v>
      </c>
      <c r="D97" s="16" t="str">
        <f>"29"</f>
        <v>29</v>
      </c>
      <c r="E97" s="16" t="str">
        <f>"20212031129"</f>
        <v>20212031129</v>
      </c>
      <c r="F97" s="16" t="s">
        <v>290</v>
      </c>
      <c r="G97" s="16">
        <v>0</v>
      </c>
      <c r="H97" s="10">
        <v>0</v>
      </c>
      <c r="I97" s="10">
        <f t="shared" si="5"/>
        <v>0</v>
      </c>
      <c r="J97" s="21" t="s">
        <v>126</v>
      </c>
    </row>
    <row r="98" ht="14.25" spans="1:10">
      <c r="A98" s="16">
        <v>92</v>
      </c>
      <c r="B98" s="16">
        <v>21203</v>
      </c>
      <c r="C98" s="16" t="str">
        <f t="shared" ref="C98:C107" si="7">"12"</f>
        <v>12</v>
      </c>
      <c r="D98" s="16" t="str">
        <f>"08"</f>
        <v>08</v>
      </c>
      <c r="E98" s="16" t="str">
        <f>"20212031208"</f>
        <v>20212031208</v>
      </c>
      <c r="F98" s="16" t="s">
        <v>291</v>
      </c>
      <c r="G98" s="16">
        <v>0</v>
      </c>
      <c r="H98" s="10">
        <v>0</v>
      </c>
      <c r="I98" s="10">
        <f t="shared" si="5"/>
        <v>0</v>
      </c>
      <c r="J98" s="21" t="s">
        <v>126</v>
      </c>
    </row>
    <row r="99" ht="14.25" spans="1:10">
      <c r="A99" s="16">
        <v>93</v>
      </c>
      <c r="B99" s="16">
        <v>21203</v>
      </c>
      <c r="C99" s="16" t="str">
        <f t="shared" si="7"/>
        <v>12</v>
      </c>
      <c r="D99" s="16" t="str">
        <f>"09"</f>
        <v>09</v>
      </c>
      <c r="E99" s="16" t="str">
        <f>"20212031209"</f>
        <v>20212031209</v>
      </c>
      <c r="F99" s="16" t="s">
        <v>292</v>
      </c>
      <c r="G99" s="16">
        <v>0</v>
      </c>
      <c r="H99" s="10">
        <v>0</v>
      </c>
      <c r="I99" s="10">
        <f t="shared" si="5"/>
        <v>0</v>
      </c>
      <c r="J99" s="21" t="s">
        <v>126</v>
      </c>
    </row>
    <row r="100" ht="14.25" spans="1:10">
      <c r="A100" s="16">
        <v>94</v>
      </c>
      <c r="B100" s="16">
        <v>21203</v>
      </c>
      <c r="C100" s="16" t="str">
        <f t="shared" si="7"/>
        <v>12</v>
      </c>
      <c r="D100" s="16" t="str">
        <f>"14"</f>
        <v>14</v>
      </c>
      <c r="E100" s="16" t="str">
        <f>"20212031214"</f>
        <v>20212031214</v>
      </c>
      <c r="F100" s="16" t="s">
        <v>293</v>
      </c>
      <c r="G100" s="16">
        <v>0</v>
      </c>
      <c r="H100" s="10">
        <v>0</v>
      </c>
      <c r="I100" s="10">
        <f t="shared" si="5"/>
        <v>0</v>
      </c>
      <c r="J100" s="21" t="s">
        <v>126</v>
      </c>
    </row>
    <row r="101" ht="14.25" spans="1:10">
      <c r="A101" s="16">
        <v>95</v>
      </c>
      <c r="B101" s="16">
        <v>21203</v>
      </c>
      <c r="C101" s="16" t="str">
        <f t="shared" si="7"/>
        <v>12</v>
      </c>
      <c r="D101" s="16" t="str">
        <f>"16"</f>
        <v>16</v>
      </c>
      <c r="E101" s="16" t="str">
        <f>"20212031216"</f>
        <v>20212031216</v>
      </c>
      <c r="F101" s="16" t="s">
        <v>294</v>
      </c>
      <c r="G101" s="16">
        <v>0</v>
      </c>
      <c r="H101" s="10">
        <v>0</v>
      </c>
      <c r="I101" s="10">
        <f t="shared" si="5"/>
        <v>0</v>
      </c>
      <c r="J101" s="21" t="s">
        <v>126</v>
      </c>
    </row>
    <row r="102" ht="14.25" spans="1:10">
      <c r="A102" s="16">
        <v>96</v>
      </c>
      <c r="B102" s="16">
        <v>21203</v>
      </c>
      <c r="C102" s="16" t="str">
        <f t="shared" si="7"/>
        <v>12</v>
      </c>
      <c r="D102" s="16" t="str">
        <f>"17"</f>
        <v>17</v>
      </c>
      <c r="E102" s="16" t="str">
        <f>"20212031217"</f>
        <v>20212031217</v>
      </c>
      <c r="F102" s="16" t="s">
        <v>295</v>
      </c>
      <c r="G102" s="16">
        <v>0</v>
      </c>
      <c r="H102" s="10">
        <v>0</v>
      </c>
      <c r="I102" s="10">
        <f t="shared" si="5"/>
        <v>0</v>
      </c>
      <c r="J102" s="21" t="s">
        <v>126</v>
      </c>
    </row>
    <row r="103" ht="14.25" spans="1:10">
      <c r="A103" s="16">
        <v>97</v>
      </c>
      <c r="B103" s="16">
        <v>21203</v>
      </c>
      <c r="C103" s="16" t="str">
        <f t="shared" si="7"/>
        <v>12</v>
      </c>
      <c r="D103" s="16" t="str">
        <f>"21"</f>
        <v>21</v>
      </c>
      <c r="E103" s="16" t="str">
        <f>"20212031221"</f>
        <v>20212031221</v>
      </c>
      <c r="F103" s="16" t="s">
        <v>296</v>
      </c>
      <c r="G103" s="16">
        <v>0</v>
      </c>
      <c r="H103" s="10">
        <v>0</v>
      </c>
      <c r="I103" s="10">
        <f t="shared" si="5"/>
        <v>0</v>
      </c>
      <c r="J103" s="21" t="s">
        <v>126</v>
      </c>
    </row>
    <row r="104" ht="14.25" spans="1:10">
      <c r="A104" s="16">
        <v>98</v>
      </c>
      <c r="B104" s="16">
        <v>21203</v>
      </c>
      <c r="C104" s="16" t="str">
        <f t="shared" si="7"/>
        <v>12</v>
      </c>
      <c r="D104" s="16" t="str">
        <f>"23"</f>
        <v>23</v>
      </c>
      <c r="E104" s="16" t="str">
        <f>"20212031223"</f>
        <v>20212031223</v>
      </c>
      <c r="F104" s="16" t="s">
        <v>297</v>
      </c>
      <c r="G104" s="16">
        <v>0</v>
      </c>
      <c r="H104" s="10">
        <v>0</v>
      </c>
      <c r="I104" s="10">
        <f t="shared" si="5"/>
        <v>0</v>
      </c>
      <c r="J104" s="21" t="s">
        <v>126</v>
      </c>
    </row>
    <row r="105" ht="14.25" spans="1:10">
      <c r="A105" s="16">
        <v>99</v>
      </c>
      <c r="B105" s="16">
        <v>21203</v>
      </c>
      <c r="C105" s="16" t="str">
        <f t="shared" si="7"/>
        <v>12</v>
      </c>
      <c r="D105" s="16" t="str">
        <f>"26"</f>
        <v>26</v>
      </c>
      <c r="E105" s="16" t="str">
        <f>"20212031226"</f>
        <v>20212031226</v>
      </c>
      <c r="F105" s="16" t="s">
        <v>298</v>
      </c>
      <c r="G105" s="16">
        <v>0</v>
      </c>
      <c r="H105" s="10">
        <v>0</v>
      </c>
      <c r="I105" s="10">
        <f t="shared" si="5"/>
        <v>0</v>
      </c>
      <c r="J105" s="21" t="s">
        <v>126</v>
      </c>
    </row>
    <row r="106" ht="14.25" spans="1:10">
      <c r="A106" s="16">
        <v>100</v>
      </c>
      <c r="B106" s="16">
        <v>21203</v>
      </c>
      <c r="C106" s="16" t="str">
        <f t="shared" si="7"/>
        <v>12</v>
      </c>
      <c r="D106" s="16" t="str">
        <f>"28"</f>
        <v>28</v>
      </c>
      <c r="E106" s="16" t="str">
        <f>"20212031228"</f>
        <v>20212031228</v>
      </c>
      <c r="F106" s="16" t="s">
        <v>296</v>
      </c>
      <c r="G106" s="16">
        <v>0</v>
      </c>
      <c r="H106" s="10">
        <v>0</v>
      </c>
      <c r="I106" s="10">
        <f t="shared" si="5"/>
        <v>0</v>
      </c>
      <c r="J106" s="21" t="s">
        <v>126</v>
      </c>
    </row>
    <row r="107" ht="14.25" spans="1:10">
      <c r="A107" s="16">
        <v>101</v>
      </c>
      <c r="B107" s="16">
        <v>21203</v>
      </c>
      <c r="C107" s="16" t="str">
        <f t="shared" si="7"/>
        <v>12</v>
      </c>
      <c r="D107" s="16" t="str">
        <f>"30"</f>
        <v>30</v>
      </c>
      <c r="E107" s="16" t="str">
        <f>"20212031230"</f>
        <v>20212031230</v>
      </c>
      <c r="F107" s="16" t="s">
        <v>299</v>
      </c>
      <c r="G107" s="16">
        <v>0</v>
      </c>
      <c r="H107" s="10">
        <v>0</v>
      </c>
      <c r="I107" s="10">
        <f t="shared" si="5"/>
        <v>0</v>
      </c>
      <c r="J107" s="21" t="s">
        <v>126</v>
      </c>
    </row>
  </sheetData>
  <sheetProtection formatCells="0" formatColumns="0" formatRows="0" insertRows="0" insertColumns="0" insertHyperlinks="0" deleteColumns="0" deleteRows="0" sort="0" autoFilter="0" pivotTables="0"/>
  <autoFilter ref="A1:J107">
    <extLst/>
  </autoFilter>
  <sortState ref="B3:J103">
    <sortCondition ref="B3:B103" descending="1"/>
  </sortState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3" sqref="A3:J5"/>
    </sheetView>
  </sheetViews>
  <sheetFormatPr defaultColWidth="9" defaultRowHeight="13.5"/>
  <cols>
    <col min="1" max="1" width="6.375" customWidth="1"/>
    <col min="3" max="3" width="7.5" customWidth="1"/>
    <col min="4" max="4" width="7.125" customWidth="1"/>
    <col min="5" max="5" width="13" customWidth="1"/>
    <col min="6" max="6" width="11.5" customWidth="1"/>
    <col min="7" max="7" width="12.75" customWidth="1"/>
    <col min="8" max="8" width="16.5" customWidth="1"/>
    <col min="9" max="9" width="14.875" customWidth="1"/>
  </cols>
  <sheetData>
    <row r="1" ht="30" customHeight="1" spans="1:10">
      <c r="A1" s="15" t="s">
        <v>300</v>
      </c>
      <c r="B1" s="15"/>
      <c r="C1" s="15"/>
      <c r="D1" s="15"/>
      <c r="E1" s="15"/>
      <c r="F1" s="15"/>
      <c r="G1" s="15"/>
      <c r="H1" s="15"/>
      <c r="I1" s="15"/>
      <c r="J1" s="15"/>
    </row>
    <row r="2" ht="27.7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/>
      <c r="J2" s="7" t="s">
        <v>9</v>
      </c>
    </row>
    <row r="3" ht="27.75" customHeight="1" spans="1:10">
      <c r="A3" s="16">
        <v>1</v>
      </c>
      <c r="B3" s="16">
        <v>21208</v>
      </c>
      <c r="C3" s="16" t="str">
        <f>"09"</f>
        <v>09</v>
      </c>
      <c r="D3" s="16" t="str">
        <f>"19"</f>
        <v>19</v>
      </c>
      <c r="E3" s="16" t="str">
        <f>"20212080919"</f>
        <v>20212080919</v>
      </c>
      <c r="F3" s="16" t="s">
        <v>301</v>
      </c>
      <c r="G3" s="16">
        <v>88</v>
      </c>
      <c r="H3" s="10">
        <v>85</v>
      </c>
      <c r="I3" s="10">
        <f>G3*0.7+H3*0.3</f>
        <v>87.1</v>
      </c>
      <c r="J3" s="19"/>
    </row>
    <row r="4" ht="27.75" customHeight="1" spans="1:10">
      <c r="A4" s="16">
        <v>2</v>
      </c>
      <c r="B4" s="16">
        <v>21208</v>
      </c>
      <c r="C4" s="16" t="str">
        <f>"09"</f>
        <v>09</v>
      </c>
      <c r="D4" s="16" t="str">
        <f>"20"</f>
        <v>20</v>
      </c>
      <c r="E4" s="16" t="str">
        <f>"20212080920"</f>
        <v>20212080920</v>
      </c>
      <c r="F4" s="16" t="s">
        <v>302</v>
      </c>
      <c r="G4" s="16">
        <v>90</v>
      </c>
      <c r="H4" s="10">
        <v>78.8</v>
      </c>
      <c r="I4" s="10">
        <f>G4*0.7+H4*0.3</f>
        <v>86.64</v>
      </c>
      <c r="J4" s="19"/>
    </row>
    <row r="5" ht="27.75" customHeight="1" spans="1:10">
      <c r="A5" s="16">
        <v>3</v>
      </c>
      <c r="B5" s="16">
        <v>21208</v>
      </c>
      <c r="C5" s="16" t="str">
        <f>"09"</f>
        <v>09</v>
      </c>
      <c r="D5" s="16" t="str">
        <f>"16"</f>
        <v>16</v>
      </c>
      <c r="E5" s="16" t="str">
        <f>"20212080916"</f>
        <v>20212080916</v>
      </c>
      <c r="F5" s="16" t="s">
        <v>303</v>
      </c>
      <c r="G5" s="16">
        <v>86</v>
      </c>
      <c r="H5" s="10">
        <v>76.5</v>
      </c>
      <c r="I5" s="10">
        <f>G5*0.7+H5*0.3</f>
        <v>83.15</v>
      </c>
      <c r="J5" s="19"/>
    </row>
    <row r="6" ht="27.75" customHeight="1" spans="1:10">
      <c r="A6" s="16"/>
      <c r="B6" s="16"/>
      <c r="C6" s="16"/>
      <c r="D6" s="16"/>
      <c r="E6" s="16"/>
      <c r="F6" s="16"/>
      <c r="G6" s="16"/>
      <c r="H6" s="10"/>
      <c r="I6" s="10"/>
      <c r="J6" s="19"/>
    </row>
    <row r="7" ht="27.75" customHeight="1" spans="1:10">
      <c r="A7" s="16">
        <v>4</v>
      </c>
      <c r="B7" s="16">
        <v>21208</v>
      </c>
      <c r="C7" s="16" t="str">
        <f t="shared" ref="C7:C12" si="0">"09"</f>
        <v>09</v>
      </c>
      <c r="D7" s="16" t="str">
        <f>"13"</f>
        <v>13</v>
      </c>
      <c r="E7" s="16" t="str">
        <f>"20212080913"</f>
        <v>20212080913</v>
      </c>
      <c r="F7" s="16" t="s">
        <v>304</v>
      </c>
      <c r="G7" s="16">
        <v>74</v>
      </c>
      <c r="H7" s="10">
        <v>62.9</v>
      </c>
      <c r="I7" s="10">
        <f t="shared" ref="I7:I12" si="1">G7*0.7+H7*0.3</f>
        <v>70.67</v>
      </c>
      <c r="J7" s="19"/>
    </row>
    <row r="8" ht="27.75" customHeight="1" spans="1:10">
      <c r="A8" s="16">
        <v>5</v>
      </c>
      <c r="B8" s="16">
        <v>21208</v>
      </c>
      <c r="C8" s="16" t="str">
        <f t="shared" si="0"/>
        <v>09</v>
      </c>
      <c r="D8" s="16" t="str">
        <f>"17"</f>
        <v>17</v>
      </c>
      <c r="E8" s="16" t="str">
        <f>"20212080917"</f>
        <v>20212080917</v>
      </c>
      <c r="F8" s="16" t="s">
        <v>305</v>
      </c>
      <c r="G8" s="16">
        <v>65</v>
      </c>
      <c r="H8" s="10">
        <v>80.2</v>
      </c>
      <c r="I8" s="10">
        <f t="shared" si="1"/>
        <v>69.56</v>
      </c>
      <c r="J8" s="19"/>
    </row>
    <row r="9" ht="27.75" customHeight="1" spans="1:10">
      <c r="A9" s="16">
        <v>6</v>
      </c>
      <c r="B9" s="16">
        <v>21208</v>
      </c>
      <c r="C9" s="16" t="str">
        <f t="shared" si="0"/>
        <v>09</v>
      </c>
      <c r="D9" s="16" t="str">
        <f>"14"</f>
        <v>14</v>
      </c>
      <c r="E9" s="16" t="str">
        <f>"20212080914"</f>
        <v>20212080914</v>
      </c>
      <c r="F9" s="16" t="s">
        <v>306</v>
      </c>
      <c r="G9" s="16">
        <v>70</v>
      </c>
      <c r="H9" s="10">
        <v>68</v>
      </c>
      <c r="I9" s="10">
        <f t="shared" si="1"/>
        <v>69.4</v>
      </c>
      <c r="J9" s="19"/>
    </row>
    <row r="10" ht="27.75" customHeight="1" spans="1:10">
      <c r="A10" s="16">
        <v>7</v>
      </c>
      <c r="B10" s="16">
        <v>21208</v>
      </c>
      <c r="C10" s="16" t="str">
        <f t="shared" si="0"/>
        <v>09</v>
      </c>
      <c r="D10" s="16" t="str">
        <f>"15"</f>
        <v>15</v>
      </c>
      <c r="E10" s="16" t="str">
        <f>"20212080915"</f>
        <v>20212080915</v>
      </c>
      <c r="F10" s="16" t="s">
        <v>307</v>
      </c>
      <c r="G10" s="16">
        <v>64</v>
      </c>
      <c r="H10" s="10">
        <v>78.8</v>
      </c>
      <c r="I10" s="10">
        <f t="shared" si="1"/>
        <v>68.44</v>
      </c>
      <c r="J10" s="19"/>
    </row>
    <row r="11" ht="27.75" customHeight="1" spans="1:10">
      <c r="A11" s="16">
        <v>8</v>
      </c>
      <c r="B11" s="16">
        <v>21208</v>
      </c>
      <c r="C11" s="16" t="str">
        <f t="shared" si="0"/>
        <v>09</v>
      </c>
      <c r="D11" s="16" t="str">
        <f>"12"</f>
        <v>12</v>
      </c>
      <c r="E11" s="16" t="str">
        <f>"20212080912"</f>
        <v>20212080912</v>
      </c>
      <c r="F11" s="16" t="s">
        <v>308</v>
      </c>
      <c r="G11" s="16">
        <v>0</v>
      </c>
      <c r="H11" s="10">
        <v>0</v>
      </c>
      <c r="I11" s="10">
        <f t="shared" si="1"/>
        <v>0</v>
      </c>
      <c r="J11" s="21" t="s">
        <v>126</v>
      </c>
    </row>
    <row r="12" ht="27.75" customHeight="1" spans="1:10">
      <c r="A12" s="16">
        <v>9</v>
      </c>
      <c r="B12" s="16">
        <v>21208</v>
      </c>
      <c r="C12" s="16" t="str">
        <f t="shared" si="0"/>
        <v>09</v>
      </c>
      <c r="D12" s="16" t="str">
        <f>"18"</f>
        <v>18</v>
      </c>
      <c r="E12" s="16" t="str">
        <f>"20212080918"</f>
        <v>20212080918</v>
      </c>
      <c r="F12" s="16" t="s">
        <v>309</v>
      </c>
      <c r="G12" s="16">
        <v>0</v>
      </c>
      <c r="H12" s="10">
        <v>0</v>
      </c>
      <c r="I12" s="10">
        <f t="shared" si="1"/>
        <v>0</v>
      </c>
      <c r="J12" s="21" t="s">
        <v>126</v>
      </c>
    </row>
  </sheetData>
  <sheetProtection formatCells="0" formatColumns="0" formatRows="0" insertRows="0" insertColumns="0" insertHyperlinks="0" deleteColumns="0" deleteRows="0" sort="0" autoFilter="0" pivotTables="0"/>
  <sortState ref="B3:J11">
    <sortCondition ref="I3:I11" descending="1"/>
  </sortState>
  <mergeCells count="1">
    <mergeCell ref="A1:J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13" workbookViewId="0">
      <selection activeCell="K18" sqref="K18"/>
    </sheetView>
  </sheetViews>
  <sheetFormatPr defaultColWidth="9" defaultRowHeight="13.5"/>
  <cols>
    <col min="5" max="5" width="14.125" customWidth="1"/>
    <col min="7" max="7" width="11.875" customWidth="1"/>
    <col min="8" max="9" width="15.875" customWidth="1"/>
  </cols>
  <sheetData>
    <row r="1" ht="30" customHeight="1" spans="1:10">
      <c r="A1" s="15" t="s">
        <v>310</v>
      </c>
      <c r="B1" s="15"/>
      <c r="C1" s="15"/>
      <c r="D1" s="15"/>
      <c r="E1" s="15"/>
      <c r="F1" s="15"/>
      <c r="G1" s="15"/>
      <c r="H1" s="15"/>
      <c r="I1" s="15"/>
      <c r="J1" s="15"/>
    </row>
    <row r="2" ht="27.7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/>
      <c r="J2" s="7" t="s">
        <v>9</v>
      </c>
    </row>
    <row r="3" ht="27.75" customHeight="1" spans="1:10">
      <c r="A3" s="16">
        <v>1</v>
      </c>
      <c r="B3" s="16">
        <v>21204</v>
      </c>
      <c r="C3" s="16" t="str">
        <f t="shared" ref="C3:C14" si="0">"01"</f>
        <v>01</v>
      </c>
      <c r="D3" s="16" t="str">
        <f>"10"</f>
        <v>10</v>
      </c>
      <c r="E3" s="16" t="str">
        <f>"20212040110"</f>
        <v>20212040110</v>
      </c>
      <c r="F3" s="16" t="s">
        <v>311</v>
      </c>
      <c r="G3" s="16">
        <v>76</v>
      </c>
      <c r="H3" s="10">
        <v>69.5</v>
      </c>
      <c r="I3" s="10">
        <f t="shared" ref="I3:I14" si="1">G3*0.7+H3*0.3</f>
        <v>74.05</v>
      </c>
      <c r="J3" s="19"/>
    </row>
    <row r="4" ht="27.75" customHeight="1" spans="1:10">
      <c r="A4" s="16">
        <v>2</v>
      </c>
      <c r="B4" s="16">
        <v>21204</v>
      </c>
      <c r="C4" s="16" t="str">
        <f t="shared" si="0"/>
        <v>01</v>
      </c>
      <c r="D4" s="16" t="str">
        <f>"03"</f>
        <v>03</v>
      </c>
      <c r="E4" s="16" t="str">
        <f>"20212040103"</f>
        <v>20212040103</v>
      </c>
      <c r="F4" s="16" t="s">
        <v>312</v>
      </c>
      <c r="G4" s="16">
        <v>74</v>
      </c>
      <c r="H4" s="10">
        <v>71.1</v>
      </c>
      <c r="I4" s="10">
        <f t="shared" si="1"/>
        <v>73.13</v>
      </c>
      <c r="J4" s="19"/>
    </row>
    <row r="5" ht="27.75" customHeight="1" spans="1:10">
      <c r="A5" s="16">
        <v>3</v>
      </c>
      <c r="B5" s="16">
        <v>21204</v>
      </c>
      <c r="C5" s="16" t="str">
        <f t="shared" si="0"/>
        <v>01</v>
      </c>
      <c r="D5" s="16" t="str">
        <f>"14"</f>
        <v>14</v>
      </c>
      <c r="E5" s="16" t="s">
        <v>313</v>
      </c>
      <c r="F5" s="16" t="s">
        <v>314</v>
      </c>
      <c r="G5" s="16">
        <v>72</v>
      </c>
      <c r="H5" s="10">
        <v>70.9</v>
      </c>
      <c r="I5" s="10">
        <f t="shared" si="1"/>
        <v>71.67</v>
      </c>
      <c r="J5" s="19"/>
    </row>
    <row r="6" ht="27.75" customHeight="1" spans="1:10">
      <c r="A6" s="16">
        <v>4</v>
      </c>
      <c r="B6" s="16">
        <v>21204</v>
      </c>
      <c r="C6" s="16" t="str">
        <f t="shared" si="0"/>
        <v>01</v>
      </c>
      <c r="D6" s="16" t="str">
        <f>"01"</f>
        <v>01</v>
      </c>
      <c r="E6" s="16" t="str">
        <f>"20212040101"</f>
        <v>20212040101</v>
      </c>
      <c r="F6" s="16" t="s">
        <v>315</v>
      </c>
      <c r="G6" s="16">
        <v>68</v>
      </c>
      <c r="H6" s="10">
        <v>78.3</v>
      </c>
      <c r="I6" s="10">
        <f t="shared" si="1"/>
        <v>71.09</v>
      </c>
      <c r="J6" s="19"/>
    </row>
    <row r="7" ht="27.75" customHeight="1" spans="1:10">
      <c r="A7" s="16">
        <v>5</v>
      </c>
      <c r="B7" s="16">
        <v>21204</v>
      </c>
      <c r="C7" s="16" t="str">
        <f t="shared" si="0"/>
        <v>01</v>
      </c>
      <c r="D7" s="16" t="str">
        <f>"07"</f>
        <v>07</v>
      </c>
      <c r="E7" s="16" t="str">
        <f>"20212040107"</f>
        <v>20212040107</v>
      </c>
      <c r="F7" s="16" t="s">
        <v>316</v>
      </c>
      <c r="G7" s="16">
        <v>68</v>
      </c>
      <c r="H7" s="10">
        <v>75.2</v>
      </c>
      <c r="I7" s="10">
        <f t="shared" si="1"/>
        <v>70.16</v>
      </c>
      <c r="J7" s="19"/>
    </row>
    <row r="8" s="14" customFormat="1" ht="27.75" customHeight="1" spans="1:10">
      <c r="A8" s="17">
        <v>6</v>
      </c>
      <c r="B8" s="17">
        <v>21204</v>
      </c>
      <c r="C8" s="17" t="str">
        <f t="shared" si="0"/>
        <v>01</v>
      </c>
      <c r="D8" s="17" t="str">
        <f>"15"</f>
        <v>15</v>
      </c>
      <c r="E8" s="17" t="str">
        <f>"20212040115"</f>
        <v>20212040115</v>
      </c>
      <c r="F8" s="17" t="s">
        <v>317</v>
      </c>
      <c r="G8" s="17">
        <v>70</v>
      </c>
      <c r="H8" s="18">
        <v>70.2</v>
      </c>
      <c r="I8" s="18">
        <f t="shared" si="1"/>
        <v>70.06</v>
      </c>
      <c r="J8" s="20" t="s">
        <v>318</v>
      </c>
    </row>
    <row r="9" ht="27.75" customHeight="1" spans="1:10">
      <c r="A9" s="16">
        <v>7</v>
      </c>
      <c r="B9" s="16">
        <v>21204</v>
      </c>
      <c r="C9" s="16" t="str">
        <f t="shared" si="0"/>
        <v>01</v>
      </c>
      <c r="D9" s="16" t="str">
        <f>"09"</f>
        <v>09</v>
      </c>
      <c r="E9" s="16" t="str">
        <f>"20212040109"</f>
        <v>20212040109</v>
      </c>
      <c r="F9" s="16" t="s">
        <v>319</v>
      </c>
      <c r="G9" s="16">
        <v>72</v>
      </c>
      <c r="H9" s="10">
        <v>65.1</v>
      </c>
      <c r="I9" s="10">
        <f t="shared" si="1"/>
        <v>69.93</v>
      </c>
      <c r="J9" s="19"/>
    </row>
    <row r="10" ht="27.75" customHeight="1" spans="1:10">
      <c r="A10" s="16">
        <v>8</v>
      </c>
      <c r="B10" s="16">
        <v>21204</v>
      </c>
      <c r="C10" s="16" t="str">
        <f t="shared" si="0"/>
        <v>01</v>
      </c>
      <c r="D10" s="16" t="str">
        <f>"04"</f>
        <v>04</v>
      </c>
      <c r="E10" s="16" t="str">
        <f>"20212040104"</f>
        <v>20212040104</v>
      </c>
      <c r="F10" s="16" t="s">
        <v>320</v>
      </c>
      <c r="G10" s="16">
        <v>64</v>
      </c>
      <c r="H10" s="10">
        <v>83.4</v>
      </c>
      <c r="I10" s="10">
        <f t="shared" si="1"/>
        <v>69.82</v>
      </c>
      <c r="J10" s="19"/>
    </row>
    <row r="11" s="14" customFormat="1" ht="27.75" customHeight="1" spans="1:10">
      <c r="A11" s="17">
        <v>9</v>
      </c>
      <c r="B11" s="17">
        <v>21204</v>
      </c>
      <c r="C11" s="17" t="str">
        <f t="shared" si="0"/>
        <v>01</v>
      </c>
      <c r="D11" s="17" t="str">
        <f>"23"</f>
        <v>23</v>
      </c>
      <c r="E11" s="17" t="str">
        <f>"20212040123"</f>
        <v>20212040123</v>
      </c>
      <c r="F11" s="17" t="s">
        <v>321</v>
      </c>
      <c r="G11" s="17">
        <v>66</v>
      </c>
      <c r="H11" s="18">
        <v>75.6</v>
      </c>
      <c r="I11" s="18">
        <f t="shared" si="1"/>
        <v>68.88</v>
      </c>
      <c r="J11" s="20" t="s">
        <v>318</v>
      </c>
    </row>
    <row r="12" s="14" customFormat="1" ht="27.75" customHeight="1" spans="1:10">
      <c r="A12" s="17">
        <v>10</v>
      </c>
      <c r="B12" s="17">
        <v>21204</v>
      </c>
      <c r="C12" s="17" t="str">
        <f t="shared" si="0"/>
        <v>01</v>
      </c>
      <c r="D12" s="17" t="str">
        <f>"21"</f>
        <v>21</v>
      </c>
      <c r="E12" s="17" t="str">
        <f>"20212040121"</f>
        <v>20212040121</v>
      </c>
      <c r="F12" s="17" t="s">
        <v>322</v>
      </c>
      <c r="G12" s="17">
        <v>69</v>
      </c>
      <c r="H12" s="18">
        <v>68.4</v>
      </c>
      <c r="I12" s="18">
        <f t="shared" si="1"/>
        <v>68.82</v>
      </c>
      <c r="J12" s="20" t="s">
        <v>318</v>
      </c>
    </row>
    <row r="13" ht="27.75" customHeight="1" spans="1:10">
      <c r="A13" s="16">
        <v>11</v>
      </c>
      <c r="B13" s="16">
        <v>21204</v>
      </c>
      <c r="C13" s="16" t="str">
        <f t="shared" si="0"/>
        <v>01</v>
      </c>
      <c r="D13" s="16" t="str">
        <f>"19"</f>
        <v>19</v>
      </c>
      <c r="E13" s="16" t="str">
        <f>"20212040119"</f>
        <v>20212040119</v>
      </c>
      <c r="F13" s="16" t="s">
        <v>323</v>
      </c>
      <c r="G13" s="16">
        <v>70</v>
      </c>
      <c r="H13" s="10">
        <v>64.8</v>
      </c>
      <c r="I13" s="10">
        <f t="shared" si="1"/>
        <v>68.44</v>
      </c>
      <c r="J13" s="19"/>
    </row>
    <row r="14" ht="27.75" customHeight="1" spans="1:10">
      <c r="A14" s="16">
        <v>12</v>
      </c>
      <c r="B14" s="16">
        <v>21204</v>
      </c>
      <c r="C14" s="16" t="str">
        <f t="shared" si="0"/>
        <v>01</v>
      </c>
      <c r="D14" s="16" t="str">
        <f>"08"</f>
        <v>08</v>
      </c>
      <c r="E14" s="16" t="str">
        <f>"20212040108"</f>
        <v>20212040108</v>
      </c>
      <c r="F14" s="16" t="s">
        <v>281</v>
      </c>
      <c r="G14" s="16">
        <v>64</v>
      </c>
      <c r="H14" s="10">
        <v>75.9</v>
      </c>
      <c r="I14" s="10">
        <f t="shared" si="1"/>
        <v>67.57</v>
      </c>
      <c r="J14" s="19"/>
    </row>
    <row r="15" ht="27.75" customHeight="1" spans="1:10">
      <c r="A15" s="16"/>
      <c r="B15" s="16"/>
      <c r="C15" s="16"/>
      <c r="D15" s="16"/>
      <c r="E15" s="16"/>
      <c r="F15" s="16"/>
      <c r="G15" s="16"/>
      <c r="H15" s="10"/>
      <c r="I15" s="10"/>
      <c r="J15" s="19"/>
    </row>
    <row r="16" ht="27.75" customHeight="1" spans="1:10">
      <c r="A16" s="16">
        <v>13</v>
      </c>
      <c r="B16" s="16">
        <v>21204</v>
      </c>
      <c r="C16" s="16" t="str">
        <f>"01"</f>
        <v>01</v>
      </c>
      <c r="D16" s="16" t="str">
        <f>"24"</f>
        <v>24</v>
      </c>
      <c r="E16" s="16" t="str">
        <f>"20212040124"</f>
        <v>20212040124</v>
      </c>
      <c r="F16" s="16" t="s">
        <v>324</v>
      </c>
      <c r="G16" s="16">
        <v>60</v>
      </c>
      <c r="H16" s="10">
        <v>72.1</v>
      </c>
      <c r="I16" s="10">
        <f>G16*0.7+H16*0.3</f>
        <v>63.63</v>
      </c>
      <c r="J16" s="19" t="s">
        <v>325</v>
      </c>
    </row>
    <row r="17" ht="27.75" customHeight="1" spans="1:10">
      <c r="A17" s="16">
        <v>14</v>
      </c>
      <c r="B17" s="16">
        <v>21204</v>
      </c>
      <c r="C17" s="16" t="str">
        <f>"01"</f>
        <v>01</v>
      </c>
      <c r="D17" s="16" t="str">
        <f>"18"</f>
        <v>18</v>
      </c>
      <c r="E17" s="16" t="str">
        <f>"20212040118"</f>
        <v>20212040118</v>
      </c>
      <c r="F17" s="16" t="s">
        <v>326</v>
      </c>
      <c r="G17" s="16">
        <v>53</v>
      </c>
      <c r="H17" s="10">
        <v>77.2</v>
      </c>
      <c r="I17" s="10">
        <f>G17*0.7+H17*0.3</f>
        <v>60.26</v>
      </c>
      <c r="J17" s="19" t="s">
        <v>325</v>
      </c>
    </row>
    <row r="18" ht="27.75" customHeight="1" spans="1:10">
      <c r="A18" s="16">
        <v>15</v>
      </c>
      <c r="B18" s="16">
        <v>21204</v>
      </c>
      <c r="C18" s="16" t="str">
        <f>"01"</f>
        <v>01</v>
      </c>
      <c r="D18" s="16" t="str">
        <f>"25"</f>
        <v>25</v>
      </c>
      <c r="E18" s="16" t="str">
        <f>"20212040125"</f>
        <v>20212040125</v>
      </c>
      <c r="F18" s="16" t="s">
        <v>327</v>
      </c>
      <c r="G18" s="16">
        <v>51</v>
      </c>
      <c r="H18" s="10">
        <v>69.6</v>
      </c>
      <c r="I18" s="10">
        <f>G18*0.7+H18*0.3</f>
        <v>56.58</v>
      </c>
      <c r="J18" s="19" t="s">
        <v>325</v>
      </c>
    </row>
    <row r="19" ht="27.75" customHeight="1" spans="1:10">
      <c r="A19" s="16"/>
      <c r="B19" s="16"/>
      <c r="C19" s="16"/>
      <c r="D19" s="16"/>
      <c r="E19" s="16"/>
      <c r="F19" s="16"/>
      <c r="G19" s="16"/>
      <c r="H19" s="10"/>
      <c r="I19" s="10"/>
      <c r="J19" s="19"/>
    </row>
    <row r="20" ht="27.75" customHeight="1" spans="1:10">
      <c r="A20" s="16">
        <v>16</v>
      </c>
      <c r="B20" s="16">
        <v>21204</v>
      </c>
      <c r="C20" s="16" t="str">
        <f t="shared" ref="C20:C29" si="2">"01"</f>
        <v>01</v>
      </c>
      <c r="D20" s="16" t="str">
        <f>"22"</f>
        <v>22</v>
      </c>
      <c r="E20" s="16" t="str">
        <f>"20212040122"</f>
        <v>20212040122</v>
      </c>
      <c r="F20" s="16" t="s">
        <v>328</v>
      </c>
      <c r="G20" s="16">
        <v>45</v>
      </c>
      <c r="H20" s="10">
        <v>51.1</v>
      </c>
      <c r="I20" s="10">
        <f t="shared" ref="I20:I29" si="3">G20*0.7+H20*0.3</f>
        <v>46.83</v>
      </c>
      <c r="J20" s="19"/>
    </row>
    <row r="21" ht="27.75" customHeight="1" spans="1:10">
      <c r="A21" s="16">
        <v>17</v>
      </c>
      <c r="B21" s="16">
        <v>21204</v>
      </c>
      <c r="C21" s="16" t="str">
        <f t="shared" si="2"/>
        <v>01</v>
      </c>
      <c r="D21" s="16" t="str">
        <f>"02"</f>
        <v>02</v>
      </c>
      <c r="E21" s="16" t="str">
        <f>"20212040102"</f>
        <v>20212040102</v>
      </c>
      <c r="F21" s="16" t="s">
        <v>329</v>
      </c>
      <c r="G21" s="16">
        <v>0</v>
      </c>
      <c r="H21" s="10">
        <v>0</v>
      </c>
      <c r="I21" s="10">
        <f t="shared" si="3"/>
        <v>0</v>
      </c>
      <c r="J21" s="21" t="s">
        <v>126</v>
      </c>
    </row>
    <row r="22" ht="27.75" customHeight="1" spans="1:10">
      <c r="A22" s="16">
        <v>18</v>
      </c>
      <c r="B22" s="16">
        <v>21204</v>
      </c>
      <c r="C22" s="16" t="str">
        <f t="shared" si="2"/>
        <v>01</v>
      </c>
      <c r="D22" s="16" t="str">
        <f>"05"</f>
        <v>05</v>
      </c>
      <c r="E22" s="16" t="str">
        <f>"20212040105"</f>
        <v>20212040105</v>
      </c>
      <c r="F22" s="16" t="s">
        <v>330</v>
      </c>
      <c r="G22" s="16">
        <v>0</v>
      </c>
      <c r="H22" s="10">
        <v>0</v>
      </c>
      <c r="I22" s="10">
        <f t="shared" si="3"/>
        <v>0</v>
      </c>
      <c r="J22" s="21" t="s">
        <v>126</v>
      </c>
    </row>
    <row r="23" ht="27.75" customHeight="1" spans="1:10">
      <c r="A23" s="16">
        <v>19</v>
      </c>
      <c r="B23" s="16">
        <v>21204</v>
      </c>
      <c r="C23" s="16" t="str">
        <f t="shared" si="2"/>
        <v>01</v>
      </c>
      <c r="D23" s="16" t="str">
        <f>"06"</f>
        <v>06</v>
      </c>
      <c r="E23" s="16" t="str">
        <f>"20212040106"</f>
        <v>20212040106</v>
      </c>
      <c r="F23" s="16" t="s">
        <v>331</v>
      </c>
      <c r="G23" s="16">
        <v>0</v>
      </c>
      <c r="H23" s="10">
        <v>0</v>
      </c>
      <c r="I23" s="10">
        <f t="shared" si="3"/>
        <v>0</v>
      </c>
      <c r="J23" s="21" t="s">
        <v>126</v>
      </c>
    </row>
    <row r="24" ht="27.75" customHeight="1" spans="1:10">
      <c r="A24" s="16">
        <v>20</v>
      </c>
      <c r="B24" s="16">
        <v>21204</v>
      </c>
      <c r="C24" s="16" t="str">
        <f t="shared" si="2"/>
        <v>01</v>
      </c>
      <c r="D24" s="16" t="str">
        <f>"11"</f>
        <v>11</v>
      </c>
      <c r="E24" s="16" t="str">
        <f>"20212040111"</f>
        <v>20212040111</v>
      </c>
      <c r="F24" s="16" t="s">
        <v>332</v>
      </c>
      <c r="G24" s="16">
        <v>0</v>
      </c>
      <c r="H24" s="10">
        <v>0</v>
      </c>
      <c r="I24" s="10">
        <f t="shared" si="3"/>
        <v>0</v>
      </c>
      <c r="J24" s="21" t="s">
        <v>126</v>
      </c>
    </row>
    <row r="25" ht="27.75" customHeight="1" spans="1:10">
      <c r="A25" s="16">
        <v>21</v>
      </c>
      <c r="B25" s="16">
        <v>21204</v>
      </c>
      <c r="C25" s="16" t="str">
        <f t="shared" si="2"/>
        <v>01</v>
      </c>
      <c r="D25" s="16" t="str">
        <f>"12"</f>
        <v>12</v>
      </c>
      <c r="E25" s="16" t="str">
        <f>"20212040112"</f>
        <v>20212040112</v>
      </c>
      <c r="F25" s="16" t="s">
        <v>333</v>
      </c>
      <c r="G25" s="16">
        <v>0</v>
      </c>
      <c r="H25" s="10">
        <v>0</v>
      </c>
      <c r="I25" s="10">
        <f t="shared" si="3"/>
        <v>0</v>
      </c>
      <c r="J25" s="21" t="s">
        <v>126</v>
      </c>
    </row>
    <row r="26" ht="27.75" customHeight="1" spans="1:10">
      <c r="A26" s="16">
        <v>22</v>
      </c>
      <c r="B26" s="16">
        <v>21204</v>
      </c>
      <c r="C26" s="16" t="str">
        <f t="shared" si="2"/>
        <v>01</v>
      </c>
      <c r="D26" s="16" t="str">
        <f>"13"</f>
        <v>13</v>
      </c>
      <c r="E26" s="16" t="str">
        <f>"20212040113"</f>
        <v>20212040113</v>
      </c>
      <c r="F26" s="16" t="s">
        <v>334</v>
      </c>
      <c r="G26" s="16">
        <v>0</v>
      </c>
      <c r="H26" s="10">
        <v>0</v>
      </c>
      <c r="I26" s="10">
        <f t="shared" si="3"/>
        <v>0</v>
      </c>
      <c r="J26" s="21" t="s">
        <v>126</v>
      </c>
    </row>
    <row r="27" ht="27.75" customHeight="1" spans="1:10">
      <c r="A27" s="16">
        <v>23</v>
      </c>
      <c r="B27" s="16">
        <v>21204</v>
      </c>
      <c r="C27" s="16" t="str">
        <f t="shared" si="2"/>
        <v>01</v>
      </c>
      <c r="D27" s="16" t="str">
        <f>"16"</f>
        <v>16</v>
      </c>
      <c r="E27" s="16" t="str">
        <f>"20212040116"</f>
        <v>20212040116</v>
      </c>
      <c r="F27" s="16" t="s">
        <v>335</v>
      </c>
      <c r="G27" s="16">
        <v>0</v>
      </c>
      <c r="H27" s="10">
        <v>0</v>
      </c>
      <c r="I27" s="10">
        <f t="shared" si="3"/>
        <v>0</v>
      </c>
      <c r="J27" s="21" t="s">
        <v>126</v>
      </c>
    </row>
    <row r="28" ht="27.75" customHeight="1" spans="1:10">
      <c r="A28" s="16">
        <v>24</v>
      </c>
      <c r="B28" s="16">
        <v>21204</v>
      </c>
      <c r="C28" s="16" t="str">
        <f t="shared" si="2"/>
        <v>01</v>
      </c>
      <c r="D28" s="16" t="str">
        <f>"17"</f>
        <v>17</v>
      </c>
      <c r="E28" s="16" t="str">
        <f>"20212040117"</f>
        <v>20212040117</v>
      </c>
      <c r="F28" s="16" t="s">
        <v>336</v>
      </c>
      <c r="G28" s="16">
        <v>0</v>
      </c>
      <c r="H28" s="10">
        <v>0</v>
      </c>
      <c r="I28" s="10">
        <f t="shared" si="3"/>
        <v>0</v>
      </c>
      <c r="J28" s="21" t="s">
        <v>126</v>
      </c>
    </row>
    <row r="29" ht="27.75" customHeight="1" spans="1:10">
      <c r="A29" s="16">
        <v>25</v>
      </c>
      <c r="B29" s="16">
        <v>21204</v>
      </c>
      <c r="C29" s="16" t="str">
        <f t="shared" si="2"/>
        <v>01</v>
      </c>
      <c r="D29" s="16" t="str">
        <f>"20"</f>
        <v>20</v>
      </c>
      <c r="E29" s="16" t="str">
        <f>"20212040120"</f>
        <v>20212040120</v>
      </c>
      <c r="F29" s="16" t="s">
        <v>337</v>
      </c>
      <c r="G29" s="16">
        <v>0</v>
      </c>
      <c r="H29" s="10">
        <v>0</v>
      </c>
      <c r="I29" s="10">
        <f t="shared" si="3"/>
        <v>0</v>
      </c>
      <c r="J29" s="21" t="s">
        <v>126</v>
      </c>
    </row>
  </sheetData>
  <sheetProtection formatCells="0" formatColumns="0" formatRows="0" insertRows="0" insertColumns="0" insertHyperlinks="0" deleteColumns="0" deleteRows="0" sort="0" autoFilter="0" pivotTables="0"/>
  <autoFilter ref="A1:J29">
    <extLst/>
  </autoFilter>
  <sortState ref="B3:J27">
    <sortCondition ref="I3:I27" descending="1"/>
  </sortState>
  <mergeCells count="1">
    <mergeCell ref="A1:J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workbookViewId="0">
      <selection activeCell="A1" sqref="$A1:$XFD1"/>
    </sheetView>
  </sheetViews>
  <sheetFormatPr defaultColWidth="9" defaultRowHeight="22" customHeight="1"/>
  <cols>
    <col min="1" max="1" width="5" style="1" customWidth="1"/>
    <col min="2" max="2" width="9" style="1"/>
    <col min="3" max="3" width="6.75" style="1" customWidth="1"/>
    <col min="4" max="4" width="6.375" style="1" customWidth="1"/>
    <col min="5" max="5" width="13.375" style="1" customWidth="1"/>
    <col min="6" max="6" width="13.25" style="1" customWidth="1"/>
    <col min="7" max="7" width="12.375" style="1" customWidth="1"/>
    <col min="8" max="8" width="11.25" style="3" customWidth="1"/>
    <col min="9" max="16384" width="9" style="1"/>
  </cols>
  <sheetData>
    <row r="1" s="1" customFormat="1" customHeight="1" spans="1:9">
      <c r="A1" s="4" t="s">
        <v>338</v>
      </c>
      <c r="B1" s="5"/>
      <c r="C1" s="5"/>
      <c r="D1" s="5"/>
      <c r="E1" s="5"/>
      <c r="F1" s="5"/>
      <c r="G1" s="5"/>
      <c r="H1" s="5"/>
      <c r="I1" s="5"/>
    </row>
    <row r="2" s="1" customFormat="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339</v>
      </c>
      <c r="G2" s="6" t="s">
        <v>340</v>
      </c>
      <c r="H2" s="8" t="s">
        <v>341</v>
      </c>
      <c r="I2" s="8" t="s">
        <v>9</v>
      </c>
    </row>
    <row r="3" s="2" customFormat="1" customHeight="1" spans="1:9">
      <c r="A3" s="9">
        <v>1</v>
      </c>
      <c r="B3" s="9">
        <v>21201</v>
      </c>
      <c r="C3" s="9" t="str">
        <f>"05"</f>
        <v>05</v>
      </c>
      <c r="D3" s="9" t="str">
        <f>"04"</f>
        <v>04</v>
      </c>
      <c r="E3" s="9" t="str">
        <f>"20212010504"</f>
        <v>20212010504</v>
      </c>
      <c r="F3" s="10">
        <v>87.29</v>
      </c>
      <c r="G3" s="9">
        <v>75.4</v>
      </c>
      <c r="H3" s="11">
        <v>83.72</v>
      </c>
      <c r="I3" s="13"/>
    </row>
    <row r="4" s="2" customFormat="1" customHeight="1" spans="1:9">
      <c r="A4" s="9">
        <v>2</v>
      </c>
      <c r="B4" s="9">
        <v>21201</v>
      </c>
      <c r="C4" s="9" t="str">
        <f>"09"</f>
        <v>09</v>
      </c>
      <c r="D4" s="9" t="str">
        <f>"09"</f>
        <v>09</v>
      </c>
      <c r="E4" s="9" t="str">
        <f>"20212010909"</f>
        <v>20212010909</v>
      </c>
      <c r="F4" s="10">
        <v>84.79</v>
      </c>
      <c r="G4" s="9">
        <v>78.4</v>
      </c>
      <c r="H4" s="11">
        <v>82.87</v>
      </c>
      <c r="I4" s="13"/>
    </row>
    <row r="5" s="2" customFormat="1" customHeight="1" spans="1:9">
      <c r="A5" s="9">
        <v>3</v>
      </c>
      <c r="B5" s="9">
        <v>21201</v>
      </c>
      <c r="C5" s="9" t="str">
        <f>"04"</f>
        <v>04</v>
      </c>
      <c r="D5" s="9" t="str">
        <f>"29"</f>
        <v>29</v>
      </c>
      <c r="E5" s="9" t="str">
        <f>"20212010429"</f>
        <v>20212010429</v>
      </c>
      <c r="F5" s="10">
        <v>84.73</v>
      </c>
      <c r="G5" s="9">
        <v>70.6</v>
      </c>
      <c r="H5" s="11">
        <v>80.49</v>
      </c>
      <c r="I5" s="13"/>
    </row>
    <row r="6" s="2" customFormat="1" customHeight="1" spans="1:9">
      <c r="A6" s="9">
        <v>4</v>
      </c>
      <c r="B6" s="9">
        <v>21201</v>
      </c>
      <c r="C6" s="9" t="str">
        <f>"09"</f>
        <v>09</v>
      </c>
      <c r="D6" s="9" t="str">
        <f>"01"</f>
        <v>01</v>
      </c>
      <c r="E6" s="9" t="str">
        <f>"20212010901"</f>
        <v>20212010901</v>
      </c>
      <c r="F6" s="10">
        <v>84.3</v>
      </c>
      <c r="G6" s="9">
        <v>72.2</v>
      </c>
      <c r="H6" s="11">
        <v>80.67</v>
      </c>
      <c r="I6" s="13"/>
    </row>
    <row r="7" s="2" customFormat="1" customHeight="1" spans="1:9">
      <c r="A7" s="9">
        <v>5</v>
      </c>
      <c r="B7" s="9">
        <v>21201</v>
      </c>
      <c r="C7" s="9" t="str">
        <f>"05"</f>
        <v>05</v>
      </c>
      <c r="D7" s="9" t="str">
        <f>"16"</f>
        <v>16</v>
      </c>
      <c r="E7" s="9" t="str">
        <f>"20212010516"</f>
        <v>20212010516</v>
      </c>
      <c r="F7" s="10">
        <v>84.22</v>
      </c>
      <c r="G7" s="9">
        <v>76.6</v>
      </c>
      <c r="H7" s="11">
        <v>81.93</v>
      </c>
      <c r="I7" s="13"/>
    </row>
    <row r="8" s="2" customFormat="1" customHeight="1" spans="1:9">
      <c r="A8" s="9">
        <v>6</v>
      </c>
      <c r="B8" s="9">
        <v>21201</v>
      </c>
      <c r="C8" s="9" t="str">
        <f>"03"</f>
        <v>03</v>
      </c>
      <c r="D8" s="9" t="str">
        <f>"02"</f>
        <v>02</v>
      </c>
      <c r="E8" s="9" t="str">
        <f>"20212010302"</f>
        <v>20212010302</v>
      </c>
      <c r="F8" s="10">
        <v>83.39</v>
      </c>
      <c r="G8" s="9">
        <v>69.6</v>
      </c>
      <c r="H8" s="11">
        <v>79.25</v>
      </c>
      <c r="I8" s="13"/>
    </row>
    <row r="9" s="2" customFormat="1" customHeight="1" spans="1:9">
      <c r="A9" s="9">
        <v>7</v>
      </c>
      <c r="B9" s="9">
        <v>21202</v>
      </c>
      <c r="C9" s="9" t="str">
        <f t="shared" ref="C9:C12" si="0">"13"</f>
        <v>13</v>
      </c>
      <c r="D9" s="9" t="str">
        <f>"29"</f>
        <v>29</v>
      </c>
      <c r="E9" s="9" t="str">
        <f>"20212021329"</f>
        <v>20212021329</v>
      </c>
      <c r="F9" s="10">
        <v>80.51</v>
      </c>
      <c r="G9" s="9">
        <v>74.6</v>
      </c>
      <c r="H9" s="11">
        <v>78.74</v>
      </c>
      <c r="I9" s="13"/>
    </row>
    <row r="10" s="2" customFormat="1" customHeight="1" spans="1:9">
      <c r="A10" s="9">
        <v>8</v>
      </c>
      <c r="B10" s="9">
        <v>21202</v>
      </c>
      <c r="C10" s="9" t="str">
        <f t="shared" si="0"/>
        <v>13</v>
      </c>
      <c r="D10" s="9" t="str">
        <f>"15"</f>
        <v>15</v>
      </c>
      <c r="E10" s="9" t="str">
        <f>"20212021315"</f>
        <v>20212021315</v>
      </c>
      <c r="F10" s="10">
        <v>80.29</v>
      </c>
      <c r="G10" s="9">
        <v>75.2</v>
      </c>
      <c r="H10" s="11">
        <v>78.76</v>
      </c>
      <c r="I10" s="13"/>
    </row>
    <row r="11" s="2" customFormat="1" customHeight="1" spans="1:9">
      <c r="A11" s="9">
        <v>9</v>
      </c>
      <c r="B11" s="9">
        <v>21202</v>
      </c>
      <c r="C11" s="9" t="str">
        <f t="shared" si="0"/>
        <v>13</v>
      </c>
      <c r="D11" s="9" t="str">
        <f>"25"</f>
        <v>25</v>
      </c>
      <c r="E11" s="9" t="str">
        <f>"20212021325"</f>
        <v>20212021325</v>
      </c>
      <c r="F11" s="10">
        <v>79.01</v>
      </c>
      <c r="G11" s="9">
        <v>73.2</v>
      </c>
      <c r="H11" s="11">
        <v>77.27</v>
      </c>
      <c r="I11" s="13"/>
    </row>
    <row r="12" s="2" customFormat="1" customHeight="1" spans="1:9">
      <c r="A12" s="9">
        <v>10</v>
      </c>
      <c r="B12" s="9">
        <v>21202</v>
      </c>
      <c r="C12" s="9" t="str">
        <f t="shared" si="0"/>
        <v>13</v>
      </c>
      <c r="D12" s="9" t="str">
        <f>"21"</f>
        <v>21</v>
      </c>
      <c r="E12" s="9" t="str">
        <f>"20212021321"</f>
        <v>20212021321</v>
      </c>
      <c r="F12" s="10">
        <v>78.51</v>
      </c>
      <c r="G12" s="9">
        <v>72.2</v>
      </c>
      <c r="H12" s="11">
        <v>76.62</v>
      </c>
      <c r="I12" s="13"/>
    </row>
    <row r="13" s="2" customFormat="1" customHeight="1" spans="1:9">
      <c r="A13" s="9">
        <v>11</v>
      </c>
      <c r="B13" s="9">
        <v>21202</v>
      </c>
      <c r="C13" s="9" t="str">
        <f>"15"</f>
        <v>15</v>
      </c>
      <c r="D13" s="9" t="str">
        <f>"19"</f>
        <v>19</v>
      </c>
      <c r="E13" s="9" t="str">
        <f>"20212021519"</f>
        <v>20212021519</v>
      </c>
      <c r="F13" s="10">
        <v>77.63</v>
      </c>
      <c r="G13" s="9">
        <v>74.8</v>
      </c>
      <c r="H13" s="11">
        <v>76.78</v>
      </c>
      <c r="I13" s="13"/>
    </row>
    <row r="14" s="2" customFormat="1" customHeight="1" spans="1:9">
      <c r="A14" s="9">
        <v>12</v>
      </c>
      <c r="B14" s="9">
        <v>21202</v>
      </c>
      <c r="C14" s="9" t="str">
        <f>"13"</f>
        <v>13</v>
      </c>
      <c r="D14" s="9" t="str">
        <f>"22"</f>
        <v>22</v>
      </c>
      <c r="E14" s="9" t="str">
        <f>"20212021322"</f>
        <v>20212021322</v>
      </c>
      <c r="F14" s="10">
        <v>76.05</v>
      </c>
      <c r="G14" s="9">
        <v>75.6</v>
      </c>
      <c r="H14" s="11">
        <v>75.92</v>
      </c>
      <c r="I14" s="13"/>
    </row>
    <row r="15" s="2" customFormat="1" customHeight="1" spans="1:9">
      <c r="A15" s="9">
        <v>13</v>
      </c>
      <c r="B15" s="9">
        <v>21203</v>
      </c>
      <c r="C15" s="9" t="str">
        <f>"11"</f>
        <v>11</v>
      </c>
      <c r="D15" s="9" t="str">
        <f>"26"</f>
        <v>26</v>
      </c>
      <c r="E15" s="9" t="str">
        <f>"20212031126"</f>
        <v>20212031126</v>
      </c>
      <c r="F15" s="10">
        <v>83.13</v>
      </c>
      <c r="G15" s="9">
        <v>74</v>
      </c>
      <c r="H15" s="11">
        <v>80.39</v>
      </c>
      <c r="I15" s="13"/>
    </row>
    <row r="16" s="2" customFormat="1" customHeight="1" spans="1:9">
      <c r="A16" s="9">
        <v>14</v>
      </c>
      <c r="B16" s="9">
        <v>21203</v>
      </c>
      <c r="C16" s="9" t="str">
        <f>"10"</f>
        <v>10</v>
      </c>
      <c r="D16" s="9" t="str">
        <f>"29"</f>
        <v>29</v>
      </c>
      <c r="E16" s="9" t="str">
        <f>"20212031029"</f>
        <v>20212031029</v>
      </c>
      <c r="F16" s="10">
        <v>83.11</v>
      </c>
      <c r="G16" s="9">
        <v>73.4</v>
      </c>
      <c r="H16" s="12">
        <v>80.2</v>
      </c>
      <c r="I16" s="13"/>
    </row>
    <row r="17" s="2" customFormat="1" customHeight="1" spans="1:9">
      <c r="A17" s="9">
        <v>15</v>
      </c>
      <c r="B17" s="9">
        <v>21203</v>
      </c>
      <c r="C17" s="9" t="str">
        <f t="shared" ref="C17:C20" si="1">"12"</f>
        <v>12</v>
      </c>
      <c r="D17" s="9" t="str">
        <f>"11"</f>
        <v>11</v>
      </c>
      <c r="E17" s="9" t="str">
        <f>"20212031211"</f>
        <v>20212031211</v>
      </c>
      <c r="F17" s="10">
        <v>80.21</v>
      </c>
      <c r="G17" s="9">
        <v>77.2</v>
      </c>
      <c r="H17" s="11">
        <v>79.31</v>
      </c>
      <c r="I17" s="13"/>
    </row>
    <row r="18" s="2" customFormat="1" customHeight="1" spans="1:9">
      <c r="A18" s="9">
        <v>16</v>
      </c>
      <c r="B18" s="9">
        <v>21203</v>
      </c>
      <c r="C18" s="9" t="str">
        <f>"10"</f>
        <v>10</v>
      </c>
      <c r="D18" s="9" t="str">
        <f>"01"</f>
        <v>01</v>
      </c>
      <c r="E18" s="9" t="str">
        <f>"20212031001"</f>
        <v>20212031001</v>
      </c>
      <c r="F18" s="10">
        <v>78.33</v>
      </c>
      <c r="G18" s="9">
        <v>74</v>
      </c>
      <c r="H18" s="11">
        <v>77.03</v>
      </c>
      <c r="I18" s="13"/>
    </row>
    <row r="19" s="2" customFormat="1" customHeight="1" spans="1:9">
      <c r="A19" s="9">
        <v>17</v>
      </c>
      <c r="B19" s="9">
        <v>21203</v>
      </c>
      <c r="C19" s="9" t="str">
        <f t="shared" si="1"/>
        <v>12</v>
      </c>
      <c r="D19" s="9" t="str">
        <f>"24"</f>
        <v>24</v>
      </c>
      <c r="E19" s="9" t="str">
        <f>"20212031224"</f>
        <v>20212031224</v>
      </c>
      <c r="F19" s="10">
        <v>77.37</v>
      </c>
      <c r="G19" s="9">
        <v>71.2</v>
      </c>
      <c r="H19" s="11">
        <v>75.52</v>
      </c>
      <c r="I19" s="13"/>
    </row>
    <row r="20" s="2" customFormat="1" customHeight="1" spans="1:9">
      <c r="A20" s="9">
        <v>18</v>
      </c>
      <c r="B20" s="9">
        <v>21203</v>
      </c>
      <c r="C20" s="9" t="str">
        <f t="shared" si="1"/>
        <v>12</v>
      </c>
      <c r="D20" s="9" t="str">
        <f>"19"</f>
        <v>19</v>
      </c>
      <c r="E20" s="9" t="str">
        <f>"20212031219"</f>
        <v>20212031219</v>
      </c>
      <c r="F20" s="10">
        <v>76.51</v>
      </c>
      <c r="G20" s="9">
        <v>63.2</v>
      </c>
      <c r="H20" s="11">
        <v>72.52</v>
      </c>
      <c r="I20" s="13"/>
    </row>
    <row r="21" s="2" customFormat="1" customHeight="1" spans="1:9">
      <c r="A21" s="9">
        <v>19</v>
      </c>
      <c r="B21" s="9">
        <v>21209</v>
      </c>
      <c r="C21" s="9" t="str">
        <f t="shared" ref="C21:C23" si="2">"09"</f>
        <v>09</v>
      </c>
      <c r="D21" s="9" t="str">
        <f>"27"</f>
        <v>27</v>
      </c>
      <c r="E21" s="9" t="str">
        <f>"20212090927"</f>
        <v>20212090927</v>
      </c>
      <c r="F21" s="10">
        <v>85.54</v>
      </c>
      <c r="G21" s="9">
        <v>70.6</v>
      </c>
      <c r="H21" s="11">
        <v>81.06</v>
      </c>
      <c r="I21" s="13"/>
    </row>
    <row r="22" s="2" customFormat="1" customHeight="1" spans="1:9">
      <c r="A22" s="9">
        <v>20</v>
      </c>
      <c r="B22" s="9">
        <v>21209</v>
      </c>
      <c r="C22" s="9" t="str">
        <f t="shared" si="2"/>
        <v>09</v>
      </c>
      <c r="D22" s="9" t="str">
        <f>"21"</f>
        <v>21</v>
      </c>
      <c r="E22" s="9" t="str">
        <f>"20212090921"</f>
        <v>20212090921</v>
      </c>
      <c r="F22" s="10">
        <v>76.07</v>
      </c>
      <c r="G22" s="9">
        <v>70</v>
      </c>
      <c r="H22" s="11">
        <v>74.25</v>
      </c>
      <c r="I22" s="13"/>
    </row>
    <row r="23" s="2" customFormat="1" customHeight="1" spans="1:9">
      <c r="A23" s="9">
        <v>21</v>
      </c>
      <c r="B23" s="9">
        <v>21209</v>
      </c>
      <c r="C23" s="9" t="str">
        <f t="shared" si="2"/>
        <v>09</v>
      </c>
      <c r="D23" s="9" t="str">
        <f>"23"</f>
        <v>23</v>
      </c>
      <c r="E23" s="9" t="str">
        <f>"20212090923"</f>
        <v>20212090923</v>
      </c>
      <c r="F23" s="10">
        <v>74.46</v>
      </c>
      <c r="G23" s="9">
        <v>71.4</v>
      </c>
      <c r="H23" s="11">
        <v>73.54</v>
      </c>
      <c r="I23" s="13"/>
    </row>
    <row r="24" s="2" customFormat="1" customHeight="1" spans="1:9">
      <c r="A24" s="9">
        <v>22</v>
      </c>
      <c r="B24" s="9">
        <v>21204</v>
      </c>
      <c r="C24" s="9" t="str">
        <f t="shared" ref="C24:C35" si="3">"01"</f>
        <v>01</v>
      </c>
      <c r="D24" s="9" t="str">
        <f>"10"</f>
        <v>10</v>
      </c>
      <c r="E24" s="9" t="str">
        <f>"20212040110"</f>
        <v>20212040110</v>
      </c>
      <c r="F24" s="10">
        <v>74.05</v>
      </c>
      <c r="G24" s="9">
        <v>70</v>
      </c>
      <c r="H24" s="11">
        <v>72.84</v>
      </c>
      <c r="I24" s="13"/>
    </row>
    <row r="25" s="2" customFormat="1" customHeight="1" spans="1:9">
      <c r="A25" s="9">
        <v>23</v>
      </c>
      <c r="B25" s="9">
        <v>21204</v>
      </c>
      <c r="C25" s="9" t="str">
        <f t="shared" si="3"/>
        <v>01</v>
      </c>
      <c r="D25" s="9" t="str">
        <f>"03"</f>
        <v>03</v>
      </c>
      <c r="E25" s="9" t="str">
        <f>"20212040103"</f>
        <v>20212040103</v>
      </c>
      <c r="F25" s="10">
        <v>73.13</v>
      </c>
      <c r="G25" s="9">
        <v>79.8</v>
      </c>
      <c r="H25" s="11">
        <v>75.13</v>
      </c>
      <c r="I25" s="13"/>
    </row>
    <row r="26" s="2" customFormat="1" customHeight="1" spans="1:9">
      <c r="A26" s="9">
        <v>24</v>
      </c>
      <c r="B26" s="9">
        <v>21204</v>
      </c>
      <c r="C26" s="9" t="str">
        <f t="shared" si="3"/>
        <v>01</v>
      </c>
      <c r="D26" s="9" t="str">
        <f>"14"</f>
        <v>14</v>
      </c>
      <c r="E26" s="9" t="str">
        <f>"20212040114"</f>
        <v>20212040114</v>
      </c>
      <c r="F26" s="10">
        <v>71.67</v>
      </c>
      <c r="G26" s="9">
        <v>74.2</v>
      </c>
      <c r="H26" s="11">
        <v>72.43</v>
      </c>
      <c r="I26" s="13"/>
    </row>
    <row r="27" s="2" customFormat="1" customHeight="1" spans="1:9">
      <c r="A27" s="9">
        <v>25</v>
      </c>
      <c r="B27" s="9">
        <v>21204</v>
      </c>
      <c r="C27" s="9" t="str">
        <f t="shared" si="3"/>
        <v>01</v>
      </c>
      <c r="D27" s="9" t="str">
        <f>"01"</f>
        <v>01</v>
      </c>
      <c r="E27" s="9" t="str">
        <f>"20212040101"</f>
        <v>20212040101</v>
      </c>
      <c r="F27" s="10">
        <v>71.09</v>
      </c>
      <c r="G27" s="9">
        <v>72.6</v>
      </c>
      <c r="H27" s="11">
        <v>71.54</v>
      </c>
      <c r="I27" s="13"/>
    </row>
    <row r="28" s="2" customFormat="1" customHeight="1" spans="1:9">
      <c r="A28" s="9">
        <v>26</v>
      </c>
      <c r="B28" s="9">
        <v>21204</v>
      </c>
      <c r="C28" s="9" t="str">
        <f t="shared" si="3"/>
        <v>01</v>
      </c>
      <c r="D28" s="9" t="str">
        <f>"07"</f>
        <v>07</v>
      </c>
      <c r="E28" s="9" t="str">
        <f>"20212040107"</f>
        <v>20212040107</v>
      </c>
      <c r="F28" s="10">
        <v>70.16</v>
      </c>
      <c r="G28" s="9">
        <v>70</v>
      </c>
      <c r="H28" s="11">
        <v>70.11</v>
      </c>
      <c r="I28" s="13"/>
    </row>
    <row r="29" s="2" customFormat="1" customHeight="1" spans="1:9">
      <c r="A29" s="9">
        <v>27</v>
      </c>
      <c r="B29" s="9">
        <v>21204</v>
      </c>
      <c r="C29" s="9" t="str">
        <f t="shared" si="3"/>
        <v>01</v>
      </c>
      <c r="D29" s="9" t="str">
        <f>"09"</f>
        <v>09</v>
      </c>
      <c r="E29" s="9" t="str">
        <f>"20212040109"</f>
        <v>20212040109</v>
      </c>
      <c r="F29" s="10">
        <v>69.93</v>
      </c>
      <c r="G29" s="9">
        <v>72</v>
      </c>
      <c r="H29" s="11">
        <v>70.55</v>
      </c>
      <c r="I29" s="13"/>
    </row>
    <row r="30" s="2" customFormat="1" customHeight="1" spans="1:9">
      <c r="A30" s="9">
        <v>28</v>
      </c>
      <c r="B30" s="9">
        <v>21204</v>
      </c>
      <c r="C30" s="9" t="str">
        <f t="shared" si="3"/>
        <v>01</v>
      </c>
      <c r="D30" s="9" t="str">
        <f>"04"</f>
        <v>04</v>
      </c>
      <c r="E30" s="9" t="str">
        <f>"20212040104"</f>
        <v>20212040104</v>
      </c>
      <c r="F30" s="10">
        <v>69.82</v>
      </c>
      <c r="G30" s="9">
        <v>74.6</v>
      </c>
      <c r="H30" s="11">
        <v>71.25</v>
      </c>
      <c r="I30" s="13"/>
    </row>
    <row r="31" s="2" customFormat="1" customHeight="1" spans="1:9">
      <c r="A31" s="9">
        <v>29</v>
      </c>
      <c r="B31" s="9">
        <v>21204</v>
      </c>
      <c r="C31" s="9" t="str">
        <f t="shared" si="3"/>
        <v>01</v>
      </c>
      <c r="D31" s="9" t="str">
        <f>"19"</f>
        <v>19</v>
      </c>
      <c r="E31" s="9" t="str">
        <f>"20212040119"</f>
        <v>20212040119</v>
      </c>
      <c r="F31" s="10">
        <v>68.44</v>
      </c>
      <c r="G31" s="9">
        <v>0</v>
      </c>
      <c r="H31" s="11">
        <v>47.91</v>
      </c>
      <c r="I31" s="13"/>
    </row>
    <row r="32" s="2" customFormat="1" customHeight="1" spans="1:9">
      <c r="A32" s="9">
        <v>30</v>
      </c>
      <c r="B32" s="9">
        <v>21204</v>
      </c>
      <c r="C32" s="9" t="str">
        <f t="shared" si="3"/>
        <v>01</v>
      </c>
      <c r="D32" s="9" t="str">
        <f>"08"</f>
        <v>08</v>
      </c>
      <c r="E32" s="9" t="str">
        <f>"20212040108"</f>
        <v>20212040108</v>
      </c>
      <c r="F32" s="10">
        <v>67.57</v>
      </c>
      <c r="G32" s="9">
        <v>73.6</v>
      </c>
      <c r="H32" s="11">
        <v>69.38</v>
      </c>
      <c r="I32" s="13"/>
    </row>
    <row r="33" s="2" customFormat="1" customHeight="1" spans="1:9">
      <c r="A33" s="9">
        <v>31</v>
      </c>
      <c r="B33" s="9">
        <v>21204</v>
      </c>
      <c r="C33" s="9" t="str">
        <f t="shared" si="3"/>
        <v>01</v>
      </c>
      <c r="D33" s="9" t="str">
        <f>"24"</f>
        <v>24</v>
      </c>
      <c r="E33" s="9" t="str">
        <f>"20212040124"</f>
        <v>20212040124</v>
      </c>
      <c r="F33" s="10">
        <v>63.63</v>
      </c>
      <c r="G33" s="9">
        <v>73</v>
      </c>
      <c r="H33" s="11">
        <v>66.44</v>
      </c>
      <c r="I33" s="13"/>
    </row>
    <row r="34" s="2" customFormat="1" customHeight="1" spans="1:9">
      <c r="A34" s="9">
        <v>32</v>
      </c>
      <c r="B34" s="9">
        <v>21204</v>
      </c>
      <c r="C34" s="9" t="str">
        <f t="shared" si="3"/>
        <v>01</v>
      </c>
      <c r="D34" s="9" t="str">
        <f>"25"</f>
        <v>25</v>
      </c>
      <c r="E34" s="9" t="str">
        <f>"20212040125"</f>
        <v>20212040125</v>
      </c>
      <c r="F34" s="10">
        <v>56.58</v>
      </c>
      <c r="G34" s="9">
        <v>73</v>
      </c>
      <c r="H34" s="11">
        <v>61.51</v>
      </c>
      <c r="I34" s="13"/>
    </row>
    <row r="35" s="2" customFormat="1" customHeight="1" spans="1:9">
      <c r="A35" s="9">
        <v>33</v>
      </c>
      <c r="B35" s="9">
        <v>21205</v>
      </c>
      <c r="C35" s="9" t="str">
        <f t="shared" si="3"/>
        <v>01</v>
      </c>
      <c r="D35" s="9" t="str">
        <f>"28"</f>
        <v>28</v>
      </c>
      <c r="E35" s="9" t="str">
        <f>"20212050128"</f>
        <v>20212050128</v>
      </c>
      <c r="F35" s="10">
        <v>81.18</v>
      </c>
      <c r="G35" s="9">
        <v>65.6</v>
      </c>
      <c r="H35" s="11">
        <v>76.51</v>
      </c>
      <c r="I35" s="13"/>
    </row>
    <row r="36" s="2" customFormat="1" customHeight="1" spans="1:9">
      <c r="A36" s="9">
        <v>34</v>
      </c>
      <c r="B36" s="9">
        <v>21205</v>
      </c>
      <c r="C36" s="9" t="str">
        <f t="shared" ref="C36:C43" si="4">"02"</f>
        <v>02</v>
      </c>
      <c r="D36" s="9" t="str">
        <f>"01"</f>
        <v>01</v>
      </c>
      <c r="E36" s="9" t="str">
        <f>"20212050201"</f>
        <v>20212050201</v>
      </c>
      <c r="F36" s="10">
        <v>77.67</v>
      </c>
      <c r="G36" s="9">
        <v>71.8</v>
      </c>
      <c r="H36" s="11">
        <v>75.91</v>
      </c>
      <c r="I36" s="13"/>
    </row>
    <row r="37" s="2" customFormat="1" customHeight="1" spans="1:9">
      <c r="A37" s="9">
        <v>35</v>
      </c>
      <c r="B37" s="9">
        <v>21205</v>
      </c>
      <c r="C37" s="9" t="str">
        <f t="shared" si="4"/>
        <v>02</v>
      </c>
      <c r="D37" s="9" t="str">
        <f>"10"</f>
        <v>10</v>
      </c>
      <c r="E37" s="9" t="str">
        <f>"20212050210"</f>
        <v>20212050210</v>
      </c>
      <c r="F37" s="10">
        <v>77.39</v>
      </c>
      <c r="G37" s="9">
        <v>75.4</v>
      </c>
      <c r="H37" s="11">
        <v>76.79</v>
      </c>
      <c r="I37" s="13"/>
    </row>
    <row r="38" s="2" customFormat="1" customHeight="1" spans="1:9">
      <c r="A38" s="9">
        <v>36</v>
      </c>
      <c r="B38" s="9">
        <v>21206</v>
      </c>
      <c r="C38" s="9" t="str">
        <f t="shared" si="4"/>
        <v>02</v>
      </c>
      <c r="D38" s="9" t="str">
        <f>"14"</f>
        <v>14</v>
      </c>
      <c r="E38" s="9" t="str">
        <f>"20212060214"</f>
        <v>20212060214</v>
      </c>
      <c r="F38" s="10">
        <v>70.38</v>
      </c>
      <c r="G38" s="9">
        <v>76.8</v>
      </c>
      <c r="H38" s="11">
        <v>72.31</v>
      </c>
      <c r="I38" s="13"/>
    </row>
    <row r="39" s="2" customFormat="1" customHeight="1" spans="1:9">
      <c r="A39" s="9">
        <v>37</v>
      </c>
      <c r="B39" s="9">
        <v>21206</v>
      </c>
      <c r="C39" s="9" t="str">
        <f t="shared" si="4"/>
        <v>02</v>
      </c>
      <c r="D39" s="9" t="str">
        <f>"29"</f>
        <v>29</v>
      </c>
      <c r="E39" s="9" t="str">
        <f>"20212060229"</f>
        <v>20212060229</v>
      </c>
      <c r="F39" s="10">
        <v>63.22</v>
      </c>
      <c r="G39" s="9">
        <v>73.2</v>
      </c>
      <c r="H39" s="11">
        <v>66.21</v>
      </c>
      <c r="I39" s="13"/>
    </row>
    <row r="40" s="2" customFormat="1" customHeight="1" spans="1:9">
      <c r="A40" s="9">
        <v>38</v>
      </c>
      <c r="B40" s="9">
        <v>21206</v>
      </c>
      <c r="C40" s="9" t="str">
        <f t="shared" si="4"/>
        <v>02</v>
      </c>
      <c r="D40" s="9" t="str">
        <f>"19"</f>
        <v>19</v>
      </c>
      <c r="E40" s="9" t="str">
        <f>"20212060219"</f>
        <v>20212060219</v>
      </c>
      <c r="F40" s="10">
        <v>62.82</v>
      </c>
      <c r="G40" s="9">
        <v>73</v>
      </c>
      <c r="H40" s="11">
        <v>65.87</v>
      </c>
      <c r="I40" s="13"/>
    </row>
    <row r="41" s="2" customFormat="1" customHeight="1" spans="1:9">
      <c r="A41" s="9">
        <v>39</v>
      </c>
      <c r="B41" s="9">
        <v>21206</v>
      </c>
      <c r="C41" s="9" t="str">
        <f t="shared" si="4"/>
        <v>02</v>
      </c>
      <c r="D41" s="9" t="str">
        <f>"24"</f>
        <v>24</v>
      </c>
      <c r="E41" s="9" t="str">
        <f>"20212060224"</f>
        <v>20212060224</v>
      </c>
      <c r="F41" s="10">
        <v>59.3</v>
      </c>
      <c r="G41" s="9">
        <v>71.8</v>
      </c>
      <c r="H41" s="11">
        <v>63.05</v>
      </c>
      <c r="I41" s="13"/>
    </row>
    <row r="42" s="2" customFormat="1" customHeight="1" spans="1:9">
      <c r="A42" s="9">
        <v>40</v>
      </c>
      <c r="B42" s="9">
        <v>21206</v>
      </c>
      <c r="C42" s="9" t="str">
        <f t="shared" si="4"/>
        <v>02</v>
      </c>
      <c r="D42" s="9" t="str">
        <f>"17"</f>
        <v>17</v>
      </c>
      <c r="E42" s="9" t="str">
        <f>"20212060217"</f>
        <v>20212060217</v>
      </c>
      <c r="F42" s="10">
        <v>59.01</v>
      </c>
      <c r="G42" s="9">
        <v>71.8</v>
      </c>
      <c r="H42" s="11">
        <v>62.85</v>
      </c>
      <c r="I42" s="13"/>
    </row>
    <row r="43" s="2" customFormat="1" customHeight="1" spans="1:9">
      <c r="A43" s="9">
        <v>41</v>
      </c>
      <c r="B43" s="9">
        <v>21206</v>
      </c>
      <c r="C43" s="9" t="str">
        <f t="shared" si="4"/>
        <v>02</v>
      </c>
      <c r="D43" s="9" t="str">
        <f>"20"</f>
        <v>20</v>
      </c>
      <c r="E43" s="9" t="str">
        <f>"20212060220"</f>
        <v>20212060220</v>
      </c>
      <c r="F43" s="10">
        <v>54.83</v>
      </c>
      <c r="G43" s="9">
        <v>64.2</v>
      </c>
      <c r="H43" s="11">
        <v>57.64</v>
      </c>
      <c r="I43" s="13"/>
    </row>
    <row r="44" s="2" customFormat="1" customHeight="1" spans="1:9">
      <c r="A44" s="9">
        <v>42</v>
      </c>
      <c r="B44" s="9">
        <v>21208</v>
      </c>
      <c r="C44" s="9" t="str">
        <f t="shared" ref="C44:C46" si="5">"09"</f>
        <v>09</v>
      </c>
      <c r="D44" s="9" t="str">
        <f>"19"</f>
        <v>19</v>
      </c>
      <c r="E44" s="9" t="str">
        <f>"20212080919"</f>
        <v>20212080919</v>
      </c>
      <c r="F44" s="10">
        <v>87.1</v>
      </c>
      <c r="G44" s="9">
        <v>76.8</v>
      </c>
      <c r="H44" s="11">
        <v>84.01</v>
      </c>
      <c r="I44" s="13"/>
    </row>
    <row r="45" s="2" customFormat="1" customHeight="1" spans="1:9">
      <c r="A45" s="9">
        <v>43</v>
      </c>
      <c r="B45" s="9">
        <v>21208</v>
      </c>
      <c r="C45" s="9" t="str">
        <f t="shared" si="5"/>
        <v>09</v>
      </c>
      <c r="D45" s="9" t="str">
        <f>"20"</f>
        <v>20</v>
      </c>
      <c r="E45" s="9" t="str">
        <f>"20212080920"</f>
        <v>20212080920</v>
      </c>
      <c r="F45" s="10">
        <v>86.64</v>
      </c>
      <c r="G45" s="9">
        <v>81</v>
      </c>
      <c r="H45" s="11">
        <v>84.95</v>
      </c>
      <c r="I45" s="13"/>
    </row>
    <row r="46" s="2" customFormat="1" customHeight="1" spans="1:9">
      <c r="A46" s="9">
        <v>44</v>
      </c>
      <c r="B46" s="9">
        <v>21208</v>
      </c>
      <c r="C46" s="9" t="str">
        <f t="shared" si="5"/>
        <v>09</v>
      </c>
      <c r="D46" s="9" t="str">
        <f>"16"</f>
        <v>16</v>
      </c>
      <c r="E46" s="9" t="str">
        <f>"20212080916"</f>
        <v>20212080916</v>
      </c>
      <c r="F46" s="10">
        <v>83.15</v>
      </c>
      <c r="G46" s="9">
        <v>70.4</v>
      </c>
      <c r="H46" s="11">
        <v>79.33</v>
      </c>
      <c r="I46" s="13"/>
    </row>
    <row r="47" s="1" customFormat="1" customHeight="1" spans="8:8">
      <c r="H47" s="3"/>
    </row>
    <row r="48" s="1" customFormat="1" customHeight="1" spans="8:8">
      <c r="H48" s="3"/>
    </row>
    <row r="49" s="1" customFormat="1" customHeight="1" spans="8:8">
      <c r="H49" s="3"/>
    </row>
    <row r="50" s="1" customFormat="1" customHeight="1" spans="8:8">
      <c r="H50" s="3"/>
    </row>
    <row r="51" s="1" customFormat="1" customHeight="1" spans="8:8">
      <c r="H51" s="3"/>
    </row>
    <row r="52" s="1" customFormat="1" customHeight="1" spans="8:8">
      <c r="H52" s="3"/>
    </row>
    <row r="53" s="1" customFormat="1" customHeight="1" spans="8:8">
      <c r="H53" s="3"/>
    </row>
    <row r="54" s="1" customFormat="1" customHeight="1" spans="8:8">
      <c r="H54" s="3"/>
    </row>
  </sheetData>
  <mergeCells count="1">
    <mergeCell ref="A1:I1"/>
  </mergeCells>
  <pageMargins left="0.75" right="0.75" top="1" bottom="1" header="0.5" footer="0.5"/>
  <pageSetup paperSize="9" orientation="portrait"/>
  <headerFooter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护理</vt:lpstr>
      <vt:lpstr>检验技术</vt:lpstr>
      <vt:lpstr>口腔医学</vt:lpstr>
      <vt:lpstr>临床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2021-09-15T03:53:00Z</dcterms:created>
  <dcterms:modified xsi:type="dcterms:W3CDTF">2021-10-18T08:25:32Z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B3D1FF1D535B48418A146389CEFF9D5F</vt:lpwstr>
  </property>
  <property fmtid="{D5CDD505-2E9C-101B-9397-08002B2CF9AE}" pid="3" name="KSOProductBuildVer">
    <vt:lpwstr>2052-11.1.0.11045</vt:lpwstr>
  </property>
</Properties>
</file>