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04" firstSheet="21" activeTab="30"/>
  </bookViews>
  <sheets>
    <sheet name="（准考证导出检查）经贸" sheetId="1" state="hidden" r:id="rId1"/>
    <sheet name="考核招聘高层次人才" sheetId="2" r:id="rId2"/>
    <sheet name="0104-国际经济与贸易专业教师2" sheetId="3" r:id="rId3"/>
    <sheet name="0201-旅游管理专业教师1" sheetId="4" r:id="rId4"/>
    <sheet name="0203-旅游管理专业教师3" sheetId="5" r:id="rId5"/>
    <sheet name="0206-市场营销专业教师2" sheetId="6" r:id="rId6"/>
    <sheet name="0207-市场营销专业教师3（直播营销方向）" sheetId="7" r:id="rId7"/>
    <sheet name="0302-机械、电气类教师2" sheetId="8" r:id="rId8"/>
    <sheet name="0402-计算机类专业教师2" sheetId="9" r:id="rId9"/>
    <sheet name="0602-商务英语专业教师2" sheetId="10" r:id="rId10"/>
    <sheet name="0603-商务英语专业教师3" sheetId="11" r:id="rId11"/>
    <sheet name="0604-汉语国际教育教师" sheetId="12" r:id="rId12"/>
    <sheet name="0605-日语教师" sheetId="13" r:id="rId13"/>
    <sheet name="0702-俄语教师2" sheetId="14" r:id="rId14"/>
    <sheet name="0801-思政课专任教师1" sheetId="15" r:id="rId15"/>
    <sheet name="0802-思政课专任教师2" sheetId="16" r:id="rId16"/>
    <sheet name="0803-思政课专任教师3" sheetId="17" r:id="rId17"/>
    <sheet name="0901-财会类教师1" sheetId="18" r:id="rId18"/>
    <sheet name="0902-财会类教师2" sheetId="19" r:id="rId19"/>
    <sheet name="0904-财会类双语教师" sheetId="20" r:id="rId20"/>
    <sheet name="0905-金融类双语教师1" sheetId="21" r:id="rId21"/>
    <sheet name="0906-金融类双语教师2" sheetId="22" r:id="rId22"/>
    <sheet name="1001-辅导员1" sheetId="23" r:id="rId23"/>
    <sheet name="1002-辅导员2" sheetId="24" r:id="rId24"/>
    <sheet name="1003-辅导员3" sheetId="25" r:id="rId25"/>
    <sheet name="1004-辅导员4" sheetId="26" r:id="rId26"/>
    <sheet name="1005-辅导员5" sheetId="27" r:id="rId27"/>
    <sheet name="1101-艺术团指导教师" sheetId="28" r:id="rId28"/>
    <sheet name="1201-全科医生" sheetId="29" r:id="rId29"/>
    <sheet name="1301-纪检监察" sheetId="30" r:id="rId30"/>
    <sheet name="1601-教务管理" sheetId="31" r:id="rId31"/>
  </sheets>
  <definedNames>
    <definedName name="_xlnm.Print_Titles" localSheetId="1">'考核招聘高层次人才'!$2:$2</definedName>
    <definedName name="_xlnm._FilterDatabase" localSheetId="1" hidden="1">'考核招聘高层次人才'!$A$2:$I$24</definedName>
  </definedNames>
  <calcPr fullCalcOnLoad="1"/>
</workbook>
</file>

<file path=xl/sharedStrings.xml><?xml version="1.0" encoding="utf-8"?>
<sst xmlns="http://schemas.openxmlformats.org/spreadsheetml/2006/main" count="2802" uniqueCount="854">
  <si>
    <t>序号</t>
  </si>
  <si>
    <t>职位代码</t>
  </si>
  <si>
    <t>姓名</t>
  </si>
  <si>
    <t>准考证号</t>
  </si>
  <si>
    <t>考场号</t>
  </si>
  <si>
    <t>座位号</t>
  </si>
  <si>
    <t>笔试科目</t>
  </si>
  <si>
    <t>1001-辅导员1(学生工作部(处）)</t>
  </si>
  <si>
    <t>张冲冲</t>
  </si>
  <si>
    <t>辅导员岗位综合卷</t>
  </si>
  <si>
    <t>段振龙</t>
  </si>
  <si>
    <t>王显星</t>
  </si>
  <si>
    <t>孙健</t>
  </si>
  <si>
    <t>朱云杰</t>
  </si>
  <si>
    <t>黄茂</t>
  </si>
  <si>
    <t>高潇翔</t>
  </si>
  <si>
    <t>赵浩宇</t>
  </si>
  <si>
    <t>王鑫</t>
  </si>
  <si>
    <t>邱麟</t>
  </si>
  <si>
    <t>张雪子</t>
  </si>
  <si>
    <t>胥祥</t>
  </si>
  <si>
    <t>1002-辅导员2(学生工作部(处）)</t>
  </si>
  <si>
    <t>陈雪柔</t>
  </si>
  <si>
    <t>林晓敏</t>
  </si>
  <si>
    <t>吴靓</t>
  </si>
  <si>
    <t>余小丹</t>
  </si>
  <si>
    <t>王巧艳</t>
  </si>
  <si>
    <t>潘富玲</t>
  </si>
  <si>
    <t>刘丹</t>
  </si>
  <si>
    <t>黄巧斌</t>
  </si>
  <si>
    <t>刘金玲</t>
  </si>
  <si>
    <t>苏艺瑶</t>
  </si>
  <si>
    <t>赵旭</t>
  </si>
  <si>
    <t>朱珈琪</t>
  </si>
  <si>
    <t>倪秉栩</t>
  </si>
  <si>
    <t>卫大静</t>
  </si>
  <si>
    <t>张晓阳</t>
  </si>
  <si>
    <t>肖蓉</t>
  </si>
  <si>
    <t>张林锋</t>
  </si>
  <si>
    <t>谢雨含</t>
  </si>
  <si>
    <t>陈嘉琳</t>
  </si>
  <si>
    <t>刘茹花</t>
  </si>
  <si>
    <t>周仙敏</t>
  </si>
  <si>
    <t>韩乙虹</t>
  </si>
  <si>
    <t>林舒羽</t>
  </si>
  <si>
    <t>于婷婷</t>
  </si>
  <si>
    <t>林慧</t>
  </si>
  <si>
    <t>郭小慧</t>
  </si>
  <si>
    <t>郭倩文</t>
  </si>
  <si>
    <t>陈艳</t>
  </si>
  <si>
    <t>张艺涵</t>
  </si>
  <si>
    <t>千熙庭</t>
  </si>
  <si>
    <t>席悦</t>
  </si>
  <si>
    <t>王姗</t>
  </si>
  <si>
    <t>黄惠</t>
  </si>
  <si>
    <t>苏宇跞</t>
  </si>
  <si>
    <t>林丹</t>
  </si>
  <si>
    <t>吴秋妃</t>
  </si>
  <si>
    <t>吝思琪</t>
  </si>
  <si>
    <t>陈海云</t>
  </si>
  <si>
    <t>范欣欣</t>
  </si>
  <si>
    <t>周海丽</t>
  </si>
  <si>
    <t>陈会娟</t>
  </si>
  <si>
    <t>张紫薇</t>
  </si>
  <si>
    <t>符德媛</t>
  </si>
  <si>
    <t>杨敏娟</t>
  </si>
  <si>
    <t>许晓倩</t>
  </si>
  <si>
    <t>熊晓叶</t>
  </si>
  <si>
    <t>付莉娟</t>
  </si>
  <si>
    <t>刘中敏</t>
  </si>
  <si>
    <t>1003-辅导员3(学生工作部(处）)</t>
  </si>
  <si>
    <t>于子淳</t>
  </si>
  <si>
    <t>卢晶晶</t>
  </si>
  <si>
    <t>毛明明</t>
  </si>
  <si>
    <t>谢雯</t>
  </si>
  <si>
    <t>苏原慧</t>
  </si>
  <si>
    <t>张舜</t>
  </si>
  <si>
    <t>郭怡凡</t>
  </si>
  <si>
    <t>史华飘</t>
  </si>
  <si>
    <t>翁富丽华</t>
  </si>
  <si>
    <t>吕佳效</t>
  </si>
  <si>
    <t>杨花梅</t>
  </si>
  <si>
    <t>欧阳利佳</t>
  </si>
  <si>
    <t>吕璇</t>
  </si>
  <si>
    <t>周莹</t>
  </si>
  <si>
    <t>陈玉</t>
  </si>
  <si>
    <t>符英汉</t>
  </si>
  <si>
    <t>丁露</t>
  </si>
  <si>
    <t>王一茹</t>
  </si>
  <si>
    <t>陈妍</t>
  </si>
  <si>
    <t>郑馨前</t>
  </si>
  <si>
    <t>王宏桥</t>
  </si>
  <si>
    <t>袁嘉茵</t>
  </si>
  <si>
    <t>张曙</t>
  </si>
  <si>
    <t>汪玉玲</t>
  </si>
  <si>
    <t>符卓代</t>
  </si>
  <si>
    <t>邰一博</t>
  </si>
  <si>
    <t>李钊瑾</t>
  </si>
  <si>
    <t>张晓凤</t>
  </si>
  <si>
    <t>李浩楠</t>
  </si>
  <si>
    <t>陈依</t>
  </si>
  <si>
    <t>张璐璐</t>
  </si>
  <si>
    <t>孟令茹</t>
  </si>
  <si>
    <t>王丽怡</t>
  </si>
  <si>
    <t>符冬琴</t>
  </si>
  <si>
    <t>许筱筱</t>
  </si>
  <si>
    <t>张露予</t>
  </si>
  <si>
    <t>王智娴</t>
  </si>
  <si>
    <t>江惠君</t>
  </si>
  <si>
    <t>郭美玉</t>
  </si>
  <si>
    <t>罗钰</t>
  </si>
  <si>
    <t>田海燕</t>
  </si>
  <si>
    <t>张秋霞</t>
  </si>
  <si>
    <t>王瑾妤</t>
  </si>
  <si>
    <t>王芳</t>
  </si>
  <si>
    <t>周雪</t>
  </si>
  <si>
    <t>董琴</t>
  </si>
  <si>
    <t>邓子昱</t>
  </si>
  <si>
    <t>陈琛</t>
  </si>
  <si>
    <t>全思思</t>
  </si>
  <si>
    <t>夏平花</t>
  </si>
  <si>
    <t>1004-辅导员4(学生工作部(处）)</t>
  </si>
  <si>
    <t>莫永溪</t>
  </si>
  <si>
    <t>黄定</t>
  </si>
  <si>
    <t>梁生栩</t>
  </si>
  <si>
    <t>宋昕璞</t>
  </si>
  <si>
    <t>符方育</t>
  </si>
  <si>
    <t>陈才平</t>
  </si>
  <si>
    <t>王雷</t>
  </si>
  <si>
    <t>汪维进</t>
  </si>
  <si>
    <t>杨扬</t>
  </si>
  <si>
    <t>孙律</t>
  </si>
  <si>
    <t>张博</t>
  </si>
  <si>
    <t>胡榆宗</t>
  </si>
  <si>
    <t>马天放</t>
  </si>
  <si>
    <t>徐子钧</t>
  </si>
  <si>
    <t>王健</t>
  </si>
  <si>
    <t>李平</t>
  </si>
  <si>
    <t>吴鹏</t>
  </si>
  <si>
    <t>孝家祥</t>
  </si>
  <si>
    <t>张瑜</t>
  </si>
  <si>
    <t>张家胤</t>
  </si>
  <si>
    <t>叶振宇</t>
  </si>
  <si>
    <t>甘昌阳</t>
  </si>
  <si>
    <t>刘鹏伟</t>
  </si>
  <si>
    <t>张德旺</t>
  </si>
  <si>
    <t>萧彦伟</t>
  </si>
  <si>
    <t>林宏华</t>
  </si>
  <si>
    <t>余能超</t>
  </si>
  <si>
    <t>张朋</t>
  </si>
  <si>
    <t>劳永壮</t>
  </si>
  <si>
    <t>符传栋</t>
  </si>
  <si>
    <t>苏海壮</t>
  </si>
  <si>
    <t>袁庆想</t>
  </si>
  <si>
    <t>张一兵</t>
  </si>
  <si>
    <t>卢昱同</t>
  </si>
  <si>
    <t>刘力鹏</t>
  </si>
  <si>
    <t>赵开运</t>
  </si>
  <si>
    <t>袁文</t>
  </si>
  <si>
    <t>吕朋招</t>
  </si>
  <si>
    <t>蒋玉磊</t>
  </si>
  <si>
    <t>曾广顺</t>
  </si>
  <si>
    <t>王伟华</t>
  </si>
  <si>
    <t>李德成</t>
  </si>
  <si>
    <t>陈奕埔</t>
  </si>
  <si>
    <t>张峰</t>
  </si>
  <si>
    <t>赵会达</t>
  </si>
  <si>
    <t>陈德琛</t>
  </si>
  <si>
    <t>李定高</t>
  </si>
  <si>
    <t>辛增金</t>
  </si>
  <si>
    <t>邢益干</t>
  </si>
  <si>
    <t>叶宏代</t>
  </si>
  <si>
    <t>刘薄洋</t>
  </si>
  <si>
    <t>程阿龙</t>
  </si>
  <si>
    <t>陈英旺</t>
  </si>
  <si>
    <t>何超</t>
  </si>
  <si>
    <t>刘雨锋</t>
  </si>
  <si>
    <t>韩猛</t>
  </si>
  <si>
    <t>殷礼亮</t>
  </si>
  <si>
    <t>张其发</t>
  </si>
  <si>
    <t>黄伟</t>
  </si>
  <si>
    <t>陈雄伟</t>
  </si>
  <si>
    <t>1005-辅导员5(学生工作部(处）)</t>
  </si>
  <si>
    <t>黎仙妮</t>
  </si>
  <si>
    <t>宋曼莉</t>
  </si>
  <si>
    <t>蔡泠金</t>
  </si>
  <si>
    <t>刘漪樊</t>
  </si>
  <si>
    <t>叶玉会</t>
  </si>
  <si>
    <t>陆金玉</t>
  </si>
  <si>
    <t>符小丽</t>
  </si>
  <si>
    <t>邵靖雯</t>
  </si>
  <si>
    <t>张薇</t>
  </si>
  <si>
    <t>祝毅芳</t>
  </si>
  <si>
    <t>马丽少</t>
  </si>
  <si>
    <t>刘洁</t>
  </si>
  <si>
    <t>王丽卿</t>
  </si>
  <si>
    <t>王金钰</t>
  </si>
  <si>
    <t>赵荣花</t>
  </si>
  <si>
    <t>谢宁</t>
  </si>
  <si>
    <t>徐唱</t>
  </si>
  <si>
    <t>洪冰沁</t>
  </si>
  <si>
    <t>蔡守正</t>
  </si>
  <si>
    <t>潘滟</t>
  </si>
  <si>
    <t>杨晨红</t>
  </si>
  <si>
    <t>洪豆</t>
  </si>
  <si>
    <t>张言言</t>
  </si>
  <si>
    <t>王文玟</t>
  </si>
  <si>
    <t>陈颖敏</t>
  </si>
  <si>
    <t>邵珠珍</t>
  </si>
  <si>
    <t>陈昕</t>
  </si>
  <si>
    <t>王海云</t>
  </si>
  <si>
    <t>聂艳</t>
  </si>
  <si>
    <t>于家傲</t>
  </si>
  <si>
    <t>张芹</t>
  </si>
  <si>
    <t>李瑜</t>
  </si>
  <si>
    <t>陈玉丹</t>
  </si>
  <si>
    <t>何秀娴</t>
  </si>
  <si>
    <t>杨爽</t>
  </si>
  <si>
    <t>胡俏俏</t>
  </si>
  <si>
    <t>杨文瑞</t>
  </si>
  <si>
    <t>王晓明</t>
  </si>
  <si>
    <t>黄慧玲</t>
  </si>
  <si>
    <t>蒋启迪</t>
  </si>
  <si>
    <t>于淼</t>
  </si>
  <si>
    <t>李吉恋</t>
  </si>
  <si>
    <t>欧若</t>
  </si>
  <si>
    <t>邓清源</t>
  </si>
  <si>
    <t>吴淑亲</t>
  </si>
  <si>
    <t>马哲尧</t>
  </si>
  <si>
    <t>张馨予</t>
  </si>
  <si>
    <t>文静</t>
  </si>
  <si>
    <t>李树青</t>
  </si>
  <si>
    <t>唐于凤</t>
  </si>
  <si>
    <t>夏源</t>
  </si>
  <si>
    <t>杨翠玲</t>
  </si>
  <si>
    <t>崔丽珠</t>
  </si>
  <si>
    <t>肖俊</t>
  </si>
  <si>
    <t>刘泳宏</t>
  </si>
  <si>
    <t>姜懿湘</t>
  </si>
  <si>
    <t>孙荣君</t>
  </si>
  <si>
    <t>张天宇</t>
  </si>
  <si>
    <t>李文芳</t>
  </si>
  <si>
    <t>崔顺天</t>
  </si>
  <si>
    <t>宋莹</t>
  </si>
  <si>
    <t>陈春南</t>
  </si>
  <si>
    <t>刘晓惠</t>
  </si>
  <si>
    <t>李佩阳</t>
  </si>
  <si>
    <t>张珊</t>
  </si>
  <si>
    <t>苏思思</t>
  </si>
  <si>
    <t>姜玉宝</t>
  </si>
  <si>
    <t>苏菊</t>
  </si>
  <si>
    <t>陈杰群</t>
  </si>
  <si>
    <t>蔡惠羽</t>
  </si>
  <si>
    <t>伍紫墨</t>
  </si>
  <si>
    <t>王娇茹</t>
  </si>
  <si>
    <t>韩唯一</t>
  </si>
  <si>
    <t>王媛</t>
  </si>
  <si>
    <t>李玉蓉</t>
  </si>
  <si>
    <t>蔡业虹</t>
  </si>
  <si>
    <t>王侨源</t>
  </si>
  <si>
    <t>云艳苗</t>
  </si>
  <si>
    <t>蔡庆桃</t>
  </si>
  <si>
    <t>任雅男</t>
  </si>
  <si>
    <t>周颖</t>
  </si>
  <si>
    <t>周素兰</t>
  </si>
  <si>
    <t>林莲</t>
  </si>
  <si>
    <t>邹尾丽</t>
  </si>
  <si>
    <t>聂影</t>
  </si>
  <si>
    <t>钱惠满</t>
  </si>
  <si>
    <t>王靖</t>
  </si>
  <si>
    <t>符谷丽</t>
  </si>
  <si>
    <t>林春媚</t>
  </si>
  <si>
    <t>韩力</t>
  </si>
  <si>
    <t>何雅婷</t>
  </si>
  <si>
    <t>孙嘉</t>
  </si>
  <si>
    <t>梁玉莹</t>
  </si>
  <si>
    <t>邢诗婷</t>
  </si>
  <si>
    <t>何书玉</t>
  </si>
  <si>
    <t>温小英</t>
  </si>
  <si>
    <t>林海琳</t>
  </si>
  <si>
    <t>毛霜</t>
  </si>
  <si>
    <t>姜玮岩</t>
  </si>
  <si>
    <t>袁靖雯</t>
  </si>
  <si>
    <t>梁琼雅</t>
  </si>
  <si>
    <t>蔡香香</t>
  </si>
  <si>
    <t>林子玉</t>
  </si>
  <si>
    <t>陈妮</t>
  </si>
  <si>
    <t>王薇</t>
  </si>
  <si>
    <t>韦菊</t>
  </si>
  <si>
    <t>赵卓琳</t>
  </si>
  <si>
    <t>林足女</t>
  </si>
  <si>
    <t>杨亭</t>
  </si>
  <si>
    <t>王永莲</t>
  </si>
  <si>
    <t>王芹</t>
  </si>
  <si>
    <t>周瑞娜</t>
  </si>
  <si>
    <t>陈日花</t>
  </si>
  <si>
    <t>王海昕</t>
  </si>
  <si>
    <t>丁金金</t>
  </si>
  <si>
    <t>王静</t>
  </si>
  <si>
    <t>徐芳林</t>
  </si>
  <si>
    <t>蔡雨舟</t>
  </si>
  <si>
    <t>邹明书</t>
  </si>
  <si>
    <t>羊丽</t>
  </si>
  <si>
    <t>赵元</t>
  </si>
  <si>
    <t>冯丽伊</t>
  </si>
  <si>
    <t>于鑫宇</t>
  </si>
  <si>
    <t>曾娇环</t>
  </si>
  <si>
    <t>林秀梅</t>
  </si>
  <si>
    <t>刘彤彤</t>
  </si>
  <si>
    <t>李小燕</t>
  </si>
  <si>
    <t>殷繁琳</t>
  </si>
  <si>
    <t>张泓</t>
  </si>
  <si>
    <t>徐可心</t>
  </si>
  <si>
    <t>蔡慧</t>
  </si>
  <si>
    <t>李华妹</t>
  </si>
  <si>
    <t>吴海燕</t>
  </si>
  <si>
    <t>吴传曼</t>
  </si>
  <si>
    <t>邝素雀</t>
  </si>
  <si>
    <t>王婷婷</t>
  </si>
  <si>
    <t>刘春晗</t>
  </si>
  <si>
    <t>李知蔚</t>
  </si>
  <si>
    <t>田雨鑫</t>
  </si>
  <si>
    <t>黎倩</t>
  </si>
  <si>
    <t>刘慧</t>
  </si>
  <si>
    <t>1101-艺术团指导教师(团委)</t>
  </si>
  <si>
    <t>林一荟</t>
  </si>
  <si>
    <t>艺术团指导综合卷</t>
  </si>
  <si>
    <t>毛佩儿</t>
  </si>
  <si>
    <t>王陌萱</t>
  </si>
  <si>
    <t>康珮瑶</t>
  </si>
  <si>
    <t>吴頔</t>
  </si>
  <si>
    <t>蔡景新</t>
  </si>
  <si>
    <t>王柃娅</t>
  </si>
  <si>
    <t>徐锦雯</t>
  </si>
  <si>
    <t>陈家伊</t>
  </si>
  <si>
    <t>牟金星</t>
  </si>
  <si>
    <t>王碧瑶</t>
  </si>
  <si>
    <t>杨雯玉</t>
  </si>
  <si>
    <t>杜洪晨</t>
  </si>
  <si>
    <t>王芸</t>
  </si>
  <si>
    <t>马梓轩</t>
  </si>
  <si>
    <t>倪金霞</t>
  </si>
  <si>
    <t>梁皓</t>
  </si>
  <si>
    <t>洪祺晴</t>
  </si>
  <si>
    <t>0702-俄语教师2(国际教育学院 、乌拉尔学院)</t>
  </si>
  <si>
    <t>刘建津</t>
  </si>
  <si>
    <t>俄语综合卷</t>
  </si>
  <si>
    <t>张楠</t>
  </si>
  <si>
    <t>仇萍</t>
  </si>
  <si>
    <t>杨子辰</t>
  </si>
  <si>
    <t>郭艺博</t>
  </si>
  <si>
    <t>张莹</t>
  </si>
  <si>
    <t>朱子婧</t>
  </si>
  <si>
    <t>刘霖霖</t>
  </si>
  <si>
    <t>房佳潼</t>
  </si>
  <si>
    <t>杨雪莹</t>
  </si>
  <si>
    <t>罗瑶</t>
  </si>
  <si>
    <t>张晋蕾</t>
  </si>
  <si>
    <t>刘菊娥</t>
  </si>
  <si>
    <t>顾金凤</t>
  </si>
  <si>
    <t>吴赤诚</t>
  </si>
  <si>
    <t>吕佳红</t>
  </si>
  <si>
    <t>王兴婧</t>
  </si>
  <si>
    <t>郭兆元</t>
  </si>
  <si>
    <t>邹慧玲</t>
  </si>
  <si>
    <t>张沛茹</t>
  </si>
  <si>
    <t>尹晓宇</t>
  </si>
  <si>
    <t>郑琴芳</t>
  </si>
  <si>
    <t>陈幼娜</t>
  </si>
  <si>
    <t>孙嘉琪</t>
  </si>
  <si>
    <t>赵元宁</t>
  </si>
  <si>
    <t>何雨韬</t>
  </si>
  <si>
    <t>王涵宇</t>
  </si>
  <si>
    <t>王丽君</t>
  </si>
  <si>
    <t>王安琪</t>
  </si>
  <si>
    <t>0604-汉语国际教育教师(国际教育学院)</t>
  </si>
  <si>
    <t>庄嘉宁</t>
  </si>
  <si>
    <t>汉语国际教育综合卷</t>
  </si>
  <si>
    <t>张丹</t>
  </si>
  <si>
    <t>孟祥瑞</t>
  </si>
  <si>
    <t>王小田</t>
  </si>
  <si>
    <t>张炎</t>
  </si>
  <si>
    <t>李红</t>
  </si>
  <si>
    <t>李昌燕</t>
  </si>
  <si>
    <t>陈卫茜</t>
  </si>
  <si>
    <t>田笑笑</t>
  </si>
  <si>
    <t>梁然</t>
  </si>
  <si>
    <t>彭雯晓</t>
  </si>
  <si>
    <t>朱芳芳</t>
  </si>
  <si>
    <t>杨柳</t>
  </si>
  <si>
    <t>朱兰</t>
  </si>
  <si>
    <t>高楠枫（现用名）     范亚楠（曾用名）</t>
  </si>
  <si>
    <t>冯倩</t>
  </si>
  <si>
    <t>鹿弘</t>
  </si>
  <si>
    <t>王智慧</t>
  </si>
  <si>
    <t>于群</t>
  </si>
  <si>
    <t>刘蒙蒙</t>
  </si>
  <si>
    <t>李均</t>
  </si>
  <si>
    <t>刘婷</t>
  </si>
  <si>
    <t>马玥</t>
  </si>
  <si>
    <t>赵雯娅</t>
  </si>
  <si>
    <t>康思雨</t>
  </si>
  <si>
    <t>韦玉洁</t>
  </si>
  <si>
    <t>李艳梅</t>
  </si>
  <si>
    <t>赵婧婧</t>
  </si>
  <si>
    <t>谭盼</t>
  </si>
  <si>
    <t>翟野</t>
  </si>
  <si>
    <t>郭爽</t>
  </si>
  <si>
    <t>高珊</t>
  </si>
  <si>
    <t>张晨</t>
  </si>
  <si>
    <t>李璐瑶</t>
  </si>
  <si>
    <t>丁馨</t>
  </si>
  <si>
    <t>张雨晴</t>
  </si>
  <si>
    <t>陶花</t>
  </si>
  <si>
    <t>林乐庆</t>
  </si>
  <si>
    <t>梁晶</t>
  </si>
  <si>
    <t>孙佳莹</t>
  </si>
  <si>
    <t>杜晓璇</t>
  </si>
  <si>
    <t>彭帅</t>
  </si>
  <si>
    <t>童威</t>
  </si>
  <si>
    <t>蔡荣俏</t>
  </si>
  <si>
    <t>闫亚宁</t>
  </si>
  <si>
    <t>0605-日语教师(国际教育学院)</t>
  </si>
  <si>
    <t>邓琳婷</t>
  </si>
  <si>
    <t>日语综合卷</t>
  </si>
  <si>
    <t>黎经桃</t>
  </si>
  <si>
    <t>温素霞</t>
  </si>
  <si>
    <t>廖燕</t>
  </si>
  <si>
    <t>李仅</t>
  </si>
  <si>
    <t>周宁</t>
  </si>
  <si>
    <t>夏青</t>
  </si>
  <si>
    <t>郭扬</t>
  </si>
  <si>
    <t>方玉清</t>
  </si>
  <si>
    <t>陈倪</t>
  </si>
  <si>
    <t>汪卓颖</t>
  </si>
  <si>
    <t>刘明宇</t>
  </si>
  <si>
    <t>李赵洛吉</t>
  </si>
  <si>
    <t>章含颖</t>
  </si>
  <si>
    <t>唐伶俐</t>
  </si>
  <si>
    <t>0104-国际经济与贸易专业教师2(国际贸易学院)</t>
  </si>
  <si>
    <t>刘伊馨</t>
  </si>
  <si>
    <t>国际经济与贸易综合卷</t>
  </si>
  <si>
    <t>康琳琳</t>
  </si>
  <si>
    <t>曹璐怡</t>
  </si>
  <si>
    <t>纪海芬</t>
  </si>
  <si>
    <t>赵帅</t>
  </si>
  <si>
    <t>0206-市场营销专业教师2(国际旅游学院)</t>
  </si>
  <si>
    <t>温德霖</t>
  </si>
  <si>
    <t>市场营销综合卷</t>
  </si>
  <si>
    <t>叶扬成</t>
  </si>
  <si>
    <t>何寒怡</t>
  </si>
  <si>
    <t>吴笛</t>
  </si>
  <si>
    <t>季新然</t>
  </si>
  <si>
    <t>彭晨涵</t>
  </si>
  <si>
    <t>唐华</t>
  </si>
  <si>
    <t>陈琳</t>
  </si>
  <si>
    <t>彭婧雅</t>
  </si>
  <si>
    <t>李妍</t>
  </si>
  <si>
    <t>王怡欢</t>
  </si>
  <si>
    <t>张叶</t>
  </si>
  <si>
    <t>申雨萌</t>
  </si>
  <si>
    <t>李梦汝</t>
  </si>
  <si>
    <t>孙玮</t>
  </si>
  <si>
    <t>朱灏琨</t>
  </si>
  <si>
    <t>0207-市场营销专业教师3（直播营销方向）(国际旅游学院)</t>
  </si>
  <si>
    <t>陈哲玮</t>
  </si>
  <si>
    <t>胡丽娜</t>
  </si>
  <si>
    <t>高承引</t>
  </si>
  <si>
    <t>谢婧婧</t>
  </si>
  <si>
    <t>李凌宇</t>
  </si>
  <si>
    <t>金玥</t>
  </si>
  <si>
    <t>梁京</t>
  </si>
  <si>
    <t>陈燕妮</t>
  </si>
  <si>
    <t>1201-全科医生(后勤基建处)</t>
  </si>
  <si>
    <t>周亮</t>
  </si>
  <si>
    <t>全科医生综合卷</t>
  </si>
  <si>
    <t>罗秋娜</t>
  </si>
  <si>
    <t>张敬春</t>
  </si>
  <si>
    <t>毛惠慰</t>
  </si>
  <si>
    <t>吴美苗</t>
  </si>
  <si>
    <t>潘红宇</t>
  </si>
  <si>
    <t>陈芳</t>
  </si>
  <si>
    <t>潘家昌</t>
  </si>
  <si>
    <t>文玲</t>
  </si>
  <si>
    <t>1601-教务管理(教务处)</t>
  </si>
  <si>
    <t>杨胜云</t>
  </si>
  <si>
    <t>教务管理类综合卷</t>
  </si>
  <si>
    <t>刘倩</t>
  </si>
  <si>
    <t>吴海丁</t>
  </si>
  <si>
    <t>张子薇</t>
  </si>
  <si>
    <t>舒眉</t>
  </si>
  <si>
    <t>符慧</t>
  </si>
  <si>
    <t>赵杰</t>
  </si>
  <si>
    <t>冯玥</t>
  </si>
  <si>
    <t>吴为鹏</t>
  </si>
  <si>
    <t>邓惠中</t>
  </si>
  <si>
    <t>陈秋瑾</t>
  </si>
  <si>
    <t>陈丽锦</t>
  </si>
  <si>
    <t>0602-商务英语专业教师2(国际教育学院)</t>
  </si>
  <si>
    <t>黄苗苗</t>
  </si>
  <si>
    <t>商务英语综合卷</t>
  </si>
  <si>
    <t>邸芸菲</t>
  </si>
  <si>
    <t>潘玥琦</t>
  </si>
  <si>
    <t>高婧婧</t>
  </si>
  <si>
    <t>盛开</t>
  </si>
  <si>
    <t>石羚</t>
  </si>
  <si>
    <t>彭露</t>
  </si>
  <si>
    <t>陈婧涵</t>
  </si>
  <si>
    <t>0603-商务英语专业教师3(国际教育学院)</t>
  </si>
  <si>
    <t>高舒娟</t>
  </si>
  <si>
    <t>谢彩彬</t>
  </si>
  <si>
    <t>韩清舟</t>
  </si>
  <si>
    <t>邢晓书</t>
  </si>
  <si>
    <t>龙婷芳</t>
  </si>
  <si>
    <t>潘柔澄</t>
  </si>
  <si>
    <t>王霞</t>
  </si>
  <si>
    <t>刘贝赟</t>
  </si>
  <si>
    <t>张静雅</t>
  </si>
  <si>
    <t>马可</t>
  </si>
  <si>
    <t>朱容涟</t>
  </si>
  <si>
    <t>杨艳</t>
  </si>
  <si>
    <t>李晓波</t>
  </si>
  <si>
    <t>岑金千</t>
  </si>
  <si>
    <t>李孟珂</t>
  </si>
  <si>
    <t>杨忆园</t>
  </si>
  <si>
    <t>黄颖</t>
  </si>
  <si>
    <t>蒋惠聿</t>
  </si>
  <si>
    <t>黄景慧</t>
  </si>
  <si>
    <t>贾燕宾</t>
  </si>
  <si>
    <t>李新艳</t>
  </si>
  <si>
    <t>王晋颖</t>
  </si>
  <si>
    <t>赵晗君</t>
  </si>
  <si>
    <t>王春妮</t>
  </si>
  <si>
    <t>陈初月</t>
  </si>
  <si>
    <t>牛姝懿</t>
  </si>
  <si>
    <t>邢景华</t>
  </si>
  <si>
    <t>闫月贺</t>
  </si>
  <si>
    <t>0201-旅游管理专业教师1(国际旅游学院)</t>
  </si>
  <si>
    <t>李佳玉</t>
  </si>
  <si>
    <t>旅游管理综合卷</t>
  </si>
  <si>
    <t>张妍</t>
  </si>
  <si>
    <t>董瑞甜</t>
  </si>
  <si>
    <t>刘笑慈</t>
  </si>
  <si>
    <t>付瑞玉</t>
  </si>
  <si>
    <t>刘亚玲</t>
  </si>
  <si>
    <t>杨熙元</t>
  </si>
  <si>
    <t>符亦舒</t>
  </si>
  <si>
    <t>符国侦</t>
  </si>
  <si>
    <t>谢梅</t>
  </si>
  <si>
    <t>邱星</t>
  </si>
  <si>
    <t>谢宗琳</t>
  </si>
  <si>
    <t>陈嘉琪</t>
  </si>
  <si>
    <t>盛晓萌</t>
  </si>
  <si>
    <t>0203-旅游管理专业教师3(国际旅游学院)</t>
  </si>
  <si>
    <t>骆桢荣</t>
  </si>
  <si>
    <t>田莉</t>
  </si>
  <si>
    <t>李飞</t>
  </si>
  <si>
    <t>钟雪云</t>
  </si>
  <si>
    <t>于冰冰</t>
  </si>
  <si>
    <t>0801-思政课专任教师1(马克思主义学院)</t>
  </si>
  <si>
    <t>羊二丽</t>
  </si>
  <si>
    <t>思政综合卷</t>
  </si>
  <si>
    <t>苏丽霞</t>
  </si>
  <si>
    <t>杨美佳</t>
  </si>
  <si>
    <t>于丽焦</t>
  </si>
  <si>
    <t>陈亚芬</t>
  </si>
  <si>
    <t>张乐</t>
  </si>
  <si>
    <t>杨茹茹</t>
  </si>
  <si>
    <t>符延秀</t>
  </si>
  <si>
    <t>陈菲</t>
  </si>
  <si>
    <t>葛文晓</t>
  </si>
  <si>
    <t>李珊谊</t>
  </si>
  <si>
    <t>宋鹏月</t>
  </si>
  <si>
    <t>罗芳</t>
  </si>
  <si>
    <t>陈子佳昆</t>
  </si>
  <si>
    <t>唐薇</t>
  </si>
  <si>
    <t>0802-思政课专任教师2(马克思主义学院)</t>
  </si>
  <si>
    <t>李祥辉</t>
  </si>
  <si>
    <t>田秋实</t>
  </si>
  <si>
    <t>凌征福</t>
  </si>
  <si>
    <t>魏晨曦</t>
  </si>
  <si>
    <t>李鼎</t>
  </si>
  <si>
    <t>傅若云</t>
  </si>
  <si>
    <t>0803-思政课专任教师3(马克思主义学院)</t>
  </si>
  <si>
    <t>殷红梅</t>
  </si>
  <si>
    <t>冯俊苗</t>
  </si>
  <si>
    <t>符元美</t>
  </si>
  <si>
    <t>郑佳宜</t>
  </si>
  <si>
    <t>张少君</t>
  </si>
  <si>
    <t>陈思</t>
  </si>
  <si>
    <t>麦艳芳</t>
  </si>
  <si>
    <t>唐亿淑</t>
  </si>
  <si>
    <t>朱珈宇</t>
  </si>
  <si>
    <t>曾玲</t>
  </si>
  <si>
    <t>符夏莹</t>
  </si>
  <si>
    <t>0302-机械、电气类教师2(机电与汽车工程学院)</t>
  </si>
  <si>
    <t>邱泽鑫</t>
  </si>
  <si>
    <t>机械、电气类综合卷</t>
  </si>
  <si>
    <t>刘涛</t>
  </si>
  <si>
    <t>李国斌</t>
  </si>
  <si>
    <t>1301-纪检监察(纪检监察处)</t>
  </si>
  <si>
    <t>张凤茹</t>
  </si>
  <si>
    <t>纪检监察类综合卷</t>
  </si>
  <si>
    <t>张露月</t>
  </si>
  <si>
    <t>容贤姿</t>
  </si>
  <si>
    <t>胡粟文</t>
  </si>
  <si>
    <t>关雨琦</t>
  </si>
  <si>
    <t>伍晶</t>
  </si>
  <si>
    <t>0402-计算机类专业教师2(信息技术学院)</t>
  </si>
  <si>
    <t>云铸</t>
  </si>
  <si>
    <t>计算机类综合卷</t>
  </si>
  <si>
    <t>段汝湘</t>
  </si>
  <si>
    <t>黄鹏</t>
  </si>
  <si>
    <t>李昂</t>
  </si>
  <si>
    <t>梁辰</t>
  </si>
  <si>
    <t>李丹</t>
  </si>
  <si>
    <t>邓飞</t>
  </si>
  <si>
    <t>张良峰</t>
  </si>
  <si>
    <t>0904-财会类双语教师(财务管理学院)</t>
  </si>
  <si>
    <t>卓燕晶</t>
  </si>
  <si>
    <t>财会类专业英语卷</t>
  </si>
  <si>
    <t>王玲丹</t>
  </si>
  <si>
    <t>曹献丽</t>
  </si>
  <si>
    <t>0901-财会类教师1(财务管理学院)</t>
  </si>
  <si>
    <t>侯宇婷</t>
  </si>
  <si>
    <t>财会类综合卷</t>
  </si>
  <si>
    <t>赵越</t>
  </si>
  <si>
    <t>刘佳琪</t>
  </si>
  <si>
    <t>李晓晓</t>
  </si>
  <si>
    <t>马笑萱</t>
  </si>
  <si>
    <t>林双</t>
  </si>
  <si>
    <t>邱锦荃</t>
  </si>
  <si>
    <t>0902-财会类教师2(财务管理学院)</t>
  </si>
  <si>
    <t>郭君丽</t>
  </si>
  <si>
    <t>林荫</t>
  </si>
  <si>
    <t>樊美岐</t>
  </si>
  <si>
    <t>0905-金融类双语教师1(财务管理学院)</t>
  </si>
  <si>
    <t>时秋语</t>
  </si>
  <si>
    <t>金融类专业中文卷</t>
  </si>
  <si>
    <t>段心雨</t>
  </si>
  <si>
    <t>何雪琪</t>
  </si>
  <si>
    <t>白雪</t>
  </si>
  <si>
    <t>薛嘉慧</t>
  </si>
  <si>
    <t>刘铭雪</t>
  </si>
  <si>
    <t>许晓昱</t>
  </si>
  <si>
    <t>0906-金融类双语教师2(财务管理学院)</t>
  </si>
  <si>
    <t>刘锐</t>
  </si>
  <si>
    <t>金融类专业英语卷</t>
  </si>
  <si>
    <t>张月莹</t>
  </si>
  <si>
    <t>张若冠</t>
  </si>
  <si>
    <t>韩婷婷</t>
  </si>
  <si>
    <t>王中博</t>
  </si>
  <si>
    <t>谢云晓</t>
  </si>
  <si>
    <t>海南经贸职业技术学院2021年公开招聘体检与考察人员名单</t>
  </si>
  <si>
    <t>报考岗位</t>
  </si>
  <si>
    <t>性别</t>
  </si>
  <si>
    <t>招考类型</t>
  </si>
  <si>
    <t>面试（考核）成绩</t>
  </si>
  <si>
    <t>评委表决情况      （未形成竞争岗位）</t>
  </si>
  <si>
    <t>是否进入体检、考察</t>
  </si>
  <si>
    <t>备注</t>
  </si>
  <si>
    <t>0202_旅游管理专业教师2</t>
  </si>
  <si>
    <t>女</t>
  </si>
  <si>
    <t>傅晓</t>
  </si>
  <si>
    <t>考核</t>
  </si>
  <si>
    <t>是</t>
  </si>
  <si>
    <t>李芳丽</t>
  </si>
  <si>
    <t>否</t>
  </si>
  <si>
    <t>0204_旅游管理专业教师4</t>
  </si>
  <si>
    <t>男</t>
  </si>
  <si>
    <t>刘纬华</t>
  </si>
  <si>
    <t>5/5</t>
  </si>
  <si>
    <t>0208_烹饪工艺与营养专业教师1</t>
  </si>
  <si>
    <t>陈伟君</t>
  </si>
  <si>
    <t>4/5</t>
  </si>
  <si>
    <t>0209_烹饪工艺与营养专业教师2（食品科学、生物学方向）</t>
  </si>
  <si>
    <t>张强</t>
  </si>
  <si>
    <t>张兆烨</t>
  </si>
  <si>
    <t>洪振</t>
  </si>
  <si>
    <t>0401_计算机类专业教师1</t>
  </si>
  <si>
    <t>杨博</t>
  </si>
  <si>
    <t>0504_设计艺术类专业教师</t>
  </si>
  <si>
    <t>向瑾</t>
  </si>
  <si>
    <t>/</t>
  </si>
  <si>
    <t>0701_俄语教师1</t>
  </si>
  <si>
    <t>王华</t>
  </si>
  <si>
    <t>徐莉莉</t>
  </si>
  <si>
    <t>陈伟佳</t>
  </si>
  <si>
    <t>1/5</t>
  </si>
  <si>
    <t>0804_思政课专任教师4</t>
  </si>
  <si>
    <t>姜艳文</t>
  </si>
  <si>
    <t>栾忠恒</t>
  </si>
  <si>
    <t>0805_思政课专任教师5</t>
  </si>
  <si>
    <t>高新莉</t>
  </si>
  <si>
    <t>0903_财会类教师3</t>
  </si>
  <si>
    <t>周艳丽</t>
  </si>
  <si>
    <t>黄小艳</t>
  </si>
  <si>
    <t>0907_金融类教师</t>
  </si>
  <si>
    <t>陈赟琪</t>
  </si>
  <si>
    <t>3/5</t>
  </si>
  <si>
    <t>陈立新</t>
  </si>
  <si>
    <t>0908_财会类、金融类教师</t>
  </si>
  <si>
    <t>李欣桐</t>
  </si>
  <si>
    <t>胡石</t>
  </si>
  <si>
    <t xml:space="preserve"> 否 </t>
  </si>
  <si>
    <t>张航</t>
  </si>
  <si>
    <t>笔试成绩</t>
  </si>
  <si>
    <t>面试成绩</t>
  </si>
  <si>
    <t>综合成绩</t>
  </si>
  <si>
    <t>0104-国际经济与贸易专业教师2</t>
  </si>
  <si>
    <t>202109121503</t>
  </si>
  <si>
    <t>0201-旅游管理专业教师1</t>
  </si>
  <si>
    <t>202109121820</t>
  </si>
  <si>
    <t>202109121817</t>
  </si>
  <si>
    <t>202109121815</t>
  </si>
  <si>
    <t>202109121812</t>
  </si>
  <si>
    <t>202109121811</t>
  </si>
  <si>
    <t>202109121810</t>
  </si>
  <si>
    <t>总序号</t>
  </si>
  <si>
    <t>0203-旅游管理专业教师3</t>
  </si>
  <si>
    <t>202109121824</t>
  </si>
  <si>
    <t>202109121826</t>
  </si>
  <si>
    <t>0206-市场营销专业教师2</t>
  </si>
  <si>
    <t>202109121515</t>
  </si>
  <si>
    <t>202109121507</t>
  </si>
  <si>
    <t>202109121508</t>
  </si>
  <si>
    <t>0207-市场营销专业教师3（直播营销方向）</t>
  </si>
  <si>
    <t>202109121530</t>
  </si>
  <si>
    <t>202109121522</t>
  </si>
  <si>
    <t>202109121523</t>
  </si>
  <si>
    <t>0302-机械、电气类教师2</t>
  </si>
  <si>
    <t>202109122014</t>
  </si>
  <si>
    <t>0402-计算机类专业教师2</t>
  </si>
  <si>
    <t>202109122107</t>
  </si>
  <si>
    <t>202109122114</t>
  </si>
  <si>
    <t>202109122112</t>
  </si>
  <si>
    <t>0602-商务英语专业教师2</t>
  </si>
  <si>
    <t>202109121708</t>
  </si>
  <si>
    <t>202109121702</t>
  </si>
  <si>
    <t>202109121703</t>
  </si>
  <si>
    <t>202109121704</t>
  </si>
  <si>
    <t>202109121706</t>
  </si>
  <si>
    <t>0603-商务英语专业教师3</t>
  </si>
  <si>
    <t>202109121725</t>
  </si>
  <si>
    <t>202109121722</t>
  </si>
  <si>
    <t>202109121727</t>
  </si>
  <si>
    <t>202109121723</t>
  </si>
  <si>
    <t>202109121801</t>
  </si>
  <si>
    <t>0604-汉语国际教育教师</t>
  </si>
  <si>
    <t>202109121309</t>
  </si>
  <si>
    <t>202109121307</t>
  </si>
  <si>
    <t>202109121319</t>
  </si>
  <si>
    <t>202109121410</t>
  </si>
  <si>
    <t>202109121318</t>
  </si>
  <si>
    <t>202109121311</t>
  </si>
  <si>
    <t>202109121411</t>
  </si>
  <si>
    <t>202109121321</t>
  </si>
  <si>
    <t>202109121405</t>
  </si>
  <si>
    <t>0605-日语教师</t>
  </si>
  <si>
    <t>202109121423</t>
  </si>
  <si>
    <t>202109121416</t>
  </si>
  <si>
    <t>202109121422</t>
  </si>
  <si>
    <t>0702-俄语教师2</t>
  </si>
  <si>
    <t>202109121227</t>
  </si>
  <si>
    <t>202109121208</t>
  </si>
  <si>
    <t>202109121222</t>
  </si>
  <si>
    <t>0801-思政课专任教师1</t>
  </si>
  <si>
    <t>202109121914</t>
  </si>
  <si>
    <t>202109121906</t>
  </si>
  <si>
    <t>0802-思政课专任教师2</t>
  </si>
  <si>
    <t>202109121920</t>
  </si>
  <si>
    <t>202109121918</t>
  </si>
  <si>
    <t>0803-思政课专任教师3</t>
  </si>
  <si>
    <t>202109122002</t>
  </si>
  <si>
    <t>202109122012</t>
  </si>
  <si>
    <t>202109122003</t>
  </si>
  <si>
    <t>202109122007</t>
  </si>
  <si>
    <t>202109122008</t>
  </si>
  <si>
    <t>缺考</t>
  </si>
  <si>
    <t>0901-财会类教师1</t>
  </si>
  <si>
    <t>202109122202</t>
  </si>
  <si>
    <t>0902-财会类教师2</t>
  </si>
  <si>
    <t>202109122209</t>
  </si>
  <si>
    <t>0904-财会类双语教师</t>
  </si>
  <si>
    <t>202109122117</t>
  </si>
  <si>
    <t>0905-金融类双语教师1</t>
  </si>
  <si>
    <t>202109122214</t>
  </si>
  <si>
    <t>202109122218</t>
  </si>
  <si>
    <t>202109122216</t>
  </si>
  <si>
    <t>0906-金融类双语教师2</t>
  </si>
  <si>
    <t>202109122224</t>
  </si>
  <si>
    <t>202109122221</t>
  </si>
  <si>
    <t>1001-辅导员1</t>
  </si>
  <si>
    <t>202109120111</t>
  </si>
  <si>
    <t>202109120104</t>
  </si>
  <si>
    <t>202109120110</t>
  </si>
  <si>
    <t>1002-辅导员2</t>
  </si>
  <si>
    <t>202109120215</t>
  </si>
  <si>
    <t>202109120127</t>
  </si>
  <si>
    <t>202109120129</t>
  </si>
  <si>
    <t>202109120221</t>
  </si>
  <si>
    <t>202109120128</t>
  </si>
  <si>
    <t>202109120217</t>
  </si>
  <si>
    <t>202109120229</t>
  </si>
  <si>
    <t>202109120123</t>
  </si>
  <si>
    <t>202109120120</t>
  </si>
  <si>
    <t>202109120214</t>
  </si>
  <si>
    <t>1003-辅导员3</t>
  </si>
  <si>
    <t>202109120401</t>
  </si>
  <si>
    <t>202109120409</t>
  </si>
  <si>
    <t>202109120404</t>
  </si>
  <si>
    <t>202109120407</t>
  </si>
  <si>
    <t>202109120303</t>
  </si>
  <si>
    <t>1004-辅导员4</t>
  </si>
  <si>
    <t>202109120524</t>
  </si>
  <si>
    <t>202109120606</t>
  </si>
  <si>
    <t>202109120423</t>
  </si>
  <si>
    <t>202109120520</t>
  </si>
  <si>
    <t>202109120429</t>
  </si>
  <si>
    <t>202109120424</t>
  </si>
  <si>
    <t>202109120519</t>
  </si>
  <si>
    <t>202109120426</t>
  </si>
  <si>
    <t>202109120508</t>
  </si>
  <si>
    <t>202109120615</t>
  </si>
  <si>
    <t>202109120530</t>
  </si>
  <si>
    <t>202109120428</t>
  </si>
  <si>
    <t>1005-辅导员5</t>
  </si>
  <si>
    <t>202109120818</t>
  </si>
  <si>
    <t>202109120710</t>
  </si>
  <si>
    <t>202109120806</t>
  </si>
  <si>
    <t>202109120910</t>
  </si>
  <si>
    <t>202109120913</t>
  </si>
  <si>
    <t>202109120624</t>
  </si>
  <si>
    <t>202109120728</t>
  </si>
  <si>
    <t>202109120829</t>
  </si>
  <si>
    <t>202109120627</t>
  </si>
  <si>
    <t>202109120712</t>
  </si>
  <si>
    <t>202109120721</t>
  </si>
  <si>
    <t>202109120827</t>
  </si>
  <si>
    <t>1101-艺术团指导教师</t>
  </si>
  <si>
    <t>202109121118</t>
  </si>
  <si>
    <t>202109121128</t>
  </si>
  <si>
    <t>202109121127</t>
  </si>
  <si>
    <t>1201-全科医生</t>
  </si>
  <si>
    <t>202109121608</t>
  </si>
  <si>
    <t>202109121607</t>
  </si>
  <si>
    <t>202109121601</t>
  </si>
  <si>
    <t xml:space="preserve">否 </t>
  </si>
  <si>
    <t>1301-纪检监察</t>
  </si>
  <si>
    <t>202109122103</t>
  </si>
  <si>
    <t>1601-教务管理</t>
  </si>
  <si>
    <t>202109121613</t>
  </si>
  <si>
    <t>202109121611</t>
  </si>
  <si>
    <t>202109121620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</si>
</sst>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4" tint="-0.2499700039625167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51" fillId="0" borderId="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9" xfId="0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60" fillId="0" borderId="9" xfId="0" applyNumberFormat="1" applyFont="1" applyFill="1" applyBorder="1" applyAlignment="1" applyProtection="1">
      <alignment horizontal="center" vertical="center"/>
      <protection locked="0"/>
    </xf>
    <xf numFmtId="49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workbookViewId="0" topLeftCell="A553">
      <selection activeCell="J559" sqref="J559"/>
    </sheetView>
  </sheetViews>
  <sheetFormatPr defaultColWidth="9.00390625" defaultRowHeight="15"/>
  <cols>
    <col min="1" max="1" width="6.57421875" style="0" customWidth="1"/>
    <col min="2" max="2" width="30.421875" style="0" customWidth="1"/>
    <col min="3" max="3" width="39.421875" style="0" customWidth="1"/>
    <col min="4" max="4" width="13.7109375" style="0" customWidth="1"/>
    <col min="5" max="5" width="6.28125" style="0" customWidth="1"/>
    <col min="6" max="6" width="5.7109375" style="0" customWidth="1"/>
    <col min="7" max="7" width="17.421875" style="0" customWidth="1"/>
  </cols>
  <sheetData>
    <row r="1" spans="1:7" s="67" customFormat="1" ht="30" customHeight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</row>
    <row r="2" spans="1:7" ht="19.5" customHeight="1">
      <c r="A2" s="69">
        <v>1</v>
      </c>
      <c r="B2" s="69" t="s">
        <v>7</v>
      </c>
      <c r="C2" s="69" t="s">
        <v>8</v>
      </c>
      <c r="D2" s="69" t="str">
        <f>"202109120101"</f>
        <v>202109120101</v>
      </c>
      <c r="E2" s="69" t="str">
        <f aca="true" t="shared" si="0" ref="E2:E31">"01"</f>
        <v>01</v>
      </c>
      <c r="F2" s="69" t="str">
        <f>"01"</f>
        <v>01</v>
      </c>
      <c r="G2" s="69" t="s">
        <v>9</v>
      </c>
    </row>
    <row r="3" spans="1:7" ht="19.5" customHeight="1">
      <c r="A3" s="69">
        <v>2</v>
      </c>
      <c r="B3" s="69" t="s">
        <v>7</v>
      </c>
      <c r="C3" s="69" t="s">
        <v>10</v>
      </c>
      <c r="D3" s="69" t="str">
        <f>"202109120102"</f>
        <v>202109120102</v>
      </c>
      <c r="E3" s="69" t="str">
        <f t="shared" si="0"/>
        <v>01</v>
      </c>
      <c r="F3" s="69" t="str">
        <f>"02"</f>
        <v>02</v>
      </c>
      <c r="G3" s="69" t="s">
        <v>9</v>
      </c>
    </row>
    <row r="4" spans="1:7" ht="19.5" customHeight="1">
      <c r="A4" s="69">
        <v>3</v>
      </c>
      <c r="B4" s="69" t="s">
        <v>7</v>
      </c>
      <c r="C4" s="69" t="s">
        <v>11</v>
      </c>
      <c r="D4" s="69" t="str">
        <f>"202109120103"</f>
        <v>202109120103</v>
      </c>
      <c r="E4" s="69" t="str">
        <f t="shared" si="0"/>
        <v>01</v>
      </c>
      <c r="F4" s="69" t="str">
        <f>"03"</f>
        <v>03</v>
      </c>
      <c r="G4" s="69" t="s">
        <v>9</v>
      </c>
    </row>
    <row r="5" spans="1:7" ht="19.5" customHeight="1">
      <c r="A5" s="69">
        <v>4</v>
      </c>
      <c r="B5" s="69" t="s">
        <v>7</v>
      </c>
      <c r="C5" s="69" t="s">
        <v>12</v>
      </c>
      <c r="D5" s="69" t="str">
        <f>"202109120104"</f>
        <v>202109120104</v>
      </c>
      <c r="E5" s="69" t="str">
        <f t="shared" si="0"/>
        <v>01</v>
      </c>
      <c r="F5" s="69" t="str">
        <f>"04"</f>
        <v>04</v>
      </c>
      <c r="G5" s="69" t="s">
        <v>9</v>
      </c>
    </row>
    <row r="6" spans="1:7" ht="19.5" customHeight="1">
      <c r="A6" s="69">
        <v>5</v>
      </c>
      <c r="B6" s="69" t="s">
        <v>7</v>
      </c>
      <c r="C6" s="69" t="s">
        <v>13</v>
      </c>
      <c r="D6" s="69" t="str">
        <f>"202109120105"</f>
        <v>202109120105</v>
      </c>
      <c r="E6" s="69" t="str">
        <f t="shared" si="0"/>
        <v>01</v>
      </c>
      <c r="F6" s="69" t="str">
        <f>"05"</f>
        <v>05</v>
      </c>
      <c r="G6" s="69" t="s">
        <v>9</v>
      </c>
    </row>
    <row r="7" spans="1:7" ht="19.5" customHeight="1">
      <c r="A7" s="69">
        <v>6</v>
      </c>
      <c r="B7" s="69" t="s">
        <v>7</v>
      </c>
      <c r="C7" s="69" t="s">
        <v>14</v>
      </c>
      <c r="D7" s="69" t="str">
        <f>"202109120106"</f>
        <v>202109120106</v>
      </c>
      <c r="E7" s="69" t="str">
        <f t="shared" si="0"/>
        <v>01</v>
      </c>
      <c r="F7" s="69" t="str">
        <f>"06"</f>
        <v>06</v>
      </c>
      <c r="G7" s="69" t="s">
        <v>9</v>
      </c>
    </row>
    <row r="8" spans="1:7" ht="19.5" customHeight="1">
      <c r="A8" s="69">
        <v>7</v>
      </c>
      <c r="B8" s="69" t="s">
        <v>7</v>
      </c>
      <c r="C8" s="69" t="s">
        <v>15</v>
      </c>
      <c r="D8" s="69" t="str">
        <f>"202109120107"</f>
        <v>202109120107</v>
      </c>
      <c r="E8" s="69" t="str">
        <f t="shared" si="0"/>
        <v>01</v>
      </c>
      <c r="F8" s="69" t="str">
        <f>"07"</f>
        <v>07</v>
      </c>
      <c r="G8" s="69" t="s">
        <v>9</v>
      </c>
    </row>
    <row r="9" spans="1:7" ht="19.5" customHeight="1">
      <c r="A9" s="69">
        <v>8</v>
      </c>
      <c r="B9" s="69" t="s">
        <v>7</v>
      </c>
      <c r="C9" s="69" t="s">
        <v>16</v>
      </c>
      <c r="D9" s="69" t="str">
        <f>"202109120108"</f>
        <v>202109120108</v>
      </c>
      <c r="E9" s="69" t="str">
        <f t="shared" si="0"/>
        <v>01</v>
      </c>
      <c r="F9" s="69" t="str">
        <f>"08"</f>
        <v>08</v>
      </c>
      <c r="G9" s="69" t="s">
        <v>9</v>
      </c>
    </row>
    <row r="10" spans="1:7" ht="19.5" customHeight="1">
      <c r="A10" s="69">
        <v>9</v>
      </c>
      <c r="B10" s="69" t="s">
        <v>7</v>
      </c>
      <c r="C10" s="69" t="s">
        <v>17</v>
      </c>
      <c r="D10" s="69" t="str">
        <f>"202109120109"</f>
        <v>202109120109</v>
      </c>
      <c r="E10" s="69" t="str">
        <f t="shared" si="0"/>
        <v>01</v>
      </c>
      <c r="F10" s="69" t="str">
        <f>"09"</f>
        <v>09</v>
      </c>
      <c r="G10" s="69" t="s">
        <v>9</v>
      </c>
    </row>
    <row r="11" spans="1:7" ht="19.5" customHeight="1">
      <c r="A11" s="69">
        <v>10</v>
      </c>
      <c r="B11" s="69" t="s">
        <v>7</v>
      </c>
      <c r="C11" s="69" t="s">
        <v>18</v>
      </c>
      <c r="D11" s="69" t="str">
        <f>"202109120110"</f>
        <v>202109120110</v>
      </c>
      <c r="E11" s="69" t="str">
        <f t="shared" si="0"/>
        <v>01</v>
      </c>
      <c r="F11" s="69" t="str">
        <f>"10"</f>
        <v>10</v>
      </c>
      <c r="G11" s="69" t="s">
        <v>9</v>
      </c>
    </row>
    <row r="12" spans="1:7" ht="19.5" customHeight="1">
      <c r="A12" s="69">
        <v>11</v>
      </c>
      <c r="B12" s="69" t="s">
        <v>7</v>
      </c>
      <c r="C12" s="69" t="s">
        <v>19</v>
      </c>
      <c r="D12" s="69" t="str">
        <f>"202109120111"</f>
        <v>202109120111</v>
      </c>
      <c r="E12" s="69" t="str">
        <f t="shared" si="0"/>
        <v>01</v>
      </c>
      <c r="F12" s="69" t="str">
        <f>"11"</f>
        <v>11</v>
      </c>
      <c r="G12" s="69" t="s">
        <v>9</v>
      </c>
    </row>
    <row r="13" spans="1:7" ht="19.5" customHeight="1">
      <c r="A13" s="69">
        <v>12</v>
      </c>
      <c r="B13" s="69" t="s">
        <v>7</v>
      </c>
      <c r="C13" s="69" t="s">
        <v>20</v>
      </c>
      <c r="D13" s="69" t="str">
        <f>"202109120112"</f>
        <v>202109120112</v>
      </c>
      <c r="E13" s="69" t="str">
        <f t="shared" si="0"/>
        <v>01</v>
      </c>
      <c r="F13" s="69" t="str">
        <f>"12"</f>
        <v>12</v>
      </c>
      <c r="G13" s="69" t="s">
        <v>9</v>
      </c>
    </row>
    <row r="14" spans="1:7" ht="19.5" customHeight="1">
      <c r="A14" s="69">
        <v>13</v>
      </c>
      <c r="B14" s="69" t="s">
        <v>21</v>
      </c>
      <c r="C14" s="69" t="s">
        <v>22</v>
      </c>
      <c r="D14" s="69" t="str">
        <f>"202109120113"</f>
        <v>202109120113</v>
      </c>
      <c r="E14" s="69" t="str">
        <f t="shared" si="0"/>
        <v>01</v>
      </c>
      <c r="F14" s="69" t="str">
        <f>"13"</f>
        <v>13</v>
      </c>
      <c r="G14" s="69" t="s">
        <v>9</v>
      </c>
    </row>
    <row r="15" spans="1:7" ht="19.5" customHeight="1">
      <c r="A15" s="69">
        <v>14</v>
      </c>
      <c r="B15" s="69" t="s">
        <v>21</v>
      </c>
      <c r="C15" s="69" t="s">
        <v>23</v>
      </c>
      <c r="D15" s="69" t="str">
        <f>"202109120114"</f>
        <v>202109120114</v>
      </c>
      <c r="E15" s="69" t="str">
        <f t="shared" si="0"/>
        <v>01</v>
      </c>
      <c r="F15" s="69" t="str">
        <f>"14"</f>
        <v>14</v>
      </c>
      <c r="G15" s="69" t="s">
        <v>9</v>
      </c>
    </row>
    <row r="16" spans="1:7" ht="19.5" customHeight="1">
      <c r="A16" s="69">
        <v>15</v>
      </c>
      <c r="B16" s="69" t="s">
        <v>21</v>
      </c>
      <c r="C16" s="69" t="s">
        <v>24</v>
      </c>
      <c r="D16" s="69" t="str">
        <f>"202109120115"</f>
        <v>202109120115</v>
      </c>
      <c r="E16" s="69" t="str">
        <f t="shared" si="0"/>
        <v>01</v>
      </c>
      <c r="F16" s="69" t="str">
        <f>"15"</f>
        <v>15</v>
      </c>
      <c r="G16" s="69" t="s">
        <v>9</v>
      </c>
    </row>
    <row r="17" spans="1:7" ht="19.5" customHeight="1">
      <c r="A17" s="69">
        <v>16</v>
      </c>
      <c r="B17" s="69" t="s">
        <v>21</v>
      </c>
      <c r="C17" s="69" t="s">
        <v>25</v>
      </c>
      <c r="D17" s="69" t="str">
        <f>"202109120116"</f>
        <v>202109120116</v>
      </c>
      <c r="E17" s="69" t="str">
        <f t="shared" si="0"/>
        <v>01</v>
      </c>
      <c r="F17" s="69" t="str">
        <f>"16"</f>
        <v>16</v>
      </c>
      <c r="G17" s="69" t="s">
        <v>9</v>
      </c>
    </row>
    <row r="18" spans="1:7" ht="19.5" customHeight="1">
      <c r="A18" s="69">
        <v>17</v>
      </c>
      <c r="B18" s="69" t="s">
        <v>21</v>
      </c>
      <c r="C18" s="69" t="s">
        <v>26</v>
      </c>
      <c r="D18" s="69" t="str">
        <f>"202109120117"</f>
        <v>202109120117</v>
      </c>
      <c r="E18" s="69" t="str">
        <f t="shared" si="0"/>
        <v>01</v>
      </c>
      <c r="F18" s="69" t="str">
        <f>"17"</f>
        <v>17</v>
      </c>
      <c r="G18" s="69" t="s">
        <v>9</v>
      </c>
    </row>
    <row r="19" spans="1:7" ht="19.5" customHeight="1">
      <c r="A19" s="69">
        <v>18</v>
      </c>
      <c r="B19" s="69" t="s">
        <v>21</v>
      </c>
      <c r="C19" s="69" t="s">
        <v>27</v>
      </c>
      <c r="D19" s="69" t="str">
        <f>"202109120118"</f>
        <v>202109120118</v>
      </c>
      <c r="E19" s="69" t="str">
        <f t="shared" si="0"/>
        <v>01</v>
      </c>
      <c r="F19" s="69" t="str">
        <f>"18"</f>
        <v>18</v>
      </c>
      <c r="G19" s="69" t="s">
        <v>9</v>
      </c>
    </row>
    <row r="20" spans="1:7" ht="19.5" customHeight="1">
      <c r="A20" s="69">
        <v>19</v>
      </c>
      <c r="B20" s="69" t="s">
        <v>21</v>
      </c>
      <c r="C20" s="69" t="s">
        <v>28</v>
      </c>
      <c r="D20" s="69" t="str">
        <f>"202109120119"</f>
        <v>202109120119</v>
      </c>
      <c r="E20" s="69" t="str">
        <f t="shared" si="0"/>
        <v>01</v>
      </c>
      <c r="F20" s="69" t="str">
        <f>"19"</f>
        <v>19</v>
      </c>
      <c r="G20" s="69" t="s">
        <v>9</v>
      </c>
    </row>
    <row r="21" spans="1:7" ht="19.5" customHeight="1">
      <c r="A21" s="69">
        <v>20</v>
      </c>
      <c r="B21" s="69" t="s">
        <v>21</v>
      </c>
      <c r="C21" s="69" t="s">
        <v>29</v>
      </c>
      <c r="D21" s="69" t="str">
        <f>"202109120120"</f>
        <v>202109120120</v>
      </c>
      <c r="E21" s="69" t="str">
        <f t="shared" si="0"/>
        <v>01</v>
      </c>
      <c r="F21" s="69" t="str">
        <f>"20"</f>
        <v>20</v>
      </c>
      <c r="G21" s="69" t="s">
        <v>9</v>
      </c>
    </row>
    <row r="22" spans="1:7" ht="19.5" customHeight="1">
      <c r="A22" s="69">
        <v>21</v>
      </c>
      <c r="B22" s="69" t="s">
        <v>21</v>
      </c>
      <c r="C22" s="69" t="s">
        <v>30</v>
      </c>
      <c r="D22" s="69" t="str">
        <f>"202109120121"</f>
        <v>202109120121</v>
      </c>
      <c r="E22" s="69" t="str">
        <f t="shared" si="0"/>
        <v>01</v>
      </c>
      <c r="F22" s="69" t="str">
        <f>"21"</f>
        <v>21</v>
      </c>
      <c r="G22" s="69" t="s">
        <v>9</v>
      </c>
    </row>
    <row r="23" spans="1:7" ht="19.5" customHeight="1">
      <c r="A23" s="69">
        <v>22</v>
      </c>
      <c r="B23" s="69" t="s">
        <v>21</v>
      </c>
      <c r="C23" s="69" t="s">
        <v>31</v>
      </c>
      <c r="D23" s="69" t="str">
        <f>"202109120122"</f>
        <v>202109120122</v>
      </c>
      <c r="E23" s="69" t="str">
        <f t="shared" si="0"/>
        <v>01</v>
      </c>
      <c r="F23" s="69" t="str">
        <f>"22"</f>
        <v>22</v>
      </c>
      <c r="G23" s="69" t="s">
        <v>9</v>
      </c>
    </row>
    <row r="24" spans="1:7" ht="19.5" customHeight="1">
      <c r="A24" s="69">
        <v>23</v>
      </c>
      <c r="B24" s="69" t="s">
        <v>21</v>
      </c>
      <c r="C24" s="69" t="s">
        <v>32</v>
      </c>
      <c r="D24" s="69" t="str">
        <f>"202109120123"</f>
        <v>202109120123</v>
      </c>
      <c r="E24" s="69" t="str">
        <f t="shared" si="0"/>
        <v>01</v>
      </c>
      <c r="F24" s="69" t="str">
        <f>"23"</f>
        <v>23</v>
      </c>
      <c r="G24" s="69" t="s">
        <v>9</v>
      </c>
    </row>
    <row r="25" spans="1:7" ht="19.5" customHeight="1">
      <c r="A25" s="69">
        <v>24</v>
      </c>
      <c r="B25" s="69" t="s">
        <v>21</v>
      </c>
      <c r="C25" s="69" t="s">
        <v>33</v>
      </c>
      <c r="D25" s="69" t="str">
        <f>"202109120124"</f>
        <v>202109120124</v>
      </c>
      <c r="E25" s="69" t="str">
        <f t="shared" si="0"/>
        <v>01</v>
      </c>
      <c r="F25" s="69" t="str">
        <f>"24"</f>
        <v>24</v>
      </c>
      <c r="G25" s="69" t="s">
        <v>9</v>
      </c>
    </row>
    <row r="26" spans="1:7" ht="19.5" customHeight="1">
      <c r="A26" s="69">
        <v>25</v>
      </c>
      <c r="B26" s="69" t="s">
        <v>21</v>
      </c>
      <c r="C26" s="69" t="s">
        <v>34</v>
      </c>
      <c r="D26" s="69" t="str">
        <f>"202109120125"</f>
        <v>202109120125</v>
      </c>
      <c r="E26" s="69" t="str">
        <f t="shared" si="0"/>
        <v>01</v>
      </c>
      <c r="F26" s="69" t="str">
        <f>"25"</f>
        <v>25</v>
      </c>
      <c r="G26" s="69" t="s">
        <v>9</v>
      </c>
    </row>
    <row r="27" spans="1:7" ht="19.5" customHeight="1">
      <c r="A27" s="69">
        <v>26</v>
      </c>
      <c r="B27" s="69" t="s">
        <v>21</v>
      </c>
      <c r="C27" s="69" t="s">
        <v>35</v>
      </c>
      <c r="D27" s="69" t="str">
        <f>"202109120126"</f>
        <v>202109120126</v>
      </c>
      <c r="E27" s="69" t="str">
        <f t="shared" si="0"/>
        <v>01</v>
      </c>
      <c r="F27" s="69" t="str">
        <f>"26"</f>
        <v>26</v>
      </c>
      <c r="G27" s="69" t="s">
        <v>9</v>
      </c>
    </row>
    <row r="28" spans="1:7" ht="19.5" customHeight="1">
      <c r="A28" s="69">
        <v>27</v>
      </c>
      <c r="B28" s="69" t="s">
        <v>21</v>
      </c>
      <c r="C28" s="69" t="s">
        <v>36</v>
      </c>
      <c r="D28" s="69" t="str">
        <f>"202109120127"</f>
        <v>202109120127</v>
      </c>
      <c r="E28" s="69" t="str">
        <f t="shared" si="0"/>
        <v>01</v>
      </c>
      <c r="F28" s="69" t="str">
        <f>"27"</f>
        <v>27</v>
      </c>
      <c r="G28" s="69" t="s">
        <v>9</v>
      </c>
    </row>
    <row r="29" spans="1:7" ht="19.5" customHeight="1">
      <c r="A29" s="69">
        <v>28</v>
      </c>
      <c r="B29" s="69" t="s">
        <v>21</v>
      </c>
      <c r="C29" s="69" t="s">
        <v>37</v>
      </c>
      <c r="D29" s="69" t="str">
        <f>"202109120128"</f>
        <v>202109120128</v>
      </c>
      <c r="E29" s="69" t="str">
        <f t="shared" si="0"/>
        <v>01</v>
      </c>
      <c r="F29" s="69" t="str">
        <f>"28"</f>
        <v>28</v>
      </c>
      <c r="G29" s="69" t="s">
        <v>9</v>
      </c>
    </row>
    <row r="30" spans="1:7" ht="19.5" customHeight="1">
      <c r="A30" s="69">
        <v>29</v>
      </c>
      <c r="B30" s="69" t="s">
        <v>21</v>
      </c>
      <c r="C30" s="69" t="s">
        <v>38</v>
      </c>
      <c r="D30" s="69" t="str">
        <f>"202109120129"</f>
        <v>202109120129</v>
      </c>
      <c r="E30" s="69" t="str">
        <f t="shared" si="0"/>
        <v>01</v>
      </c>
      <c r="F30" s="69" t="str">
        <f>"29"</f>
        <v>29</v>
      </c>
      <c r="G30" s="69" t="s">
        <v>9</v>
      </c>
    </row>
    <row r="31" spans="1:7" ht="19.5" customHeight="1">
      <c r="A31" s="69">
        <v>30</v>
      </c>
      <c r="B31" s="69" t="s">
        <v>21</v>
      </c>
      <c r="C31" s="69" t="s">
        <v>39</v>
      </c>
      <c r="D31" s="69" t="str">
        <f>"202109120130"</f>
        <v>202109120130</v>
      </c>
      <c r="E31" s="69" t="str">
        <f t="shared" si="0"/>
        <v>01</v>
      </c>
      <c r="F31" s="69" t="str">
        <f>"30"</f>
        <v>30</v>
      </c>
      <c r="G31" s="69" t="s">
        <v>9</v>
      </c>
    </row>
    <row r="32" spans="1:7" ht="19.5" customHeight="1">
      <c r="A32" s="69">
        <v>31</v>
      </c>
      <c r="B32" s="69" t="s">
        <v>21</v>
      </c>
      <c r="C32" s="69" t="s">
        <v>40</v>
      </c>
      <c r="D32" s="69" t="str">
        <f>"202109120201"</f>
        <v>202109120201</v>
      </c>
      <c r="E32" s="69" t="str">
        <f aca="true" t="shared" si="1" ref="E32:E61">"02"</f>
        <v>02</v>
      </c>
      <c r="F32" s="69" t="str">
        <f>"01"</f>
        <v>01</v>
      </c>
      <c r="G32" s="69" t="s">
        <v>9</v>
      </c>
    </row>
    <row r="33" spans="1:7" ht="19.5" customHeight="1">
      <c r="A33" s="69">
        <v>32</v>
      </c>
      <c r="B33" s="69" t="s">
        <v>21</v>
      </c>
      <c r="C33" s="69" t="s">
        <v>41</v>
      </c>
      <c r="D33" s="69" t="str">
        <f>"202109120202"</f>
        <v>202109120202</v>
      </c>
      <c r="E33" s="69" t="str">
        <f t="shared" si="1"/>
        <v>02</v>
      </c>
      <c r="F33" s="69" t="str">
        <f>"02"</f>
        <v>02</v>
      </c>
      <c r="G33" s="69" t="s">
        <v>9</v>
      </c>
    </row>
    <row r="34" spans="1:7" ht="19.5" customHeight="1">
      <c r="A34" s="69">
        <v>33</v>
      </c>
      <c r="B34" s="69" t="s">
        <v>21</v>
      </c>
      <c r="C34" s="69" t="s">
        <v>42</v>
      </c>
      <c r="D34" s="69" t="str">
        <f>"202109120203"</f>
        <v>202109120203</v>
      </c>
      <c r="E34" s="69" t="str">
        <f t="shared" si="1"/>
        <v>02</v>
      </c>
      <c r="F34" s="69" t="str">
        <f>"03"</f>
        <v>03</v>
      </c>
      <c r="G34" s="69" t="s">
        <v>9</v>
      </c>
    </row>
    <row r="35" spans="1:7" ht="19.5" customHeight="1">
      <c r="A35" s="69">
        <v>34</v>
      </c>
      <c r="B35" s="69" t="s">
        <v>21</v>
      </c>
      <c r="C35" s="69" t="s">
        <v>43</v>
      </c>
      <c r="D35" s="69" t="str">
        <f>"202109120204"</f>
        <v>202109120204</v>
      </c>
      <c r="E35" s="69" t="str">
        <f t="shared" si="1"/>
        <v>02</v>
      </c>
      <c r="F35" s="69" t="str">
        <f>"04"</f>
        <v>04</v>
      </c>
      <c r="G35" s="69" t="s">
        <v>9</v>
      </c>
    </row>
    <row r="36" spans="1:7" ht="19.5" customHeight="1">
      <c r="A36" s="69">
        <v>35</v>
      </c>
      <c r="B36" s="69" t="s">
        <v>21</v>
      </c>
      <c r="C36" s="69" t="s">
        <v>44</v>
      </c>
      <c r="D36" s="69" t="str">
        <f>"202109120205"</f>
        <v>202109120205</v>
      </c>
      <c r="E36" s="69" t="str">
        <f t="shared" si="1"/>
        <v>02</v>
      </c>
      <c r="F36" s="69" t="str">
        <f>"05"</f>
        <v>05</v>
      </c>
      <c r="G36" s="69" t="s">
        <v>9</v>
      </c>
    </row>
    <row r="37" spans="1:7" ht="19.5" customHeight="1">
      <c r="A37" s="69">
        <v>36</v>
      </c>
      <c r="B37" s="69" t="s">
        <v>21</v>
      </c>
      <c r="C37" s="69" t="s">
        <v>45</v>
      </c>
      <c r="D37" s="69" t="str">
        <f>"202109120206"</f>
        <v>202109120206</v>
      </c>
      <c r="E37" s="69" t="str">
        <f t="shared" si="1"/>
        <v>02</v>
      </c>
      <c r="F37" s="69" t="str">
        <f>"06"</f>
        <v>06</v>
      </c>
      <c r="G37" s="69" t="s">
        <v>9</v>
      </c>
    </row>
    <row r="38" spans="1:7" ht="19.5" customHeight="1">
      <c r="A38" s="69">
        <v>37</v>
      </c>
      <c r="B38" s="69" t="s">
        <v>21</v>
      </c>
      <c r="C38" s="69" t="s">
        <v>46</v>
      </c>
      <c r="D38" s="69" t="str">
        <f>"202109120207"</f>
        <v>202109120207</v>
      </c>
      <c r="E38" s="69" t="str">
        <f t="shared" si="1"/>
        <v>02</v>
      </c>
      <c r="F38" s="69" t="str">
        <f>"07"</f>
        <v>07</v>
      </c>
      <c r="G38" s="69" t="s">
        <v>9</v>
      </c>
    </row>
    <row r="39" spans="1:7" ht="19.5" customHeight="1">
      <c r="A39" s="69">
        <v>38</v>
      </c>
      <c r="B39" s="69" t="s">
        <v>21</v>
      </c>
      <c r="C39" s="69" t="s">
        <v>47</v>
      </c>
      <c r="D39" s="69" t="str">
        <f>"202109120208"</f>
        <v>202109120208</v>
      </c>
      <c r="E39" s="69" t="str">
        <f t="shared" si="1"/>
        <v>02</v>
      </c>
      <c r="F39" s="69" t="str">
        <f>"08"</f>
        <v>08</v>
      </c>
      <c r="G39" s="69" t="s">
        <v>9</v>
      </c>
    </row>
    <row r="40" spans="1:7" ht="19.5" customHeight="1">
      <c r="A40" s="69">
        <v>39</v>
      </c>
      <c r="B40" s="69" t="s">
        <v>21</v>
      </c>
      <c r="C40" s="69" t="s">
        <v>48</v>
      </c>
      <c r="D40" s="69" t="str">
        <f>"202109120209"</f>
        <v>202109120209</v>
      </c>
      <c r="E40" s="69" t="str">
        <f t="shared" si="1"/>
        <v>02</v>
      </c>
      <c r="F40" s="69" t="str">
        <f>"09"</f>
        <v>09</v>
      </c>
      <c r="G40" s="69" t="s">
        <v>9</v>
      </c>
    </row>
    <row r="41" spans="1:7" ht="19.5" customHeight="1">
      <c r="A41" s="69">
        <v>40</v>
      </c>
      <c r="B41" s="69" t="s">
        <v>21</v>
      </c>
      <c r="C41" s="69" t="s">
        <v>49</v>
      </c>
      <c r="D41" s="69" t="str">
        <f>"202109120210"</f>
        <v>202109120210</v>
      </c>
      <c r="E41" s="69" t="str">
        <f t="shared" si="1"/>
        <v>02</v>
      </c>
      <c r="F41" s="69" t="str">
        <f>"10"</f>
        <v>10</v>
      </c>
      <c r="G41" s="69" t="s">
        <v>9</v>
      </c>
    </row>
    <row r="42" spans="1:7" ht="19.5" customHeight="1">
      <c r="A42" s="69">
        <v>41</v>
      </c>
      <c r="B42" s="69" t="s">
        <v>21</v>
      </c>
      <c r="C42" s="69" t="s">
        <v>50</v>
      </c>
      <c r="D42" s="69" t="str">
        <f>"202109120211"</f>
        <v>202109120211</v>
      </c>
      <c r="E42" s="69" t="str">
        <f t="shared" si="1"/>
        <v>02</v>
      </c>
      <c r="F42" s="69" t="str">
        <f>"11"</f>
        <v>11</v>
      </c>
      <c r="G42" s="69" t="s">
        <v>9</v>
      </c>
    </row>
    <row r="43" spans="1:7" ht="19.5" customHeight="1">
      <c r="A43" s="69">
        <v>42</v>
      </c>
      <c r="B43" s="69" t="s">
        <v>21</v>
      </c>
      <c r="C43" s="69" t="s">
        <v>51</v>
      </c>
      <c r="D43" s="69" t="str">
        <f>"202109120212"</f>
        <v>202109120212</v>
      </c>
      <c r="E43" s="69" t="str">
        <f t="shared" si="1"/>
        <v>02</v>
      </c>
      <c r="F43" s="69" t="str">
        <f>"12"</f>
        <v>12</v>
      </c>
      <c r="G43" s="69" t="s">
        <v>9</v>
      </c>
    </row>
    <row r="44" spans="1:7" ht="19.5" customHeight="1">
      <c r="A44" s="69">
        <v>43</v>
      </c>
      <c r="B44" s="69" t="s">
        <v>21</v>
      </c>
      <c r="C44" s="69" t="s">
        <v>52</v>
      </c>
      <c r="D44" s="69" t="str">
        <f>"202109120213"</f>
        <v>202109120213</v>
      </c>
      <c r="E44" s="69" t="str">
        <f t="shared" si="1"/>
        <v>02</v>
      </c>
      <c r="F44" s="69" t="str">
        <f>"13"</f>
        <v>13</v>
      </c>
      <c r="G44" s="69" t="s">
        <v>9</v>
      </c>
    </row>
    <row r="45" spans="1:7" ht="19.5" customHeight="1">
      <c r="A45" s="69">
        <v>44</v>
      </c>
      <c r="B45" s="69" t="s">
        <v>21</v>
      </c>
      <c r="C45" s="69" t="s">
        <v>53</v>
      </c>
      <c r="D45" s="69" t="str">
        <f>"202109120214"</f>
        <v>202109120214</v>
      </c>
      <c r="E45" s="69" t="str">
        <f t="shared" si="1"/>
        <v>02</v>
      </c>
      <c r="F45" s="69" t="str">
        <f>"14"</f>
        <v>14</v>
      </c>
      <c r="G45" s="69" t="s">
        <v>9</v>
      </c>
    </row>
    <row r="46" spans="1:7" ht="19.5" customHeight="1">
      <c r="A46" s="69">
        <v>45</v>
      </c>
      <c r="B46" s="69" t="s">
        <v>21</v>
      </c>
      <c r="C46" s="69" t="s">
        <v>54</v>
      </c>
      <c r="D46" s="69" t="str">
        <f>"202109120215"</f>
        <v>202109120215</v>
      </c>
      <c r="E46" s="69" t="str">
        <f t="shared" si="1"/>
        <v>02</v>
      </c>
      <c r="F46" s="69" t="str">
        <f>"15"</f>
        <v>15</v>
      </c>
      <c r="G46" s="69" t="s">
        <v>9</v>
      </c>
    </row>
    <row r="47" spans="1:7" ht="19.5" customHeight="1">
      <c r="A47" s="69">
        <v>46</v>
      </c>
      <c r="B47" s="69" t="s">
        <v>21</v>
      </c>
      <c r="C47" s="69" t="s">
        <v>55</v>
      </c>
      <c r="D47" s="69" t="str">
        <f>"202109120216"</f>
        <v>202109120216</v>
      </c>
      <c r="E47" s="69" t="str">
        <f t="shared" si="1"/>
        <v>02</v>
      </c>
      <c r="F47" s="69" t="str">
        <f>"16"</f>
        <v>16</v>
      </c>
      <c r="G47" s="69" t="s">
        <v>9</v>
      </c>
    </row>
    <row r="48" spans="1:7" ht="19.5" customHeight="1">
      <c r="A48" s="69">
        <v>47</v>
      </c>
      <c r="B48" s="69" t="s">
        <v>21</v>
      </c>
      <c r="C48" s="69" t="s">
        <v>56</v>
      </c>
      <c r="D48" s="69" t="str">
        <f>"202109120217"</f>
        <v>202109120217</v>
      </c>
      <c r="E48" s="69" t="str">
        <f t="shared" si="1"/>
        <v>02</v>
      </c>
      <c r="F48" s="69" t="str">
        <f>"17"</f>
        <v>17</v>
      </c>
      <c r="G48" s="69" t="s">
        <v>9</v>
      </c>
    </row>
    <row r="49" spans="1:7" ht="19.5" customHeight="1">
      <c r="A49" s="69">
        <v>48</v>
      </c>
      <c r="B49" s="69" t="s">
        <v>21</v>
      </c>
      <c r="C49" s="69" t="s">
        <v>57</v>
      </c>
      <c r="D49" s="69" t="str">
        <f>"202109120218"</f>
        <v>202109120218</v>
      </c>
      <c r="E49" s="69" t="str">
        <f t="shared" si="1"/>
        <v>02</v>
      </c>
      <c r="F49" s="69" t="str">
        <f>"18"</f>
        <v>18</v>
      </c>
      <c r="G49" s="69" t="s">
        <v>9</v>
      </c>
    </row>
    <row r="50" spans="1:7" ht="19.5" customHeight="1">
      <c r="A50" s="69">
        <v>49</v>
      </c>
      <c r="B50" s="69" t="s">
        <v>21</v>
      </c>
      <c r="C50" s="69" t="s">
        <v>58</v>
      </c>
      <c r="D50" s="69" t="str">
        <f>"202109120219"</f>
        <v>202109120219</v>
      </c>
      <c r="E50" s="69" t="str">
        <f t="shared" si="1"/>
        <v>02</v>
      </c>
      <c r="F50" s="69" t="str">
        <f>"19"</f>
        <v>19</v>
      </c>
      <c r="G50" s="69" t="s">
        <v>9</v>
      </c>
    </row>
    <row r="51" spans="1:7" ht="19.5" customHeight="1">
      <c r="A51" s="69">
        <v>50</v>
      </c>
      <c r="B51" s="69" t="s">
        <v>21</v>
      </c>
      <c r="C51" s="69" t="s">
        <v>59</v>
      </c>
      <c r="D51" s="69" t="str">
        <f>"202109120220"</f>
        <v>202109120220</v>
      </c>
      <c r="E51" s="69" t="str">
        <f t="shared" si="1"/>
        <v>02</v>
      </c>
      <c r="F51" s="69" t="str">
        <f>"20"</f>
        <v>20</v>
      </c>
      <c r="G51" s="69" t="s">
        <v>9</v>
      </c>
    </row>
    <row r="52" spans="1:7" ht="19.5" customHeight="1">
      <c r="A52" s="69">
        <v>51</v>
      </c>
      <c r="B52" s="69" t="s">
        <v>21</v>
      </c>
      <c r="C52" s="69" t="s">
        <v>60</v>
      </c>
      <c r="D52" s="69" t="str">
        <f>"202109120221"</f>
        <v>202109120221</v>
      </c>
      <c r="E52" s="69" t="str">
        <f t="shared" si="1"/>
        <v>02</v>
      </c>
      <c r="F52" s="69" t="str">
        <f>"21"</f>
        <v>21</v>
      </c>
      <c r="G52" s="69" t="s">
        <v>9</v>
      </c>
    </row>
    <row r="53" spans="1:7" ht="19.5" customHeight="1">
      <c r="A53" s="69">
        <v>52</v>
      </c>
      <c r="B53" s="69" t="s">
        <v>21</v>
      </c>
      <c r="C53" s="69" t="s">
        <v>61</v>
      </c>
      <c r="D53" s="69" t="str">
        <f>"202109120222"</f>
        <v>202109120222</v>
      </c>
      <c r="E53" s="69" t="str">
        <f t="shared" si="1"/>
        <v>02</v>
      </c>
      <c r="F53" s="69" t="str">
        <f>"22"</f>
        <v>22</v>
      </c>
      <c r="G53" s="69" t="s">
        <v>9</v>
      </c>
    </row>
    <row r="54" spans="1:7" ht="19.5" customHeight="1">
      <c r="A54" s="69">
        <v>53</v>
      </c>
      <c r="B54" s="69" t="s">
        <v>21</v>
      </c>
      <c r="C54" s="69" t="s">
        <v>62</v>
      </c>
      <c r="D54" s="69" t="str">
        <f>"202109120223"</f>
        <v>202109120223</v>
      </c>
      <c r="E54" s="69" t="str">
        <f t="shared" si="1"/>
        <v>02</v>
      </c>
      <c r="F54" s="69" t="str">
        <f>"23"</f>
        <v>23</v>
      </c>
      <c r="G54" s="69" t="s">
        <v>9</v>
      </c>
    </row>
    <row r="55" spans="1:7" ht="19.5" customHeight="1">
      <c r="A55" s="69">
        <v>54</v>
      </c>
      <c r="B55" s="69" t="s">
        <v>21</v>
      </c>
      <c r="C55" s="69" t="s">
        <v>63</v>
      </c>
      <c r="D55" s="69" t="str">
        <f>"202109120224"</f>
        <v>202109120224</v>
      </c>
      <c r="E55" s="69" t="str">
        <f t="shared" si="1"/>
        <v>02</v>
      </c>
      <c r="F55" s="69" t="str">
        <f>"24"</f>
        <v>24</v>
      </c>
      <c r="G55" s="69" t="s">
        <v>9</v>
      </c>
    </row>
    <row r="56" spans="1:7" ht="19.5" customHeight="1">
      <c r="A56" s="69">
        <v>55</v>
      </c>
      <c r="B56" s="69" t="s">
        <v>21</v>
      </c>
      <c r="C56" s="69" t="s">
        <v>64</v>
      </c>
      <c r="D56" s="69" t="str">
        <f>"202109120225"</f>
        <v>202109120225</v>
      </c>
      <c r="E56" s="69" t="str">
        <f t="shared" si="1"/>
        <v>02</v>
      </c>
      <c r="F56" s="69" t="str">
        <f>"25"</f>
        <v>25</v>
      </c>
      <c r="G56" s="69" t="s">
        <v>9</v>
      </c>
    </row>
    <row r="57" spans="1:7" ht="19.5" customHeight="1">
      <c r="A57" s="69">
        <v>56</v>
      </c>
      <c r="B57" s="69" t="s">
        <v>21</v>
      </c>
      <c r="C57" s="69" t="s">
        <v>65</v>
      </c>
      <c r="D57" s="69" t="str">
        <f>"202109120226"</f>
        <v>202109120226</v>
      </c>
      <c r="E57" s="69" t="str">
        <f t="shared" si="1"/>
        <v>02</v>
      </c>
      <c r="F57" s="69" t="str">
        <f>"26"</f>
        <v>26</v>
      </c>
      <c r="G57" s="69" t="s">
        <v>9</v>
      </c>
    </row>
    <row r="58" spans="1:7" ht="19.5" customHeight="1">
      <c r="A58" s="69">
        <v>57</v>
      </c>
      <c r="B58" s="69" t="s">
        <v>21</v>
      </c>
      <c r="C58" s="69" t="s">
        <v>66</v>
      </c>
      <c r="D58" s="69" t="str">
        <f>"202109120227"</f>
        <v>202109120227</v>
      </c>
      <c r="E58" s="69" t="str">
        <f t="shared" si="1"/>
        <v>02</v>
      </c>
      <c r="F58" s="69" t="str">
        <f>"27"</f>
        <v>27</v>
      </c>
      <c r="G58" s="69" t="s">
        <v>9</v>
      </c>
    </row>
    <row r="59" spans="1:7" ht="19.5" customHeight="1">
      <c r="A59" s="69">
        <v>58</v>
      </c>
      <c r="B59" s="69" t="s">
        <v>21</v>
      </c>
      <c r="C59" s="69" t="s">
        <v>67</v>
      </c>
      <c r="D59" s="69" t="str">
        <f>"202109120228"</f>
        <v>202109120228</v>
      </c>
      <c r="E59" s="69" t="str">
        <f t="shared" si="1"/>
        <v>02</v>
      </c>
      <c r="F59" s="69" t="str">
        <f>"28"</f>
        <v>28</v>
      </c>
      <c r="G59" s="69" t="s">
        <v>9</v>
      </c>
    </row>
    <row r="60" spans="1:7" ht="19.5" customHeight="1">
      <c r="A60" s="69">
        <v>59</v>
      </c>
      <c r="B60" s="69" t="s">
        <v>21</v>
      </c>
      <c r="C60" s="69" t="s">
        <v>68</v>
      </c>
      <c r="D60" s="69" t="str">
        <f>"202109120229"</f>
        <v>202109120229</v>
      </c>
      <c r="E60" s="69" t="str">
        <f t="shared" si="1"/>
        <v>02</v>
      </c>
      <c r="F60" s="69" t="str">
        <f>"29"</f>
        <v>29</v>
      </c>
      <c r="G60" s="69" t="s">
        <v>9</v>
      </c>
    </row>
    <row r="61" spans="1:7" ht="19.5" customHeight="1">
      <c r="A61" s="69">
        <v>60</v>
      </c>
      <c r="B61" s="69" t="s">
        <v>21</v>
      </c>
      <c r="C61" s="69" t="s">
        <v>69</v>
      </c>
      <c r="D61" s="69" t="str">
        <f>"202109120230"</f>
        <v>202109120230</v>
      </c>
      <c r="E61" s="69" t="str">
        <f t="shared" si="1"/>
        <v>02</v>
      </c>
      <c r="F61" s="69" t="str">
        <f>"30"</f>
        <v>30</v>
      </c>
      <c r="G61" s="69" t="s">
        <v>9</v>
      </c>
    </row>
    <row r="62" spans="1:7" ht="19.5" customHeight="1">
      <c r="A62" s="69">
        <v>61</v>
      </c>
      <c r="B62" s="69" t="s">
        <v>70</v>
      </c>
      <c r="C62" s="69" t="s">
        <v>71</v>
      </c>
      <c r="D62" s="69" t="str">
        <f>"202109120301"</f>
        <v>202109120301</v>
      </c>
      <c r="E62" s="69" t="str">
        <f aca="true" t="shared" si="2" ref="E62:E91">"03"</f>
        <v>03</v>
      </c>
      <c r="F62" s="69" t="str">
        <f>"01"</f>
        <v>01</v>
      </c>
      <c r="G62" s="69" t="s">
        <v>9</v>
      </c>
    </row>
    <row r="63" spans="1:7" ht="19.5" customHeight="1">
      <c r="A63" s="69">
        <v>62</v>
      </c>
      <c r="B63" s="69" t="s">
        <v>70</v>
      </c>
      <c r="C63" s="69" t="s">
        <v>72</v>
      </c>
      <c r="D63" s="69" t="str">
        <f>"202109120302"</f>
        <v>202109120302</v>
      </c>
      <c r="E63" s="69" t="str">
        <f t="shared" si="2"/>
        <v>03</v>
      </c>
      <c r="F63" s="69" t="str">
        <f>"02"</f>
        <v>02</v>
      </c>
      <c r="G63" s="69" t="s">
        <v>9</v>
      </c>
    </row>
    <row r="64" spans="1:7" ht="19.5" customHeight="1">
      <c r="A64" s="69">
        <v>63</v>
      </c>
      <c r="B64" s="69" t="s">
        <v>70</v>
      </c>
      <c r="C64" s="69" t="s">
        <v>73</v>
      </c>
      <c r="D64" s="69" t="str">
        <f>"202109120303"</f>
        <v>202109120303</v>
      </c>
      <c r="E64" s="69" t="str">
        <f t="shared" si="2"/>
        <v>03</v>
      </c>
      <c r="F64" s="69" t="str">
        <f>"03"</f>
        <v>03</v>
      </c>
      <c r="G64" s="69" t="s">
        <v>9</v>
      </c>
    </row>
    <row r="65" spans="1:7" ht="19.5" customHeight="1">
      <c r="A65" s="69">
        <v>64</v>
      </c>
      <c r="B65" s="69" t="s">
        <v>70</v>
      </c>
      <c r="C65" s="69" t="s">
        <v>74</v>
      </c>
      <c r="D65" s="69" t="str">
        <f>"202109120304"</f>
        <v>202109120304</v>
      </c>
      <c r="E65" s="69" t="str">
        <f t="shared" si="2"/>
        <v>03</v>
      </c>
      <c r="F65" s="69" t="str">
        <f>"04"</f>
        <v>04</v>
      </c>
      <c r="G65" s="69" t="s">
        <v>9</v>
      </c>
    </row>
    <row r="66" spans="1:7" ht="19.5" customHeight="1">
      <c r="A66" s="69">
        <v>65</v>
      </c>
      <c r="B66" s="69" t="s">
        <v>70</v>
      </c>
      <c r="C66" s="69" t="s">
        <v>75</v>
      </c>
      <c r="D66" s="69" t="str">
        <f>"202109120305"</f>
        <v>202109120305</v>
      </c>
      <c r="E66" s="69" t="str">
        <f t="shared" si="2"/>
        <v>03</v>
      </c>
      <c r="F66" s="69" t="str">
        <f>"05"</f>
        <v>05</v>
      </c>
      <c r="G66" s="69" t="s">
        <v>9</v>
      </c>
    </row>
    <row r="67" spans="1:7" ht="19.5" customHeight="1">
      <c r="A67" s="69">
        <v>66</v>
      </c>
      <c r="B67" s="69" t="s">
        <v>70</v>
      </c>
      <c r="C67" s="69" t="s">
        <v>76</v>
      </c>
      <c r="D67" s="69" t="str">
        <f>"202109120306"</f>
        <v>202109120306</v>
      </c>
      <c r="E67" s="69" t="str">
        <f t="shared" si="2"/>
        <v>03</v>
      </c>
      <c r="F67" s="69" t="str">
        <f>"06"</f>
        <v>06</v>
      </c>
      <c r="G67" s="69" t="s">
        <v>9</v>
      </c>
    </row>
    <row r="68" spans="1:7" ht="19.5" customHeight="1">
      <c r="A68" s="69">
        <v>67</v>
      </c>
      <c r="B68" s="69" t="s">
        <v>70</v>
      </c>
      <c r="C68" s="69" t="s">
        <v>77</v>
      </c>
      <c r="D68" s="69" t="str">
        <f>"202109120307"</f>
        <v>202109120307</v>
      </c>
      <c r="E68" s="69" t="str">
        <f t="shared" si="2"/>
        <v>03</v>
      </c>
      <c r="F68" s="69" t="str">
        <f>"07"</f>
        <v>07</v>
      </c>
      <c r="G68" s="69" t="s">
        <v>9</v>
      </c>
    </row>
    <row r="69" spans="1:7" ht="19.5" customHeight="1">
      <c r="A69" s="69">
        <v>68</v>
      </c>
      <c r="B69" s="69" t="s">
        <v>70</v>
      </c>
      <c r="C69" s="69" t="s">
        <v>78</v>
      </c>
      <c r="D69" s="69" t="str">
        <f>"202109120308"</f>
        <v>202109120308</v>
      </c>
      <c r="E69" s="69" t="str">
        <f t="shared" si="2"/>
        <v>03</v>
      </c>
      <c r="F69" s="69" t="str">
        <f>"08"</f>
        <v>08</v>
      </c>
      <c r="G69" s="69" t="s">
        <v>9</v>
      </c>
    </row>
    <row r="70" spans="1:7" ht="19.5" customHeight="1">
      <c r="A70" s="69">
        <v>69</v>
      </c>
      <c r="B70" s="69" t="s">
        <v>70</v>
      </c>
      <c r="C70" s="69" t="s">
        <v>79</v>
      </c>
      <c r="D70" s="69" t="str">
        <f>"202109120309"</f>
        <v>202109120309</v>
      </c>
      <c r="E70" s="69" t="str">
        <f t="shared" si="2"/>
        <v>03</v>
      </c>
      <c r="F70" s="69" t="str">
        <f>"09"</f>
        <v>09</v>
      </c>
      <c r="G70" s="69" t="s">
        <v>9</v>
      </c>
    </row>
    <row r="71" spans="1:7" ht="19.5" customHeight="1">
      <c r="A71" s="69">
        <v>70</v>
      </c>
      <c r="B71" s="69" t="s">
        <v>70</v>
      </c>
      <c r="C71" s="69" t="s">
        <v>80</v>
      </c>
      <c r="D71" s="69" t="str">
        <f>"202109120310"</f>
        <v>202109120310</v>
      </c>
      <c r="E71" s="69" t="str">
        <f t="shared" si="2"/>
        <v>03</v>
      </c>
      <c r="F71" s="69" t="str">
        <f>"10"</f>
        <v>10</v>
      </c>
      <c r="G71" s="69" t="s">
        <v>9</v>
      </c>
    </row>
    <row r="72" spans="1:7" ht="19.5" customHeight="1">
      <c r="A72" s="69">
        <v>71</v>
      </c>
      <c r="B72" s="69" t="s">
        <v>70</v>
      </c>
      <c r="C72" s="69" t="s">
        <v>81</v>
      </c>
      <c r="D72" s="69" t="str">
        <f>"202109120311"</f>
        <v>202109120311</v>
      </c>
      <c r="E72" s="69" t="str">
        <f t="shared" si="2"/>
        <v>03</v>
      </c>
      <c r="F72" s="69" t="str">
        <f>"11"</f>
        <v>11</v>
      </c>
      <c r="G72" s="69" t="s">
        <v>9</v>
      </c>
    </row>
    <row r="73" spans="1:7" ht="19.5" customHeight="1">
      <c r="A73" s="69">
        <v>72</v>
      </c>
      <c r="B73" s="69" t="s">
        <v>70</v>
      </c>
      <c r="C73" s="69" t="s">
        <v>82</v>
      </c>
      <c r="D73" s="69" t="str">
        <f>"202109120312"</f>
        <v>202109120312</v>
      </c>
      <c r="E73" s="69" t="str">
        <f t="shared" si="2"/>
        <v>03</v>
      </c>
      <c r="F73" s="69" t="str">
        <f>"12"</f>
        <v>12</v>
      </c>
      <c r="G73" s="69" t="s">
        <v>9</v>
      </c>
    </row>
    <row r="74" spans="1:7" ht="19.5" customHeight="1">
      <c r="A74" s="69">
        <v>73</v>
      </c>
      <c r="B74" s="69" t="s">
        <v>70</v>
      </c>
      <c r="C74" s="69" t="s">
        <v>83</v>
      </c>
      <c r="D74" s="69" t="str">
        <f>"202109120313"</f>
        <v>202109120313</v>
      </c>
      <c r="E74" s="69" t="str">
        <f t="shared" si="2"/>
        <v>03</v>
      </c>
      <c r="F74" s="69" t="str">
        <f>"13"</f>
        <v>13</v>
      </c>
      <c r="G74" s="69" t="s">
        <v>9</v>
      </c>
    </row>
    <row r="75" spans="1:7" ht="19.5" customHeight="1">
      <c r="A75" s="69">
        <v>74</v>
      </c>
      <c r="B75" s="69" t="s">
        <v>70</v>
      </c>
      <c r="C75" s="69" t="s">
        <v>84</v>
      </c>
      <c r="D75" s="69" t="str">
        <f>"202109120314"</f>
        <v>202109120314</v>
      </c>
      <c r="E75" s="69" t="str">
        <f t="shared" si="2"/>
        <v>03</v>
      </c>
      <c r="F75" s="69" t="str">
        <f>"14"</f>
        <v>14</v>
      </c>
      <c r="G75" s="69" t="s">
        <v>9</v>
      </c>
    </row>
    <row r="76" spans="1:7" ht="19.5" customHeight="1">
      <c r="A76" s="69">
        <v>75</v>
      </c>
      <c r="B76" s="69" t="s">
        <v>70</v>
      </c>
      <c r="C76" s="69" t="s">
        <v>85</v>
      </c>
      <c r="D76" s="69" t="str">
        <f>"202109120315"</f>
        <v>202109120315</v>
      </c>
      <c r="E76" s="69" t="str">
        <f t="shared" si="2"/>
        <v>03</v>
      </c>
      <c r="F76" s="69" t="str">
        <f>"15"</f>
        <v>15</v>
      </c>
      <c r="G76" s="69" t="s">
        <v>9</v>
      </c>
    </row>
    <row r="77" spans="1:7" ht="19.5" customHeight="1">
      <c r="A77" s="69">
        <v>76</v>
      </c>
      <c r="B77" s="69" t="s">
        <v>70</v>
      </c>
      <c r="C77" s="69" t="s">
        <v>86</v>
      </c>
      <c r="D77" s="69" t="str">
        <f>"202109120316"</f>
        <v>202109120316</v>
      </c>
      <c r="E77" s="69" t="str">
        <f t="shared" si="2"/>
        <v>03</v>
      </c>
      <c r="F77" s="69" t="str">
        <f>"16"</f>
        <v>16</v>
      </c>
      <c r="G77" s="69" t="s">
        <v>9</v>
      </c>
    </row>
    <row r="78" spans="1:7" ht="19.5" customHeight="1">
      <c r="A78" s="69">
        <v>77</v>
      </c>
      <c r="B78" s="69" t="s">
        <v>70</v>
      </c>
      <c r="C78" s="69" t="s">
        <v>87</v>
      </c>
      <c r="D78" s="69" t="str">
        <f>"202109120317"</f>
        <v>202109120317</v>
      </c>
      <c r="E78" s="69" t="str">
        <f t="shared" si="2"/>
        <v>03</v>
      </c>
      <c r="F78" s="69" t="str">
        <f>"17"</f>
        <v>17</v>
      </c>
      <c r="G78" s="69" t="s">
        <v>9</v>
      </c>
    </row>
    <row r="79" spans="1:7" ht="19.5" customHeight="1">
      <c r="A79" s="69">
        <v>78</v>
      </c>
      <c r="B79" s="69" t="s">
        <v>70</v>
      </c>
      <c r="C79" s="69" t="s">
        <v>88</v>
      </c>
      <c r="D79" s="69" t="str">
        <f>"202109120318"</f>
        <v>202109120318</v>
      </c>
      <c r="E79" s="69" t="str">
        <f t="shared" si="2"/>
        <v>03</v>
      </c>
      <c r="F79" s="69" t="str">
        <f>"18"</f>
        <v>18</v>
      </c>
      <c r="G79" s="69" t="s">
        <v>9</v>
      </c>
    </row>
    <row r="80" spans="1:7" ht="19.5" customHeight="1">
      <c r="A80" s="69">
        <v>79</v>
      </c>
      <c r="B80" s="69" t="s">
        <v>70</v>
      </c>
      <c r="C80" s="69" t="s">
        <v>89</v>
      </c>
      <c r="D80" s="69" t="str">
        <f>"202109120319"</f>
        <v>202109120319</v>
      </c>
      <c r="E80" s="69" t="str">
        <f t="shared" si="2"/>
        <v>03</v>
      </c>
      <c r="F80" s="69" t="str">
        <f>"19"</f>
        <v>19</v>
      </c>
      <c r="G80" s="69" t="s">
        <v>9</v>
      </c>
    </row>
    <row r="81" spans="1:7" ht="19.5" customHeight="1">
      <c r="A81" s="69">
        <v>80</v>
      </c>
      <c r="B81" s="69" t="s">
        <v>70</v>
      </c>
      <c r="C81" s="69" t="s">
        <v>90</v>
      </c>
      <c r="D81" s="69" t="str">
        <f>"202109120320"</f>
        <v>202109120320</v>
      </c>
      <c r="E81" s="69" t="str">
        <f t="shared" si="2"/>
        <v>03</v>
      </c>
      <c r="F81" s="69" t="str">
        <f>"20"</f>
        <v>20</v>
      </c>
      <c r="G81" s="69" t="s">
        <v>9</v>
      </c>
    </row>
    <row r="82" spans="1:7" ht="19.5" customHeight="1">
      <c r="A82" s="69">
        <v>81</v>
      </c>
      <c r="B82" s="69" t="s">
        <v>70</v>
      </c>
      <c r="C82" s="69" t="s">
        <v>91</v>
      </c>
      <c r="D82" s="69" t="str">
        <f>"202109120321"</f>
        <v>202109120321</v>
      </c>
      <c r="E82" s="69" t="str">
        <f t="shared" si="2"/>
        <v>03</v>
      </c>
      <c r="F82" s="69" t="str">
        <f>"21"</f>
        <v>21</v>
      </c>
      <c r="G82" s="69" t="s">
        <v>9</v>
      </c>
    </row>
    <row r="83" spans="1:7" ht="19.5" customHeight="1">
      <c r="A83" s="69">
        <v>82</v>
      </c>
      <c r="B83" s="69" t="s">
        <v>70</v>
      </c>
      <c r="C83" s="69" t="s">
        <v>92</v>
      </c>
      <c r="D83" s="69" t="str">
        <f>"202109120322"</f>
        <v>202109120322</v>
      </c>
      <c r="E83" s="69" t="str">
        <f t="shared" si="2"/>
        <v>03</v>
      </c>
      <c r="F83" s="69" t="str">
        <f>"22"</f>
        <v>22</v>
      </c>
      <c r="G83" s="69" t="s">
        <v>9</v>
      </c>
    </row>
    <row r="84" spans="1:7" ht="19.5" customHeight="1">
      <c r="A84" s="69">
        <v>83</v>
      </c>
      <c r="B84" s="69" t="s">
        <v>70</v>
      </c>
      <c r="C84" s="69" t="s">
        <v>93</v>
      </c>
      <c r="D84" s="69" t="str">
        <f>"202109120323"</f>
        <v>202109120323</v>
      </c>
      <c r="E84" s="69" t="str">
        <f t="shared" si="2"/>
        <v>03</v>
      </c>
      <c r="F84" s="69" t="str">
        <f>"23"</f>
        <v>23</v>
      </c>
      <c r="G84" s="69" t="s">
        <v>9</v>
      </c>
    </row>
    <row r="85" spans="1:7" ht="19.5" customHeight="1">
      <c r="A85" s="69">
        <v>84</v>
      </c>
      <c r="B85" s="69" t="s">
        <v>70</v>
      </c>
      <c r="C85" s="69" t="s">
        <v>94</v>
      </c>
      <c r="D85" s="69" t="str">
        <f>"202109120324"</f>
        <v>202109120324</v>
      </c>
      <c r="E85" s="69" t="str">
        <f t="shared" si="2"/>
        <v>03</v>
      </c>
      <c r="F85" s="69" t="str">
        <f>"24"</f>
        <v>24</v>
      </c>
      <c r="G85" s="69" t="s">
        <v>9</v>
      </c>
    </row>
    <row r="86" spans="1:7" ht="19.5" customHeight="1">
      <c r="A86" s="69">
        <v>85</v>
      </c>
      <c r="B86" s="69" t="s">
        <v>70</v>
      </c>
      <c r="C86" s="69" t="s">
        <v>95</v>
      </c>
      <c r="D86" s="69" t="str">
        <f>"202109120325"</f>
        <v>202109120325</v>
      </c>
      <c r="E86" s="69" t="str">
        <f t="shared" si="2"/>
        <v>03</v>
      </c>
      <c r="F86" s="69" t="str">
        <f>"25"</f>
        <v>25</v>
      </c>
      <c r="G86" s="69" t="s">
        <v>9</v>
      </c>
    </row>
    <row r="87" spans="1:7" ht="19.5" customHeight="1">
      <c r="A87" s="69">
        <v>86</v>
      </c>
      <c r="B87" s="69" t="s">
        <v>70</v>
      </c>
      <c r="C87" s="69" t="s">
        <v>96</v>
      </c>
      <c r="D87" s="69" t="str">
        <f>"202109120326"</f>
        <v>202109120326</v>
      </c>
      <c r="E87" s="69" t="str">
        <f t="shared" si="2"/>
        <v>03</v>
      </c>
      <c r="F87" s="69" t="str">
        <f>"26"</f>
        <v>26</v>
      </c>
      <c r="G87" s="69" t="s">
        <v>9</v>
      </c>
    </row>
    <row r="88" spans="1:7" ht="19.5" customHeight="1">
      <c r="A88" s="69">
        <v>87</v>
      </c>
      <c r="B88" s="69" t="s">
        <v>70</v>
      </c>
      <c r="C88" s="69" t="s">
        <v>97</v>
      </c>
      <c r="D88" s="69" t="str">
        <f>"202109120327"</f>
        <v>202109120327</v>
      </c>
      <c r="E88" s="69" t="str">
        <f t="shared" si="2"/>
        <v>03</v>
      </c>
      <c r="F88" s="69" t="str">
        <f>"27"</f>
        <v>27</v>
      </c>
      <c r="G88" s="69" t="s">
        <v>9</v>
      </c>
    </row>
    <row r="89" spans="1:7" ht="19.5" customHeight="1">
      <c r="A89" s="69">
        <v>88</v>
      </c>
      <c r="B89" s="69" t="s">
        <v>70</v>
      </c>
      <c r="C89" s="69" t="s">
        <v>98</v>
      </c>
      <c r="D89" s="69" t="str">
        <f>"202109120328"</f>
        <v>202109120328</v>
      </c>
      <c r="E89" s="69" t="str">
        <f t="shared" si="2"/>
        <v>03</v>
      </c>
      <c r="F89" s="69" t="str">
        <f>"28"</f>
        <v>28</v>
      </c>
      <c r="G89" s="69" t="s">
        <v>9</v>
      </c>
    </row>
    <row r="90" spans="1:7" ht="19.5" customHeight="1">
      <c r="A90" s="69">
        <v>89</v>
      </c>
      <c r="B90" s="69" t="s">
        <v>70</v>
      </c>
      <c r="C90" s="69" t="s">
        <v>99</v>
      </c>
      <c r="D90" s="69" t="str">
        <f>"202109120329"</f>
        <v>202109120329</v>
      </c>
      <c r="E90" s="69" t="str">
        <f t="shared" si="2"/>
        <v>03</v>
      </c>
      <c r="F90" s="69" t="str">
        <f>"29"</f>
        <v>29</v>
      </c>
      <c r="G90" s="69" t="s">
        <v>9</v>
      </c>
    </row>
    <row r="91" spans="1:7" ht="19.5" customHeight="1">
      <c r="A91" s="69">
        <v>90</v>
      </c>
      <c r="B91" s="69" t="s">
        <v>70</v>
      </c>
      <c r="C91" s="69" t="s">
        <v>100</v>
      </c>
      <c r="D91" s="69" t="str">
        <f>"202109120330"</f>
        <v>202109120330</v>
      </c>
      <c r="E91" s="69" t="str">
        <f t="shared" si="2"/>
        <v>03</v>
      </c>
      <c r="F91" s="69" t="str">
        <f>"30"</f>
        <v>30</v>
      </c>
      <c r="G91" s="69" t="s">
        <v>9</v>
      </c>
    </row>
    <row r="92" spans="1:7" ht="19.5" customHeight="1">
      <c r="A92" s="69">
        <v>91</v>
      </c>
      <c r="B92" s="69" t="s">
        <v>70</v>
      </c>
      <c r="C92" s="69" t="s">
        <v>101</v>
      </c>
      <c r="D92" s="69" t="str">
        <f>"202109120401"</f>
        <v>202109120401</v>
      </c>
      <c r="E92" s="69" t="str">
        <f aca="true" t="shared" si="3" ref="E92:E121">"04"</f>
        <v>04</v>
      </c>
      <c r="F92" s="69" t="str">
        <f>"01"</f>
        <v>01</v>
      </c>
      <c r="G92" s="69" t="s">
        <v>9</v>
      </c>
    </row>
    <row r="93" spans="1:7" ht="19.5" customHeight="1">
      <c r="A93" s="69">
        <v>92</v>
      </c>
      <c r="B93" s="69" t="s">
        <v>70</v>
      </c>
      <c r="C93" s="69" t="s">
        <v>102</v>
      </c>
      <c r="D93" s="69" t="str">
        <f>"202109120402"</f>
        <v>202109120402</v>
      </c>
      <c r="E93" s="69" t="str">
        <f t="shared" si="3"/>
        <v>04</v>
      </c>
      <c r="F93" s="69" t="str">
        <f>"02"</f>
        <v>02</v>
      </c>
      <c r="G93" s="69" t="s">
        <v>9</v>
      </c>
    </row>
    <row r="94" spans="1:7" ht="19.5" customHeight="1">
      <c r="A94" s="69">
        <v>93</v>
      </c>
      <c r="B94" s="69" t="s">
        <v>70</v>
      </c>
      <c r="C94" s="69" t="s">
        <v>103</v>
      </c>
      <c r="D94" s="69" t="str">
        <f>"202109120403"</f>
        <v>202109120403</v>
      </c>
      <c r="E94" s="69" t="str">
        <f t="shared" si="3"/>
        <v>04</v>
      </c>
      <c r="F94" s="69" t="str">
        <f>"03"</f>
        <v>03</v>
      </c>
      <c r="G94" s="69" t="s">
        <v>9</v>
      </c>
    </row>
    <row r="95" spans="1:7" ht="19.5" customHeight="1">
      <c r="A95" s="69">
        <v>94</v>
      </c>
      <c r="B95" s="69" t="s">
        <v>70</v>
      </c>
      <c r="C95" s="69" t="s">
        <v>104</v>
      </c>
      <c r="D95" s="69" t="str">
        <f>"202109120404"</f>
        <v>202109120404</v>
      </c>
      <c r="E95" s="69" t="str">
        <f t="shared" si="3"/>
        <v>04</v>
      </c>
      <c r="F95" s="69" t="str">
        <f>"04"</f>
        <v>04</v>
      </c>
      <c r="G95" s="69" t="s">
        <v>9</v>
      </c>
    </row>
    <row r="96" spans="1:7" ht="19.5" customHeight="1">
      <c r="A96" s="69">
        <v>95</v>
      </c>
      <c r="B96" s="69" t="s">
        <v>70</v>
      </c>
      <c r="C96" s="69" t="s">
        <v>105</v>
      </c>
      <c r="D96" s="69" t="str">
        <f>"202109120405"</f>
        <v>202109120405</v>
      </c>
      <c r="E96" s="69" t="str">
        <f t="shared" si="3"/>
        <v>04</v>
      </c>
      <c r="F96" s="69" t="str">
        <f>"05"</f>
        <v>05</v>
      </c>
      <c r="G96" s="69" t="s">
        <v>9</v>
      </c>
    </row>
    <row r="97" spans="1:7" ht="19.5" customHeight="1">
      <c r="A97" s="69">
        <v>96</v>
      </c>
      <c r="B97" s="69" t="s">
        <v>70</v>
      </c>
      <c r="C97" s="69" t="s">
        <v>106</v>
      </c>
      <c r="D97" s="69" t="str">
        <f>"202109120406"</f>
        <v>202109120406</v>
      </c>
      <c r="E97" s="69" t="str">
        <f t="shared" si="3"/>
        <v>04</v>
      </c>
      <c r="F97" s="69" t="str">
        <f>"06"</f>
        <v>06</v>
      </c>
      <c r="G97" s="69" t="s">
        <v>9</v>
      </c>
    </row>
    <row r="98" spans="1:7" ht="19.5" customHeight="1">
      <c r="A98" s="69">
        <v>97</v>
      </c>
      <c r="B98" s="69" t="s">
        <v>70</v>
      </c>
      <c r="C98" s="69" t="s">
        <v>107</v>
      </c>
      <c r="D98" s="69" t="str">
        <f>"202109120407"</f>
        <v>202109120407</v>
      </c>
      <c r="E98" s="69" t="str">
        <f t="shared" si="3"/>
        <v>04</v>
      </c>
      <c r="F98" s="69" t="str">
        <f>"07"</f>
        <v>07</v>
      </c>
      <c r="G98" s="69" t="s">
        <v>9</v>
      </c>
    </row>
    <row r="99" spans="1:7" ht="19.5" customHeight="1">
      <c r="A99" s="69">
        <v>98</v>
      </c>
      <c r="B99" s="69" t="s">
        <v>70</v>
      </c>
      <c r="C99" s="69" t="s">
        <v>108</v>
      </c>
      <c r="D99" s="69" t="str">
        <f>"202109120408"</f>
        <v>202109120408</v>
      </c>
      <c r="E99" s="69" t="str">
        <f t="shared" si="3"/>
        <v>04</v>
      </c>
      <c r="F99" s="69" t="str">
        <f>"08"</f>
        <v>08</v>
      </c>
      <c r="G99" s="69" t="s">
        <v>9</v>
      </c>
    </row>
    <row r="100" spans="1:7" ht="19.5" customHeight="1">
      <c r="A100" s="69">
        <v>99</v>
      </c>
      <c r="B100" s="69" t="s">
        <v>70</v>
      </c>
      <c r="C100" s="69" t="s">
        <v>109</v>
      </c>
      <c r="D100" s="69" t="str">
        <f>"202109120409"</f>
        <v>202109120409</v>
      </c>
      <c r="E100" s="69" t="str">
        <f t="shared" si="3"/>
        <v>04</v>
      </c>
      <c r="F100" s="69" t="str">
        <f>"09"</f>
        <v>09</v>
      </c>
      <c r="G100" s="69" t="s">
        <v>9</v>
      </c>
    </row>
    <row r="101" spans="1:7" ht="19.5" customHeight="1">
      <c r="A101" s="69">
        <v>100</v>
      </c>
      <c r="B101" s="69" t="s">
        <v>70</v>
      </c>
      <c r="C101" s="69" t="s">
        <v>110</v>
      </c>
      <c r="D101" s="69" t="str">
        <f>"202109120410"</f>
        <v>202109120410</v>
      </c>
      <c r="E101" s="69" t="str">
        <f t="shared" si="3"/>
        <v>04</v>
      </c>
      <c r="F101" s="69" t="str">
        <f>"10"</f>
        <v>10</v>
      </c>
      <c r="G101" s="69" t="s">
        <v>9</v>
      </c>
    </row>
    <row r="102" spans="1:7" ht="19.5" customHeight="1">
      <c r="A102" s="69">
        <v>101</v>
      </c>
      <c r="B102" s="69" t="s">
        <v>70</v>
      </c>
      <c r="C102" s="69" t="s">
        <v>111</v>
      </c>
      <c r="D102" s="69" t="str">
        <f>"202109120411"</f>
        <v>202109120411</v>
      </c>
      <c r="E102" s="69" t="str">
        <f t="shared" si="3"/>
        <v>04</v>
      </c>
      <c r="F102" s="69" t="str">
        <f>"11"</f>
        <v>11</v>
      </c>
      <c r="G102" s="69" t="s">
        <v>9</v>
      </c>
    </row>
    <row r="103" spans="1:7" ht="19.5" customHeight="1">
      <c r="A103" s="69">
        <v>102</v>
      </c>
      <c r="B103" s="69" t="s">
        <v>70</v>
      </c>
      <c r="C103" s="69" t="s">
        <v>112</v>
      </c>
      <c r="D103" s="69" t="str">
        <f>"202109120412"</f>
        <v>202109120412</v>
      </c>
      <c r="E103" s="69" t="str">
        <f t="shared" si="3"/>
        <v>04</v>
      </c>
      <c r="F103" s="69" t="str">
        <f>"12"</f>
        <v>12</v>
      </c>
      <c r="G103" s="69" t="s">
        <v>9</v>
      </c>
    </row>
    <row r="104" spans="1:7" ht="19.5" customHeight="1">
      <c r="A104" s="69">
        <v>103</v>
      </c>
      <c r="B104" s="69" t="s">
        <v>70</v>
      </c>
      <c r="C104" s="69" t="s">
        <v>113</v>
      </c>
      <c r="D104" s="69" t="str">
        <f>"202109120413"</f>
        <v>202109120413</v>
      </c>
      <c r="E104" s="69" t="str">
        <f t="shared" si="3"/>
        <v>04</v>
      </c>
      <c r="F104" s="69" t="str">
        <f>"13"</f>
        <v>13</v>
      </c>
      <c r="G104" s="69" t="s">
        <v>9</v>
      </c>
    </row>
    <row r="105" spans="1:7" ht="19.5" customHeight="1">
      <c r="A105" s="69">
        <v>104</v>
      </c>
      <c r="B105" s="69" t="s">
        <v>70</v>
      </c>
      <c r="C105" s="69" t="s">
        <v>114</v>
      </c>
      <c r="D105" s="69" t="str">
        <f>"202109120414"</f>
        <v>202109120414</v>
      </c>
      <c r="E105" s="69" t="str">
        <f t="shared" si="3"/>
        <v>04</v>
      </c>
      <c r="F105" s="69" t="str">
        <f>"14"</f>
        <v>14</v>
      </c>
      <c r="G105" s="69" t="s">
        <v>9</v>
      </c>
    </row>
    <row r="106" spans="1:7" ht="19.5" customHeight="1">
      <c r="A106" s="69">
        <v>105</v>
      </c>
      <c r="B106" s="69" t="s">
        <v>70</v>
      </c>
      <c r="C106" s="69" t="s">
        <v>115</v>
      </c>
      <c r="D106" s="69" t="str">
        <f>"202109120415"</f>
        <v>202109120415</v>
      </c>
      <c r="E106" s="69" t="str">
        <f t="shared" si="3"/>
        <v>04</v>
      </c>
      <c r="F106" s="69" t="str">
        <f>"15"</f>
        <v>15</v>
      </c>
      <c r="G106" s="69" t="s">
        <v>9</v>
      </c>
    </row>
    <row r="107" spans="1:7" ht="19.5" customHeight="1">
      <c r="A107" s="69">
        <v>106</v>
      </c>
      <c r="B107" s="69" t="s">
        <v>70</v>
      </c>
      <c r="C107" s="69" t="s">
        <v>116</v>
      </c>
      <c r="D107" s="69" t="str">
        <f>"202109120416"</f>
        <v>202109120416</v>
      </c>
      <c r="E107" s="69" t="str">
        <f t="shared" si="3"/>
        <v>04</v>
      </c>
      <c r="F107" s="69" t="str">
        <f>"16"</f>
        <v>16</v>
      </c>
      <c r="G107" s="69" t="s">
        <v>9</v>
      </c>
    </row>
    <row r="108" spans="1:7" ht="19.5" customHeight="1">
      <c r="A108" s="69">
        <v>107</v>
      </c>
      <c r="B108" s="69" t="s">
        <v>70</v>
      </c>
      <c r="C108" s="69" t="s">
        <v>117</v>
      </c>
      <c r="D108" s="69" t="str">
        <f>"202109120417"</f>
        <v>202109120417</v>
      </c>
      <c r="E108" s="69" t="str">
        <f t="shared" si="3"/>
        <v>04</v>
      </c>
      <c r="F108" s="69" t="str">
        <f>"17"</f>
        <v>17</v>
      </c>
      <c r="G108" s="69" t="s">
        <v>9</v>
      </c>
    </row>
    <row r="109" spans="1:7" ht="19.5" customHeight="1">
      <c r="A109" s="69">
        <v>108</v>
      </c>
      <c r="B109" s="69" t="s">
        <v>70</v>
      </c>
      <c r="C109" s="69" t="s">
        <v>118</v>
      </c>
      <c r="D109" s="69" t="str">
        <f>"202109120418"</f>
        <v>202109120418</v>
      </c>
      <c r="E109" s="69" t="str">
        <f t="shared" si="3"/>
        <v>04</v>
      </c>
      <c r="F109" s="69" t="str">
        <f>"18"</f>
        <v>18</v>
      </c>
      <c r="G109" s="69" t="s">
        <v>9</v>
      </c>
    </row>
    <row r="110" spans="1:7" ht="19.5" customHeight="1">
      <c r="A110" s="69">
        <v>109</v>
      </c>
      <c r="B110" s="69" t="s">
        <v>70</v>
      </c>
      <c r="C110" s="69" t="s">
        <v>119</v>
      </c>
      <c r="D110" s="69" t="str">
        <f>"202109120419"</f>
        <v>202109120419</v>
      </c>
      <c r="E110" s="69" t="str">
        <f t="shared" si="3"/>
        <v>04</v>
      </c>
      <c r="F110" s="69" t="str">
        <f>"19"</f>
        <v>19</v>
      </c>
      <c r="G110" s="69" t="s">
        <v>9</v>
      </c>
    </row>
    <row r="111" spans="1:7" ht="19.5" customHeight="1">
      <c r="A111" s="69">
        <v>110</v>
      </c>
      <c r="B111" s="69" t="s">
        <v>70</v>
      </c>
      <c r="C111" s="69" t="s">
        <v>120</v>
      </c>
      <c r="D111" s="69" t="str">
        <f>"202109120420"</f>
        <v>202109120420</v>
      </c>
      <c r="E111" s="69" t="str">
        <f t="shared" si="3"/>
        <v>04</v>
      </c>
      <c r="F111" s="69" t="str">
        <f>"20"</f>
        <v>20</v>
      </c>
      <c r="G111" s="69" t="s">
        <v>9</v>
      </c>
    </row>
    <row r="112" spans="1:7" ht="19.5" customHeight="1">
      <c r="A112" s="69">
        <v>111</v>
      </c>
      <c r="B112" s="69" t="s">
        <v>121</v>
      </c>
      <c r="C112" s="69" t="s">
        <v>122</v>
      </c>
      <c r="D112" s="69" t="str">
        <f>"202109120421"</f>
        <v>202109120421</v>
      </c>
      <c r="E112" s="69" t="str">
        <f t="shared" si="3"/>
        <v>04</v>
      </c>
      <c r="F112" s="69" t="str">
        <f>"21"</f>
        <v>21</v>
      </c>
      <c r="G112" s="69" t="s">
        <v>9</v>
      </c>
    </row>
    <row r="113" spans="1:7" ht="19.5" customHeight="1">
      <c r="A113" s="69">
        <v>112</v>
      </c>
      <c r="B113" s="69" t="s">
        <v>121</v>
      </c>
      <c r="C113" s="69" t="s">
        <v>123</v>
      </c>
      <c r="D113" s="69" t="str">
        <f>"202109120422"</f>
        <v>202109120422</v>
      </c>
      <c r="E113" s="69" t="str">
        <f t="shared" si="3"/>
        <v>04</v>
      </c>
      <c r="F113" s="69" t="str">
        <f>"22"</f>
        <v>22</v>
      </c>
      <c r="G113" s="69" t="s">
        <v>9</v>
      </c>
    </row>
    <row r="114" spans="1:7" ht="19.5" customHeight="1">
      <c r="A114" s="69">
        <v>113</v>
      </c>
      <c r="B114" s="69" t="s">
        <v>121</v>
      </c>
      <c r="C114" s="69" t="s">
        <v>124</v>
      </c>
      <c r="D114" s="69" t="str">
        <f>"202109120423"</f>
        <v>202109120423</v>
      </c>
      <c r="E114" s="69" t="str">
        <f t="shared" si="3"/>
        <v>04</v>
      </c>
      <c r="F114" s="69" t="str">
        <f>"23"</f>
        <v>23</v>
      </c>
      <c r="G114" s="69" t="s">
        <v>9</v>
      </c>
    </row>
    <row r="115" spans="1:7" ht="19.5" customHeight="1">
      <c r="A115" s="69">
        <v>114</v>
      </c>
      <c r="B115" s="69" t="s">
        <v>121</v>
      </c>
      <c r="C115" s="69" t="s">
        <v>125</v>
      </c>
      <c r="D115" s="69" t="str">
        <f>"202109120424"</f>
        <v>202109120424</v>
      </c>
      <c r="E115" s="69" t="str">
        <f t="shared" si="3"/>
        <v>04</v>
      </c>
      <c r="F115" s="69" t="str">
        <f>"24"</f>
        <v>24</v>
      </c>
      <c r="G115" s="69" t="s">
        <v>9</v>
      </c>
    </row>
    <row r="116" spans="1:7" ht="19.5" customHeight="1">
      <c r="A116" s="69">
        <v>115</v>
      </c>
      <c r="B116" s="69" t="s">
        <v>121</v>
      </c>
      <c r="C116" s="69" t="s">
        <v>126</v>
      </c>
      <c r="D116" s="69" t="str">
        <f>"202109120425"</f>
        <v>202109120425</v>
      </c>
      <c r="E116" s="69" t="str">
        <f t="shared" si="3"/>
        <v>04</v>
      </c>
      <c r="F116" s="69" t="str">
        <f>"25"</f>
        <v>25</v>
      </c>
      <c r="G116" s="69" t="s">
        <v>9</v>
      </c>
    </row>
    <row r="117" spans="1:7" ht="19.5" customHeight="1">
      <c r="A117" s="69">
        <v>116</v>
      </c>
      <c r="B117" s="69" t="s">
        <v>121</v>
      </c>
      <c r="C117" s="69" t="s">
        <v>127</v>
      </c>
      <c r="D117" s="69" t="str">
        <f>"202109120426"</f>
        <v>202109120426</v>
      </c>
      <c r="E117" s="69" t="str">
        <f t="shared" si="3"/>
        <v>04</v>
      </c>
      <c r="F117" s="69" t="str">
        <f>"26"</f>
        <v>26</v>
      </c>
      <c r="G117" s="69" t="s">
        <v>9</v>
      </c>
    </row>
    <row r="118" spans="1:7" ht="19.5" customHeight="1">
      <c r="A118" s="69">
        <v>117</v>
      </c>
      <c r="B118" s="69" t="s">
        <v>121</v>
      </c>
      <c r="C118" s="69" t="s">
        <v>128</v>
      </c>
      <c r="D118" s="69" t="str">
        <f>"202109120427"</f>
        <v>202109120427</v>
      </c>
      <c r="E118" s="69" t="str">
        <f t="shared" si="3"/>
        <v>04</v>
      </c>
      <c r="F118" s="69" t="str">
        <f>"27"</f>
        <v>27</v>
      </c>
      <c r="G118" s="69" t="s">
        <v>9</v>
      </c>
    </row>
    <row r="119" spans="1:7" ht="19.5" customHeight="1">
      <c r="A119" s="69">
        <v>118</v>
      </c>
      <c r="B119" s="69" t="s">
        <v>121</v>
      </c>
      <c r="C119" s="69" t="s">
        <v>129</v>
      </c>
      <c r="D119" s="69" t="str">
        <f>"202109120428"</f>
        <v>202109120428</v>
      </c>
      <c r="E119" s="69" t="str">
        <f t="shared" si="3"/>
        <v>04</v>
      </c>
      <c r="F119" s="69" t="str">
        <f>"28"</f>
        <v>28</v>
      </c>
      <c r="G119" s="69" t="s">
        <v>9</v>
      </c>
    </row>
    <row r="120" spans="1:7" ht="19.5" customHeight="1">
      <c r="A120" s="69">
        <v>119</v>
      </c>
      <c r="B120" s="69" t="s">
        <v>121</v>
      </c>
      <c r="C120" s="69" t="s">
        <v>130</v>
      </c>
      <c r="D120" s="69" t="str">
        <f>"202109120429"</f>
        <v>202109120429</v>
      </c>
      <c r="E120" s="69" t="str">
        <f t="shared" si="3"/>
        <v>04</v>
      </c>
      <c r="F120" s="69" t="str">
        <f>"29"</f>
        <v>29</v>
      </c>
      <c r="G120" s="69" t="s">
        <v>9</v>
      </c>
    </row>
    <row r="121" spans="1:7" ht="19.5" customHeight="1">
      <c r="A121" s="69">
        <v>120</v>
      </c>
      <c r="B121" s="69" t="s">
        <v>121</v>
      </c>
      <c r="C121" s="69" t="s">
        <v>131</v>
      </c>
      <c r="D121" s="69" t="str">
        <f>"202109120430"</f>
        <v>202109120430</v>
      </c>
      <c r="E121" s="69" t="str">
        <f t="shared" si="3"/>
        <v>04</v>
      </c>
      <c r="F121" s="69" t="str">
        <f>"30"</f>
        <v>30</v>
      </c>
      <c r="G121" s="69" t="s">
        <v>9</v>
      </c>
    </row>
    <row r="122" spans="1:7" ht="19.5" customHeight="1">
      <c r="A122" s="69">
        <v>121</v>
      </c>
      <c r="B122" s="69" t="s">
        <v>121</v>
      </c>
      <c r="C122" s="69" t="s">
        <v>132</v>
      </c>
      <c r="D122" s="69" t="str">
        <f>"202109120501"</f>
        <v>202109120501</v>
      </c>
      <c r="E122" s="69" t="str">
        <f aca="true" t="shared" si="4" ref="E122:E151">"05"</f>
        <v>05</v>
      </c>
      <c r="F122" s="69" t="str">
        <f>"01"</f>
        <v>01</v>
      </c>
      <c r="G122" s="69" t="s">
        <v>9</v>
      </c>
    </row>
    <row r="123" spans="1:7" ht="19.5" customHeight="1">
      <c r="A123" s="69">
        <v>122</v>
      </c>
      <c r="B123" s="69" t="s">
        <v>121</v>
      </c>
      <c r="C123" s="69" t="s">
        <v>133</v>
      </c>
      <c r="D123" s="69" t="str">
        <f>"202109120502"</f>
        <v>202109120502</v>
      </c>
      <c r="E123" s="69" t="str">
        <f t="shared" si="4"/>
        <v>05</v>
      </c>
      <c r="F123" s="69" t="str">
        <f>"02"</f>
        <v>02</v>
      </c>
      <c r="G123" s="69" t="s">
        <v>9</v>
      </c>
    </row>
    <row r="124" spans="1:7" ht="19.5" customHeight="1">
      <c r="A124" s="69">
        <v>123</v>
      </c>
      <c r="B124" s="69" t="s">
        <v>121</v>
      </c>
      <c r="C124" s="69" t="s">
        <v>134</v>
      </c>
      <c r="D124" s="69" t="str">
        <f>"202109120503"</f>
        <v>202109120503</v>
      </c>
      <c r="E124" s="69" t="str">
        <f t="shared" si="4"/>
        <v>05</v>
      </c>
      <c r="F124" s="69" t="str">
        <f>"03"</f>
        <v>03</v>
      </c>
      <c r="G124" s="69" t="s">
        <v>9</v>
      </c>
    </row>
    <row r="125" spans="1:7" ht="19.5" customHeight="1">
      <c r="A125" s="69">
        <v>124</v>
      </c>
      <c r="B125" s="69" t="s">
        <v>121</v>
      </c>
      <c r="C125" s="69" t="s">
        <v>135</v>
      </c>
      <c r="D125" s="69" t="str">
        <f>"202109120504"</f>
        <v>202109120504</v>
      </c>
      <c r="E125" s="69" t="str">
        <f t="shared" si="4"/>
        <v>05</v>
      </c>
      <c r="F125" s="69" t="str">
        <f>"04"</f>
        <v>04</v>
      </c>
      <c r="G125" s="69" t="s">
        <v>9</v>
      </c>
    </row>
    <row r="126" spans="1:7" ht="19.5" customHeight="1">
      <c r="A126" s="69">
        <v>125</v>
      </c>
      <c r="B126" s="69" t="s">
        <v>121</v>
      </c>
      <c r="C126" s="69" t="s">
        <v>136</v>
      </c>
      <c r="D126" s="69" t="str">
        <f>"202109120505"</f>
        <v>202109120505</v>
      </c>
      <c r="E126" s="69" t="str">
        <f t="shared" si="4"/>
        <v>05</v>
      </c>
      <c r="F126" s="69" t="str">
        <f>"05"</f>
        <v>05</v>
      </c>
      <c r="G126" s="69" t="s">
        <v>9</v>
      </c>
    </row>
    <row r="127" spans="1:7" ht="19.5" customHeight="1">
      <c r="A127" s="69">
        <v>126</v>
      </c>
      <c r="B127" s="69" t="s">
        <v>121</v>
      </c>
      <c r="C127" s="69" t="s">
        <v>137</v>
      </c>
      <c r="D127" s="69" t="str">
        <f>"202109120506"</f>
        <v>202109120506</v>
      </c>
      <c r="E127" s="69" t="str">
        <f t="shared" si="4"/>
        <v>05</v>
      </c>
      <c r="F127" s="69" t="str">
        <f>"06"</f>
        <v>06</v>
      </c>
      <c r="G127" s="69" t="s">
        <v>9</v>
      </c>
    </row>
    <row r="128" spans="1:7" ht="19.5" customHeight="1">
      <c r="A128" s="69">
        <v>127</v>
      </c>
      <c r="B128" s="69" t="s">
        <v>121</v>
      </c>
      <c r="C128" s="69" t="s">
        <v>138</v>
      </c>
      <c r="D128" s="69" t="str">
        <f>"202109120507"</f>
        <v>202109120507</v>
      </c>
      <c r="E128" s="69" t="str">
        <f t="shared" si="4"/>
        <v>05</v>
      </c>
      <c r="F128" s="69" t="str">
        <f>"07"</f>
        <v>07</v>
      </c>
      <c r="G128" s="69" t="s">
        <v>9</v>
      </c>
    </row>
    <row r="129" spans="1:7" ht="19.5" customHeight="1">
      <c r="A129" s="69">
        <v>128</v>
      </c>
      <c r="B129" s="69" t="s">
        <v>121</v>
      </c>
      <c r="C129" s="69" t="s">
        <v>139</v>
      </c>
      <c r="D129" s="69" t="str">
        <f>"202109120508"</f>
        <v>202109120508</v>
      </c>
      <c r="E129" s="69" t="str">
        <f t="shared" si="4"/>
        <v>05</v>
      </c>
      <c r="F129" s="69" t="str">
        <f>"08"</f>
        <v>08</v>
      </c>
      <c r="G129" s="69" t="s">
        <v>9</v>
      </c>
    </row>
    <row r="130" spans="1:7" ht="19.5" customHeight="1">
      <c r="A130" s="69">
        <v>129</v>
      </c>
      <c r="B130" s="69" t="s">
        <v>121</v>
      </c>
      <c r="C130" s="69" t="s">
        <v>140</v>
      </c>
      <c r="D130" s="69" t="str">
        <f>"202109120509"</f>
        <v>202109120509</v>
      </c>
      <c r="E130" s="69" t="str">
        <f t="shared" si="4"/>
        <v>05</v>
      </c>
      <c r="F130" s="69" t="str">
        <f>"09"</f>
        <v>09</v>
      </c>
      <c r="G130" s="69" t="s">
        <v>9</v>
      </c>
    </row>
    <row r="131" spans="1:7" ht="19.5" customHeight="1">
      <c r="A131" s="69">
        <v>130</v>
      </c>
      <c r="B131" s="69" t="s">
        <v>121</v>
      </c>
      <c r="C131" s="69" t="s">
        <v>141</v>
      </c>
      <c r="D131" s="69" t="str">
        <f>"202109120510"</f>
        <v>202109120510</v>
      </c>
      <c r="E131" s="69" t="str">
        <f t="shared" si="4"/>
        <v>05</v>
      </c>
      <c r="F131" s="69" t="str">
        <f>"10"</f>
        <v>10</v>
      </c>
      <c r="G131" s="69" t="s">
        <v>9</v>
      </c>
    </row>
    <row r="132" spans="1:7" ht="19.5" customHeight="1">
      <c r="A132" s="69">
        <v>131</v>
      </c>
      <c r="B132" s="69" t="s">
        <v>121</v>
      </c>
      <c r="C132" s="69" t="s">
        <v>142</v>
      </c>
      <c r="D132" s="69" t="str">
        <f>"202109120511"</f>
        <v>202109120511</v>
      </c>
      <c r="E132" s="69" t="str">
        <f t="shared" si="4"/>
        <v>05</v>
      </c>
      <c r="F132" s="69" t="str">
        <f>"11"</f>
        <v>11</v>
      </c>
      <c r="G132" s="69" t="s">
        <v>9</v>
      </c>
    </row>
    <row r="133" spans="1:7" ht="19.5" customHeight="1">
      <c r="A133" s="69">
        <v>132</v>
      </c>
      <c r="B133" s="69" t="s">
        <v>121</v>
      </c>
      <c r="C133" s="69" t="s">
        <v>143</v>
      </c>
      <c r="D133" s="69" t="str">
        <f>"202109120512"</f>
        <v>202109120512</v>
      </c>
      <c r="E133" s="69" t="str">
        <f t="shared" si="4"/>
        <v>05</v>
      </c>
      <c r="F133" s="69" t="str">
        <f>"12"</f>
        <v>12</v>
      </c>
      <c r="G133" s="69" t="s">
        <v>9</v>
      </c>
    </row>
    <row r="134" spans="1:7" ht="19.5" customHeight="1">
      <c r="A134" s="69">
        <v>133</v>
      </c>
      <c r="B134" s="69" t="s">
        <v>121</v>
      </c>
      <c r="C134" s="69" t="s">
        <v>144</v>
      </c>
      <c r="D134" s="69" t="str">
        <f>"202109120513"</f>
        <v>202109120513</v>
      </c>
      <c r="E134" s="69" t="str">
        <f t="shared" si="4"/>
        <v>05</v>
      </c>
      <c r="F134" s="69" t="str">
        <f>"13"</f>
        <v>13</v>
      </c>
      <c r="G134" s="69" t="s">
        <v>9</v>
      </c>
    </row>
    <row r="135" spans="1:7" ht="19.5" customHeight="1">
      <c r="A135" s="69">
        <v>134</v>
      </c>
      <c r="B135" s="69" t="s">
        <v>121</v>
      </c>
      <c r="C135" s="69" t="s">
        <v>145</v>
      </c>
      <c r="D135" s="69" t="str">
        <f>"202109120514"</f>
        <v>202109120514</v>
      </c>
      <c r="E135" s="69" t="str">
        <f t="shared" si="4"/>
        <v>05</v>
      </c>
      <c r="F135" s="69" t="str">
        <f>"14"</f>
        <v>14</v>
      </c>
      <c r="G135" s="69" t="s">
        <v>9</v>
      </c>
    </row>
    <row r="136" spans="1:7" ht="19.5" customHeight="1">
      <c r="A136" s="69">
        <v>135</v>
      </c>
      <c r="B136" s="69" t="s">
        <v>121</v>
      </c>
      <c r="C136" s="69" t="s">
        <v>146</v>
      </c>
      <c r="D136" s="69" t="str">
        <f>"202109120515"</f>
        <v>202109120515</v>
      </c>
      <c r="E136" s="69" t="str">
        <f t="shared" si="4"/>
        <v>05</v>
      </c>
      <c r="F136" s="69" t="str">
        <f>"15"</f>
        <v>15</v>
      </c>
      <c r="G136" s="69" t="s">
        <v>9</v>
      </c>
    </row>
    <row r="137" spans="1:7" ht="19.5" customHeight="1">
      <c r="A137" s="69">
        <v>136</v>
      </c>
      <c r="B137" s="69" t="s">
        <v>121</v>
      </c>
      <c r="C137" s="69" t="s">
        <v>147</v>
      </c>
      <c r="D137" s="69" t="str">
        <f>"202109120516"</f>
        <v>202109120516</v>
      </c>
      <c r="E137" s="69" t="str">
        <f t="shared" si="4"/>
        <v>05</v>
      </c>
      <c r="F137" s="69" t="str">
        <f>"16"</f>
        <v>16</v>
      </c>
      <c r="G137" s="69" t="s">
        <v>9</v>
      </c>
    </row>
    <row r="138" spans="1:7" ht="19.5" customHeight="1">
      <c r="A138" s="69">
        <v>137</v>
      </c>
      <c r="B138" s="69" t="s">
        <v>121</v>
      </c>
      <c r="C138" s="69" t="s">
        <v>148</v>
      </c>
      <c r="D138" s="69" t="str">
        <f>"202109120517"</f>
        <v>202109120517</v>
      </c>
      <c r="E138" s="69" t="str">
        <f t="shared" si="4"/>
        <v>05</v>
      </c>
      <c r="F138" s="69" t="str">
        <f>"17"</f>
        <v>17</v>
      </c>
      <c r="G138" s="69" t="s">
        <v>9</v>
      </c>
    </row>
    <row r="139" spans="1:7" ht="19.5" customHeight="1">
      <c r="A139" s="69">
        <v>138</v>
      </c>
      <c r="B139" s="69" t="s">
        <v>121</v>
      </c>
      <c r="C139" s="69" t="s">
        <v>149</v>
      </c>
      <c r="D139" s="69" t="str">
        <f>"202109120518"</f>
        <v>202109120518</v>
      </c>
      <c r="E139" s="69" t="str">
        <f t="shared" si="4"/>
        <v>05</v>
      </c>
      <c r="F139" s="69" t="str">
        <f>"18"</f>
        <v>18</v>
      </c>
      <c r="G139" s="69" t="s">
        <v>9</v>
      </c>
    </row>
    <row r="140" spans="1:7" ht="19.5" customHeight="1">
      <c r="A140" s="69">
        <v>139</v>
      </c>
      <c r="B140" s="69" t="s">
        <v>121</v>
      </c>
      <c r="C140" s="69" t="s">
        <v>150</v>
      </c>
      <c r="D140" s="69" t="str">
        <f>"202109120519"</f>
        <v>202109120519</v>
      </c>
      <c r="E140" s="69" t="str">
        <f t="shared" si="4"/>
        <v>05</v>
      </c>
      <c r="F140" s="69" t="str">
        <f>"19"</f>
        <v>19</v>
      </c>
      <c r="G140" s="69" t="s">
        <v>9</v>
      </c>
    </row>
    <row r="141" spans="1:7" ht="19.5" customHeight="1">
      <c r="A141" s="69">
        <v>140</v>
      </c>
      <c r="B141" s="69" t="s">
        <v>121</v>
      </c>
      <c r="C141" s="69" t="s">
        <v>151</v>
      </c>
      <c r="D141" s="69" t="str">
        <f>"202109120520"</f>
        <v>202109120520</v>
      </c>
      <c r="E141" s="69" t="str">
        <f t="shared" si="4"/>
        <v>05</v>
      </c>
      <c r="F141" s="69" t="str">
        <f>"20"</f>
        <v>20</v>
      </c>
      <c r="G141" s="69" t="s">
        <v>9</v>
      </c>
    </row>
    <row r="142" spans="1:7" ht="19.5" customHeight="1">
      <c r="A142" s="69">
        <v>141</v>
      </c>
      <c r="B142" s="69" t="s">
        <v>121</v>
      </c>
      <c r="C142" s="69" t="s">
        <v>152</v>
      </c>
      <c r="D142" s="69" t="str">
        <f>"202109120521"</f>
        <v>202109120521</v>
      </c>
      <c r="E142" s="69" t="str">
        <f t="shared" si="4"/>
        <v>05</v>
      </c>
      <c r="F142" s="69" t="str">
        <f>"21"</f>
        <v>21</v>
      </c>
      <c r="G142" s="69" t="s">
        <v>9</v>
      </c>
    </row>
    <row r="143" spans="1:7" ht="19.5" customHeight="1">
      <c r="A143" s="69">
        <v>142</v>
      </c>
      <c r="B143" s="69" t="s">
        <v>121</v>
      </c>
      <c r="C143" s="69" t="s">
        <v>132</v>
      </c>
      <c r="D143" s="69" t="str">
        <f>"202109120522"</f>
        <v>202109120522</v>
      </c>
      <c r="E143" s="69" t="str">
        <f t="shared" si="4"/>
        <v>05</v>
      </c>
      <c r="F143" s="69" t="str">
        <f>"22"</f>
        <v>22</v>
      </c>
      <c r="G143" s="69" t="s">
        <v>9</v>
      </c>
    </row>
    <row r="144" spans="1:7" ht="19.5" customHeight="1">
      <c r="A144" s="69">
        <v>143</v>
      </c>
      <c r="B144" s="69" t="s">
        <v>121</v>
      </c>
      <c r="C144" s="69" t="s">
        <v>153</v>
      </c>
      <c r="D144" s="69" t="str">
        <f>"202109120523"</f>
        <v>202109120523</v>
      </c>
      <c r="E144" s="69" t="str">
        <f t="shared" si="4"/>
        <v>05</v>
      </c>
      <c r="F144" s="69" t="str">
        <f>"23"</f>
        <v>23</v>
      </c>
      <c r="G144" s="69" t="s">
        <v>9</v>
      </c>
    </row>
    <row r="145" spans="1:7" ht="19.5" customHeight="1">
      <c r="A145" s="69">
        <v>144</v>
      </c>
      <c r="B145" s="69" t="s">
        <v>121</v>
      </c>
      <c r="C145" s="69" t="s">
        <v>154</v>
      </c>
      <c r="D145" s="69" t="str">
        <f>"202109120524"</f>
        <v>202109120524</v>
      </c>
      <c r="E145" s="69" t="str">
        <f t="shared" si="4"/>
        <v>05</v>
      </c>
      <c r="F145" s="69" t="str">
        <f>"24"</f>
        <v>24</v>
      </c>
      <c r="G145" s="69" t="s">
        <v>9</v>
      </c>
    </row>
    <row r="146" spans="1:7" ht="19.5" customHeight="1">
      <c r="A146" s="69">
        <v>145</v>
      </c>
      <c r="B146" s="69" t="s">
        <v>121</v>
      </c>
      <c r="C146" s="69" t="s">
        <v>155</v>
      </c>
      <c r="D146" s="69" t="str">
        <f>"202109120525"</f>
        <v>202109120525</v>
      </c>
      <c r="E146" s="69" t="str">
        <f t="shared" si="4"/>
        <v>05</v>
      </c>
      <c r="F146" s="69" t="str">
        <f>"25"</f>
        <v>25</v>
      </c>
      <c r="G146" s="69" t="s">
        <v>9</v>
      </c>
    </row>
    <row r="147" spans="1:7" ht="19.5" customHeight="1">
      <c r="A147" s="69">
        <v>146</v>
      </c>
      <c r="B147" s="69" t="s">
        <v>121</v>
      </c>
      <c r="C147" s="69" t="s">
        <v>156</v>
      </c>
      <c r="D147" s="69" t="str">
        <f>"202109120526"</f>
        <v>202109120526</v>
      </c>
      <c r="E147" s="69" t="str">
        <f t="shared" si="4"/>
        <v>05</v>
      </c>
      <c r="F147" s="69" t="str">
        <f>"26"</f>
        <v>26</v>
      </c>
      <c r="G147" s="69" t="s">
        <v>9</v>
      </c>
    </row>
    <row r="148" spans="1:7" ht="19.5" customHeight="1">
      <c r="A148" s="69">
        <v>147</v>
      </c>
      <c r="B148" s="69" t="s">
        <v>121</v>
      </c>
      <c r="C148" s="69" t="s">
        <v>157</v>
      </c>
      <c r="D148" s="69" t="str">
        <f>"202109120527"</f>
        <v>202109120527</v>
      </c>
      <c r="E148" s="69" t="str">
        <f t="shared" si="4"/>
        <v>05</v>
      </c>
      <c r="F148" s="69" t="str">
        <f>"27"</f>
        <v>27</v>
      </c>
      <c r="G148" s="69" t="s">
        <v>9</v>
      </c>
    </row>
    <row r="149" spans="1:7" ht="19.5" customHeight="1">
      <c r="A149" s="69">
        <v>148</v>
      </c>
      <c r="B149" s="69" t="s">
        <v>121</v>
      </c>
      <c r="C149" s="69" t="s">
        <v>158</v>
      </c>
      <c r="D149" s="69" t="str">
        <f>"202109120528"</f>
        <v>202109120528</v>
      </c>
      <c r="E149" s="69" t="str">
        <f t="shared" si="4"/>
        <v>05</v>
      </c>
      <c r="F149" s="69" t="str">
        <f>"28"</f>
        <v>28</v>
      </c>
      <c r="G149" s="69" t="s">
        <v>9</v>
      </c>
    </row>
    <row r="150" spans="1:7" ht="19.5" customHeight="1">
      <c r="A150" s="69">
        <v>149</v>
      </c>
      <c r="B150" s="69" t="s">
        <v>121</v>
      </c>
      <c r="C150" s="69" t="s">
        <v>159</v>
      </c>
      <c r="D150" s="69" t="str">
        <f>"202109120529"</f>
        <v>202109120529</v>
      </c>
      <c r="E150" s="69" t="str">
        <f t="shared" si="4"/>
        <v>05</v>
      </c>
      <c r="F150" s="69" t="str">
        <f>"29"</f>
        <v>29</v>
      </c>
      <c r="G150" s="69" t="s">
        <v>9</v>
      </c>
    </row>
    <row r="151" spans="1:7" ht="19.5" customHeight="1">
      <c r="A151" s="69">
        <v>150</v>
      </c>
      <c r="B151" s="69" t="s">
        <v>121</v>
      </c>
      <c r="C151" s="69" t="s">
        <v>160</v>
      </c>
      <c r="D151" s="69" t="str">
        <f>"202109120530"</f>
        <v>202109120530</v>
      </c>
      <c r="E151" s="69" t="str">
        <f t="shared" si="4"/>
        <v>05</v>
      </c>
      <c r="F151" s="69" t="str">
        <f>"30"</f>
        <v>30</v>
      </c>
      <c r="G151" s="69" t="s">
        <v>9</v>
      </c>
    </row>
    <row r="152" spans="1:7" ht="19.5" customHeight="1">
      <c r="A152" s="69">
        <v>151</v>
      </c>
      <c r="B152" s="69" t="s">
        <v>121</v>
      </c>
      <c r="C152" s="69" t="s">
        <v>161</v>
      </c>
      <c r="D152" s="69" t="str">
        <f>"202109120601"</f>
        <v>202109120601</v>
      </c>
      <c r="E152" s="69" t="str">
        <f aca="true" t="shared" si="5" ref="E152:E181">"06"</f>
        <v>06</v>
      </c>
      <c r="F152" s="69" t="str">
        <f>"01"</f>
        <v>01</v>
      </c>
      <c r="G152" s="69" t="s">
        <v>9</v>
      </c>
    </row>
    <row r="153" spans="1:7" ht="19.5" customHeight="1">
      <c r="A153" s="69">
        <v>152</v>
      </c>
      <c r="B153" s="69" t="s">
        <v>121</v>
      </c>
      <c r="C153" s="69" t="s">
        <v>162</v>
      </c>
      <c r="D153" s="69" t="str">
        <f>"202109120602"</f>
        <v>202109120602</v>
      </c>
      <c r="E153" s="69" t="str">
        <f t="shared" si="5"/>
        <v>06</v>
      </c>
      <c r="F153" s="69" t="str">
        <f>"02"</f>
        <v>02</v>
      </c>
      <c r="G153" s="69" t="s">
        <v>9</v>
      </c>
    </row>
    <row r="154" spans="1:7" ht="19.5" customHeight="1">
      <c r="A154" s="69">
        <v>153</v>
      </c>
      <c r="B154" s="69" t="s">
        <v>121</v>
      </c>
      <c r="C154" s="69" t="s">
        <v>163</v>
      </c>
      <c r="D154" s="69" t="str">
        <f>"202109120603"</f>
        <v>202109120603</v>
      </c>
      <c r="E154" s="69" t="str">
        <f t="shared" si="5"/>
        <v>06</v>
      </c>
      <c r="F154" s="69" t="str">
        <f>"03"</f>
        <v>03</v>
      </c>
      <c r="G154" s="69" t="s">
        <v>9</v>
      </c>
    </row>
    <row r="155" spans="1:7" ht="19.5" customHeight="1">
      <c r="A155" s="69">
        <v>154</v>
      </c>
      <c r="B155" s="69" t="s">
        <v>121</v>
      </c>
      <c r="C155" s="69" t="s">
        <v>164</v>
      </c>
      <c r="D155" s="69" t="str">
        <f>"202109120604"</f>
        <v>202109120604</v>
      </c>
      <c r="E155" s="69" t="str">
        <f t="shared" si="5"/>
        <v>06</v>
      </c>
      <c r="F155" s="69" t="str">
        <f>"04"</f>
        <v>04</v>
      </c>
      <c r="G155" s="69" t="s">
        <v>9</v>
      </c>
    </row>
    <row r="156" spans="1:7" ht="19.5" customHeight="1">
      <c r="A156" s="69">
        <v>155</v>
      </c>
      <c r="B156" s="69" t="s">
        <v>121</v>
      </c>
      <c r="C156" s="69" t="s">
        <v>165</v>
      </c>
      <c r="D156" s="69" t="str">
        <f>"202109120605"</f>
        <v>202109120605</v>
      </c>
      <c r="E156" s="69" t="str">
        <f t="shared" si="5"/>
        <v>06</v>
      </c>
      <c r="F156" s="69" t="str">
        <f>"05"</f>
        <v>05</v>
      </c>
      <c r="G156" s="69" t="s">
        <v>9</v>
      </c>
    </row>
    <row r="157" spans="1:7" ht="19.5" customHeight="1">
      <c r="A157" s="69">
        <v>156</v>
      </c>
      <c r="B157" s="69" t="s">
        <v>121</v>
      </c>
      <c r="C157" s="69" t="s">
        <v>166</v>
      </c>
      <c r="D157" s="69" t="str">
        <f>"202109120606"</f>
        <v>202109120606</v>
      </c>
      <c r="E157" s="69" t="str">
        <f t="shared" si="5"/>
        <v>06</v>
      </c>
      <c r="F157" s="69" t="str">
        <f>"06"</f>
        <v>06</v>
      </c>
      <c r="G157" s="69" t="s">
        <v>9</v>
      </c>
    </row>
    <row r="158" spans="1:7" ht="19.5" customHeight="1">
      <c r="A158" s="69">
        <v>157</v>
      </c>
      <c r="B158" s="69" t="s">
        <v>121</v>
      </c>
      <c r="C158" s="69" t="s">
        <v>167</v>
      </c>
      <c r="D158" s="69" t="str">
        <f>"202109120607"</f>
        <v>202109120607</v>
      </c>
      <c r="E158" s="69" t="str">
        <f t="shared" si="5"/>
        <v>06</v>
      </c>
      <c r="F158" s="69" t="str">
        <f>"07"</f>
        <v>07</v>
      </c>
      <c r="G158" s="69" t="s">
        <v>9</v>
      </c>
    </row>
    <row r="159" spans="1:7" ht="19.5" customHeight="1">
      <c r="A159" s="69">
        <v>158</v>
      </c>
      <c r="B159" s="69" t="s">
        <v>121</v>
      </c>
      <c r="C159" s="69" t="s">
        <v>168</v>
      </c>
      <c r="D159" s="69" t="str">
        <f>"202109120608"</f>
        <v>202109120608</v>
      </c>
      <c r="E159" s="69" t="str">
        <f t="shared" si="5"/>
        <v>06</v>
      </c>
      <c r="F159" s="69" t="str">
        <f>"08"</f>
        <v>08</v>
      </c>
      <c r="G159" s="69" t="s">
        <v>9</v>
      </c>
    </row>
    <row r="160" spans="1:7" ht="19.5" customHeight="1">
      <c r="A160" s="69">
        <v>159</v>
      </c>
      <c r="B160" s="69" t="s">
        <v>121</v>
      </c>
      <c r="C160" s="69" t="s">
        <v>169</v>
      </c>
      <c r="D160" s="69" t="str">
        <f>"202109120609"</f>
        <v>202109120609</v>
      </c>
      <c r="E160" s="69" t="str">
        <f t="shared" si="5"/>
        <v>06</v>
      </c>
      <c r="F160" s="69" t="str">
        <f>"09"</f>
        <v>09</v>
      </c>
      <c r="G160" s="69" t="s">
        <v>9</v>
      </c>
    </row>
    <row r="161" spans="1:7" ht="19.5" customHeight="1">
      <c r="A161" s="69">
        <v>160</v>
      </c>
      <c r="B161" s="69" t="s">
        <v>121</v>
      </c>
      <c r="C161" s="69" t="s">
        <v>170</v>
      </c>
      <c r="D161" s="69" t="str">
        <f>"202109120610"</f>
        <v>202109120610</v>
      </c>
      <c r="E161" s="69" t="str">
        <f t="shared" si="5"/>
        <v>06</v>
      </c>
      <c r="F161" s="69" t="str">
        <f>"10"</f>
        <v>10</v>
      </c>
      <c r="G161" s="69" t="s">
        <v>9</v>
      </c>
    </row>
    <row r="162" spans="1:7" ht="19.5" customHeight="1">
      <c r="A162" s="69">
        <v>161</v>
      </c>
      <c r="B162" s="69" t="s">
        <v>121</v>
      </c>
      <c r="C162" s="69" t="s">
        <v>171</v>
      </c>
      <c r="D162" s="69" t="str">
        <f>"202109120611"</f>
        <v>202109120611</v>
      </c>
      <c r="E162" s="69" t="str">
        <f t="shared" si="5"/>
        <v>06</v>
      </c>
      <c r="F162" s="69" t="str">
        <f>"11"</f>
        <v>11</v>
      </c>
      <c r="G162" s="69" t="s">
        <v>9</v>
      </c>
    </row>
    <row r="163" spans="1:7" ht="19.5" customHeight="1">
      <c r="A163" s="69">
        <v>162</v>
      </c>
      <c r="B163" s="69" t="s">
        <v>121</v>
      </c>
      <c r="C163" s="69" t="s">
        <v>172</v>
      </c>
      <c r="D163" s="69" t="str">
        <f>"202109120612"</f>
        <v>202109120612</v>
      </c>
      <c r="E163" s="69" t="str">
        <f t="shared" si="5"/>
        <v>06</v>
      </c>
      <c r="F163" s="69" t="str">
        <f>"12"</f>
        <v>12</v>
      </c>
      <c r="G163" s="69" t="s">
        <v>9</v>
      </c>
    </row>
    <row r="164" spans="1:7" ht="19.5" customHeight="1">
      <c r="A164" s="69">
        <v>163</v>
      </c>
      <c r="B164" s="69" t="s">
        <v>121</v>
      </c>
      <c r="C164" s="69" t="s">
        <v>173</v>
      </c>
      <c r="D164" s="69" t="str">
        <f>"202109120613"</f>
        <v>202109120613</v>
      </c>
      <c r="E164" s="69" t="str">
        <f t="shared" si="5"/>
        <v>06</v>
      </c>
      <c r="F164" s="69" t="str">
        <f>"13"</f>
        <v>13</v>
      </c>
      <c r="G164" s="69" t="s">
        <v>9</v>
      </c>
    </row>
    <row r="165" spans="1:7" ht="19.5" customHeight="1">
      <c r="A165" s="69">
        <v>164</v>
      </c>
      <c r="B165" s="69" t="s">
        <v>121</v>
      </c>
      <c r="C165" s="69" t="s">
        <v>174</v>
      </c>
      <c r="D165" s="69" t="str">
        <f>"202109120614"</f>
        <v>202109120614</v>
      </c>
      <c r="E165" s="69" t="str">
        <f t="shared" si="5"/>
        <v>06</v>
      </c>
      <c r="F165" s="69" t="str">
        <f>"14"</f>
        <v>14</v>
      </c>
      <c r="G165" s="69" t="s">
        <v>9</v>
      </c>
    </row>
    <row r="166" spans="1:7" ht="19.5" customHeight="1">
      <c r="A166" s="69">
        <v>165</v>
      </c>
      <c r="B166" s="69" t="s">
        <v>121</v>
      </c>
      <c r="C166" s="69" t="s">
        <v>175</v>
      </c>
      <c r="D166" s="69" t="str">
        <f>"202109120615"</f>
        <v>202109120615</v>
      </c>
      <c r="E166" s="69" t="str">
        <f t="shared" si="5"/>
        <v>06</v>
      </c>
      <c r="F166" s="69" t="str">
        <f>"15"</f>
        <v>15</v>
      </c>
      <c r="G166" s="69" t="s">
        <v>9</v>
      </c>
    </row>
    <row r="167" spans="1:7" ht="19.5" customHeight="1">
      <c r="A167" s="69">
        <v>166</v>
      </c>
      <c r="B167" s="69" t="s">
        <v>121</v>
      </c>
      <c r="C167" s="69" t="s">
        <v>176</v>
      </c>
      <c r="D167" s="69" t="str">
        <f>"202109120616"</f>
        <v>202109120616</v>
      </c>
      <c r="E167" s="69" t="str">
        <f t="shared" si="5"/>
        <v>06</v>
      </c>
      <c r="F167" s="69" t="str">
        <f>"16"</f>
        <v>16</v>
      </c>
      <c r="G167" s="69" t="s">
        <v>9</v>
      </c>
    </row>
    <row r="168" spans="1:7" ht="19.5" customHeight="1">
      <c r="A168" s="69">
        <v>167</v>
      </c>
      <c r="B168" s="69" t="s">
        <v>121</v>
      </c>
      <c r="C168" s="69" t="s">
        <v>177</v>
      </c>
      <c r="D168" s="69" t="str">
        <f>"202109120617"</f>
        <v>202109120617</v>
      </c>
      <c r="E168" s="69" t="str">
        <f t="shared" si="5"/>
        <v>06</v>
      </c>
      <c r="F168" s="69" t="str">
        <f>"17"</f>
        <v>17</v>
      </c>
      <c r="G168" s="69" t="s">
        <v>9</v>
      </c>
    </row>
    <row r="169" spans="1:7" ht="19.5" customHeight="1">
      <c r="A169" s="69">
        <v>168</v>
      </c>
      <c r="B169" s="69" t="s">
        <v>121</v>
      </c>
      <c r="C169" s="69" t="s">
        <v>178</v>
      </c>
      <c r="D169" s="69" t="str">
        <f>"202109120618"</f>
        <v>202109120618</v>
      </c>
      <c r="E169" s="69" t="str">
        <f t="shared" si="5"/>
        <v>06</v>
      </c>
      <c r="F169" s="69" t="str">
        <f>"18"</f>
        <v>18</v>
      </c>
      <c r="G169" s="69" t="s">
        <v>9</v>
      </c>
    </row>
    <row r="170" spans="1:7" ht="19.5" customHeight="1">
      <c r="A170" s="69">
        <v>169</v>
      </c>
      <c r="B170" s="69" t="s">
        <v>121</v>
      </c>
      <c r="C170" s="69" t="s">
        <v>179</v>
      </c>
      <c r="D170" s="69" t="str">
        <f>"202109120619"</f>
        <v>202109120619</v>
      </c>
      <c r="E170" s="69" t="str">
        <f t="shared" si="5"/>
        <v>06</v>
      </c>
      <c r="F170" s="69" t="str">
        <f>"19"</f>
        <v>19</v>
      </c>
      <c r="G170" s="69" t="s">
        <v>9</v>
      </c>
    </row>
    <row r="171" spans="1:7" ht="19.5" customHeight="1">
      <c r="A171" s="69">
        <v>170</v>
      </c>
      <c r="B171" s="69" t="s">
        <v>121</v>
      </c>
      <c r="C171" s="69" t="s">
        <v>180</v>
      </c>
      <c r="D171" s="69" t="str">
        <f>"202109120620"</f>
        <v>202109120620</v>
      </c>
      <c r="E171" s="69" t="str">
        <f t="shared" si="5"/>
        <v>06</v>
      </c>
      <c r="F171" s="69" t="str">
        <f>"20"</f>
        <v>20</v>
      </c>
      <c r="G171" s="69" t="s">
        <v>9</v>
      </c>
    </row>
    <row r="172" spans="1:7" ht="19.5" customHeight="1">
      <c r="A172" s="69">
        <v>171</v>
      </c>
      <c r="B172" s="69" t="s">
        <v>121</v>
      </c>
      <c r="C172" s="69" t="s">
        <v>181</v>
      </c>
      <c r="D172" s="69" t="str">
        <f>"202109120621"</f>
        <v>202109120621</v>
      </c>
      <c r="E172" s="69" t="str">
        <f t="shared" si="5"/>
        <v>06</v>
      </c>
      <c r="F172" s="69" t="str">
        <f>"21"</f>
        <v>21</v>
      </c>
      <c r="G172" s="69" t="s">
        <v>9</v>
      </c>
    </row>
    <row r="173" spans="1:7" ht="19.5" customHeight="1">
      <c r="A173" s="69">
        <v>172</v>
      </c>
      <c r="B173" s="69" t="s">
        <v>182</v>
      </c>
      <c r="C173" s="69" t="s">
        <v>183</v>
      </c>
      <c r="D173" s="69" t="str">
        <f>"202109120622"</f>
        <v>202109120622</v>
      </c>
      <c r="E173" s="69" t="str">
        <f t="shared" si="5"/>
        <v>06</v>
      </c>
      <c r="F173" s="69" t="str">
        <f>"22"</f>
        <v>22</v>
      </c>
      <c r="G173" s="69" t="s">
        <v>9</v>
      </c>
    </row>
    <row r="174" spans="1:7" ht="19.5" customHeight="1">
      <c r="A174" s="69">
        <v>173</v>
      </c>
      <c r="B174" s="69" t="s">
        <v>182</v>
      </c>
      <c r="C174" s="69" t="s">
        <v>184</v>
      </c>
      <c r="D174" s="69" t="str">
        <f>"202109120623"</f>
        <v>202109120623</v>
      </c>
      <c r="E174" s="69" t="str">
        <f t="shared" si="5"/>
        <v>06</v>
      </c>
      <c r="F174" s="69" t="str">
        <f>"23"</f>
        <v>23</v>
      </c>
      <c r="G174" s="69" t="s">
        <v>9</v>
      </c>
    </row>
    <row r="175" spans="1:7" ht="19.5" customHeight="1">
      <c r="A175" s="69">
        <v>174</v>
      </c>
      <c r="B175" s="69" t="s">
        <v>182</v>
      </c>
      <c r="C175" s="69" t="s">
        <v>185</v>
      </c>
      <c r="D175" s="69" t="str">
        <f>"202109120624"</f>
        <v>202109120624</v>
      </c>
      <c r="E175" s="69" t="str">
        <f t="shared" si="5"/>
        <v>06</v>
      </c>
      <c r="F175" s="69" t="str">
        <f>"24"</f>
        <v>24</v>
      </c>
      <c r="G175" s="69" t="s">
        <v>9</v>
      </c>
    </row>
    <row r="176" spans="1:7" ht="19.5" customHeight="1">
      <c r="A176" s="69">
        <v>175</v>
      </c>
      <c r="B176" s="69" t="s">
        <v>182</v>
      </c>
      <c r="C176" s="69" t="s">
        <v>186</v>
      </c>
      <c r="D176" s="69" t="str">
        <f>"202109120625"</f>
        <v>202109120625</v>
      </c>
      <c r="E176" s="69" t="str">
        <f t="shared" si="5"/>
        <v>06</v>
      </c>
      <c r="F176" s="69" t="str">
        <f>"25"</f>
        <v>25</v>
      </c>
      <c r="G176" s="69" t="s">
        <v>9</v>
      </c>
    </row>
    <row r="177" spans="1:7" ht="19.5" customHeight="1">
      <c r="A177" s="69">
        <v>176</v>
      </c>
      <c r="B177" s="69" t="s">
        <v>182</v>
      </c>
      <c r="C177" s="69" t="s">
        <v>187</v>
      </c>
      <c r="D177" s="69" t="str">
        <f>"202109120626"</f>
        <v>202109120626</v>
      </c>
      <c r="E177" s="69" t="str">
        <f t="shared" si="5"/>
        <v>06</v>
      </c>
      <c r="F177" s="69" t="str">
        <f>"26"</f>
        <v>26</v>
      </c>
      <c r="G177" s="69" t="s">
        <v>9</v>
      </c>
    </row>
    <row r="178" spans="1:7" ht="19.5" customHeight="1">
      <c r="A178" s="69">
        <v>177</v>
      </c>
      <c r="B178" s="69" t="s">
        <v>182</v>
      </c>
      <c r="C178" s="69" t="s">
        <v>188</v>
      </c>
      <c r="D178" s="69" t="str">
        <f>"202109120627"</f>
        <v>202109120627</v>
      </c>
      <c r="E178" s="69" t="str">
        <f t="shared" si="5"/>
        <v>06</v>
      </c>
      <c r="F178" s="69" t="str">
        <f>"27"</f>
        <v>27</v>
      </c>
      <c r="G178" s="69" t="s">
        <v>9</v>
      </c>
    </row>
    <row r="179" spans="1:7" ht="19.5" customHeight="1">
      <c r="A179" s="69">
        <v>178</v>
      </c>
      <c r="B179" s="69" t="s">
        <v>182</v>
      </c>
      <c r="C179" s="69" t="s">
        <v>189</v>
      </c>
      <c r="D179" s="69" t="str">
        <f>"202109120628"</f>
        <v>202109120628</v>
      </c>
      <c r="E179" s="69" t="str">
        <f t="shared" si="5"/>
        <v>06</v>
      </c>
      <c r="F179" s="69" t="str">
        <f>"28"</f>
        <v>28</v>
      </c>
      <c r="G179" s="69" t="s">
        <v>9</v>
      </c>
    </row>
    <row r="180" spans="1:7" ht="19.5" customHeight="1">
      <c r="A180" s="69">
        <v>179</v>
      </c>
      <c r="B180" s="69" t="s">
        <v>182</v>
      </c>
      <c r="C180" s="69" t="s">
        <v>190</v>
      </c>
      <c r="D180" s="69" t="str">
        <f>"202109120629"</f>
        <v>202109120629</v>
      </c>
      <c r="E180" s="69" t="str">
        <f t="shared" si="5"/>
        <v>06</v>
      </c>
      <c r="F180" s="69" t="str">
        <f>"29"</f>
        <v>29</v>
      </c>
      <c r="G180" s="69" t="s">
        <v>9</v>
      </c>
    </row>
    <row r="181" spans="1:7" ht="19.5" customHeight="1">
      <c r="A181" s="69">
        <v>180</v>
      </c>
      <c r="B181" s="69" t="s">
        <v>182</v>
      </c>
      <c r="C181" s="69" t="s">
        <v>191</v>
      </c>
      <c r="D181" s="69" t="str">
        <f>"202109120630"</f>
        <v>202109120630</v>
      </c>
      <c r="E181" s="69" t="str">
        <f t="shared" si="5"/>
        <v>06</v>
      </c>
      <c r="F181" s="69" t="str">
        <f>"30"</f>
        <v>30</v>
      </c>
      <c r="G181" s="69" t="s">
        <v>9</v>
      </c>
    </row>
    <row r="182" spans="1:7" ht="19.5" customHeight="1">
      <c r="A182" s="69">
        <v>181</v>
      </c>
      <c r="B182" s="69" t="s">
        <v>182</v>
      </c>
      <c r="C182" s="69" t="s">
        <v>192</v>
      </c>
      <c r="D182" s="69" t="str">
        <f>"202109120701"</f>
        <v>202109120701</v>
      </c>
      <c r="E182" s="69" t="str">
        <f aca="true" t="shared" si="6" ref="E182:E211">"07"</f>
        <v>07</v>
      </c>
      <c r="F182" s="69" t="str">
        <f>"01"</f>
        <v>01</v>
      </c>
      <c r="G182" s="69" t="s">
        <v>9</v>
      </c>
    </row>
    <row r="183" spans="1:7" ht="19.5" customHeight="1">
      <c r="A183" s="69">
        <v>182</v>
      </c>
      <c r="B183" s="69" t="s">
        <v>182</v>
      </c>
      <c r="C183" s="69" t="s">
        <v>193</v>
      </c>
      <c r="D183" s="69" t="str">
        <f>"202109120702"</f>
        <v>202109120702</v>
      </c>
      <c r="E183" s="69" t="str">
        <f t="shared" si="6"/>
        <v>07</v>
      </c>
      <c r="F183" s="69" t="str">
        <f>"02"</f>
        <v>02</v>
      </c>
      <c r="G183" s="69" t="s">
        <v>9</v>
      </c>
    </row>
    <row r="184" spans="1:7" ht="19.5" customHeight="1">
      <c r="A184" s="69">
        <v>183</v>
      </c>
      <c r="B184" s="69" t="s">
        <v>182</v>
      </c>
      <c r="C184" s="69" t="s">
        <v>194</v>
      </c>
      <c r="D184" s="69" t="str">
        <f>"202109120703"</f>
        <v>202109120703</v>
      </c>
      <c r="E184" s="69" t="str">
        <f t="shared" si="6"/>
        <v>07</v>
      </c>
      <c r="F184" s="69" t="str">
        <f>"03"</f>
        <v>03</v>
      </c>
      <c r="G184" s="69" t="s">
        <v>9</v>
      </c>
    </row>
    <row r="185" spans="1:7" ht="19.5" customHeight="1">
      <c r="A185" s="69">
        <v>184</v>
      </c>
      <c r="B185" s="69" t="s">
        <v>182</v>
      </c>
      <c r="C185" s="69" t="s">
        <v>195</v>
      </c>
      <c r="D185" s="69" t="str">
        <f>"202109120704"</f>
        <v>202109120704</v>
      </c>
      <c r="E185" s="69" t="str">
        <f t="shared" si="6"/>
        <v>07</v>
      </c>
      <c r="F185" s="69" t="str">
        <f>"04"</f>
        <v>04</v>
      </c>
      <c r="G185" s="69" t="s">
        <v>9</v>
      </c>
    </row>
    <row r="186" spans="1:7" ht="19.5" customHeight="1">
      <c r="A186" s="69">
        <v>185</v>
      </c>
      <c r="B186" s="69" t="s">
        <v>182</v>
      </c>
      <c r="C186" s="69" t="s">
        <v>196</v>
      </c>
      <c r="D186" s="69" t="str">
        <f>"202109120705"</f>
        <v>202109120705</v>
      </c>
      <c r="E186" s="69" t="str">
        <f t="shared" si="6"/>
        <v>07</v>
      </c>
      <c r="F186" s="69" t="str">
        <f>"05"</f>
        <v>05</v>
      </c>
      <c r="G186" s="69" t="s">
        <v>9</v>
      </c>
    </row>
    <row r="187" spans="1:7" ht="19.5" customHeight="1">
      <c r="A187" s="69">
        <v>186</v>
      </c>
      <c r="B187" s="69" t="s">
        <v>182</v>
      </c>
      <c r="C187" s="69" t="s">
        <v>197</v>
      </c>
      <c r="D187" s="69" t="str">
        <f>"202109120706"</f>
        <v>202109120706</v>
      </c>
      <c r="E187" s="69" t="str">
        <f t="shared" si="6"/>
        <v>07</v>
      </c>
      <c r="F187" s="69" t="str">
        <f>"06"</f>
        <v>06</v>
      </c>
      <c r="G187" s="69" t="s">
        <v>9</v>
      </c>
    </row>
    <row r="188" spans="1:7" ht="19.5" customHeight="1">
      <c r="A188" s="69">
        <v>187</v>
      </c>
      <c r="B188" s="69" t="s">
        <v>182</v>
      </c>
      <c r="C188" s="69" t="s">
        <v>198</v>
      </c>
      <c r="D188" s="69" t="str">
        <f>"202109120707"</f>
        <v>202109120707</v>
      </c>
      <c r="E188" s="69" t="str">
        <f t="shared" si="6"/>
        <v>07</v>
      </c>
      <c r="F188" s="69" t="str">
        <f>"07"</f>
        <v>07</v>
      </c>
      <c r="G188" s="69" t="s">
        <v>9</v>
      </c>
    </row>
    <row r="189" spans="1:7" ht="19.5" customHeight="1">
      <c r="A189" s="69">
        <v>188</v>
      </c>
      <c r="B189" s="69" t="s">
        <v>182</v>
      </c>
      <c r="C189" s="69" t="s">
        <v>199</v>
      </c>
      <c r="D189" s="69" t="str">
        <f>"202109120708"</f>
        <v>202109120708</v>
      </c>
      <c r="E189" s="69" t="str">
        <f t="shared" si="6"/>
        <v>07</v>
      </c>
      <c r="F189" s="69" t="str">
        <f>"08"</f>
        <v>08</v>
      </c>
      <c r="G189" s="69" t="s">
        <v>9</v>
      </c>
    </row>
    <row r="190" spans="1:7" ht="19.5" customHeight="1">
      <c r="A190" s="69">
        <v>189</v>
      </c>
      <c r="B190" s="69" t="s">
        <v>182</v>
      </c>
      <c r="C190" s="69" t="s">
        <v>200</v>
      </c>
      <c r="D190" s="69" t="str">
        <f>"202109120709"</f>
        <v>202109120709</v>
      </c>
      <c r="E190" s="69" t="str">
        <f t="shared" si="6"/>
        <v>07</v>
      </c>
      <c r="F190" s="69" t="str">
        <f>"09"</f>
        <v>09</v>
      </c>
      <c r="G190" s="69" t="s">
        <v>9</v>
      </c>
    </row>
    <row r="191" spans="1:7" ht="19.5" customHeight="1">
      <c r="A191" s="69">
        <v>190</v>
      </c>
      <c r="B191" s="69" t="s">
        <v>182</v>
      </c>
      <c r="C191" s="69" t="s">
        <v>201</v>
      </c>
      <c r="D191" s="69" t="str">
        <f>"202109120710"</f>
        <v>202109120710</v>
      </c>
      <c r="E191" s="69" t="str">
        <f t="shared" si="6"/>
        <v>07</v>
      </c>
      <c r="F191" s="69" t="str">
        <f>"10"</f>
        <v>10</v>
      </c>
      <c r="G191" s="69" t="s">
        <v>9</v>
      </c>
    </row>
    <row r="192" spans="1:7" ht="19.5" customHeight="1">
      <c r="A192" s="69">
        <v>191</v>
      </c>
      <c r="B192" s="69" t="s">
        <v>182</v>
      </c>
      <c r="C192" s="69" t="s">
        <v>202</v>
      </c>
      <c r="D192" s="69" t="str">
        <f>"202109120711"</f>
        <v>202109120711</v>
      </c>
      <c r="E192" s="69" t="str">
        <f t="shared" si="6"/>
        <v>07</v>
      </c>
      <c r="F192" s="69" t="str">
        <f>"11"</f>
        <v>11</v>
      </c>
      <c r="G192" s="69" t="s">
        <v>9</v>
      </c>
    </row>
    <row r="193" spans="1:7" ht="19.5" customHeight="1">
      <c r="A193" s="69">
        <v>192</v>
      </c>
      <c r="B193" s="69" t="s">
        <v>182</v>
      </c>
      <c r="C193" s="69" t="s">
        <v>203</v>
      </c>
      <c r="D193" s="69" t="str">
        <f>"202109120712"</f>
        <v>202109120712</v>
      </c>
      <c r="E193" s="69" t="str">
        <f t="shared" si="6"/>
        <v>07</v>
      </c>
      <c r="F193" s="69" t="str">
        <f>"12"</f>
        <v>12</v>
      </c>
      <c r="G193" s="69" t="s">
        <v>9</v>
      </c>
    </row>
    <row r="194" spans="1:7" ht="19.5" customHeight="1">
      <c r="A194" s="69">
        <v>193</v>
      </c>
      <c r="B194" s="69" t="s">
        <v>182</v>
      </c>
      <c r="C194" s="69" t="s">
        <v>204</v>
      </c>
      <c r="D194" s="69" t="str">
        <f>"202109120713"</f>
        <v>202109120713</v>
      </c>
      <c r="E194" s="69" t="str">
        <f t="shared" si="6"/>
        <v>07</v>
      </c>
      <c r="F194" s="69" t="str">
        <f>"13"</f>
        <v>13</v>
      </c>
      <c r="G194" s="69" t="s">
        <v>9</v>
      </c>
    </row>
    <row r="195" spans="1:7" ht="19.5" customHeight="1">
      <c r="A195" s="69">
        <v>194</v>
      </c>
      <c r="B195" s="69" t="s">
        <v>182</v>
      </c>
      <c r="C195" s="69" t="s">
        <v>205</v>
      </c>
      <c r="D195" s="69" t="str">
        <f>"202109120714"</f>
        <v>202109120714</v>
      </c>
      <c r="E195" s="69" t="str">
        <f t="shared" si="6"/>
        <v>07</v>
      </c>
      <c r="F195" s="69" t="str">
        <f>"14"</f>
        <v>14</v>
      </c>
      <c r="G195" s="69" t="s">
        <v>9</v>
      </c>
    </row>
    <row r="196" spans="1:7" ht="19.5" customHeight="1">
      <c r="A196" s="69">
        <v>195</v>
      </c>
      <c r="B196" s="69" t="s">
        <v>182</v>
      </c>
      <c r="C196" s="69" t="s">
        <v>206</v>
      </c>
      <c r="D196" s="69" t="str">
        <f>"202109120715"</f>
        <v>202109120715</v>
      </c>
      <c r="E196" s="69" t="str">
        <f t="shared" si="6"/>
        <v>07</v>
      </c>
      <c r="F196" s="69" t="str">
        <f>"15"</f>
        <v>15</v>
      </c>
      <c r="G196" s="69" t="s">
        <v>9</v>
      </c>
    </row>
    <row r="197" spans="1:7" ht="19.5" customHeight="1">
      <c r="A197" s="69">
        <v>196</v>
      </c>
      <c r="B197" s="69" t="s">
        <v>182</v>
      </c>
      <c r="C197" s="69" t="s">
        <v>207</v>
      </c>
      <c r="D197" s="69" t="str">
        <f>"202109120716"</f>
        <v>202109120716</v>
      </c>
      <c r="E197" s="69" t="str">
        <f t="shared" si="6"/>
        <v>07</v>
      </c>
      <c r="F197" s="69" t="str">
        <f>"16"</f>
        <v>16</v>
      </c>
      <c r="G197" s="69" t="s">
        <v>9</v>
      </c>
    </row>
    <row r="198" spans="1:7" ht="19.5" customHeight="1">
      <c r="A198" s="69">
        <v>197</v>
      </c>
      <c r="B198" s="69" t="s">
        <v>182</v>
      </c>
      <c r="C198" s="69" t="s">
        <v>208</v>
      </c>
      <c r="D198" s="69" t="str">
        <f>"202109120717"</f>
        <v>202109120717</v>
      </c>
      <c r="E198" s="69" t="str">
        <f t="shared" si="6"/>
        <v>07</v>
      </c>
      <c r="F198" s="69" t="str">
        <f>"17"</f>
        <v>17</v>
      </c>
      <c r="G198" s="69" t="s">
        <v>9</v>
      </c>
    </row>
    <row r="199" spans="1:7" ht="19.5" customHeight="1">
      <c r="A199" s="69">
        <v>198</v>
      </c>
      <c r="B199" s="69" t="s">
        <v>182</v>
      </c>
      <c r="C199" s="69" t="s">
        <v>209</v>
      </c>
      <c r="D199" s="69" t="str">
        <f>"202109120718"</f>
        <v>202109120718</v>
      </c>
      <c r="E199" s="69" t="str">
        <f t="shared" si="6"/>
        <v>07</v>
      </c>
      <c r="F199" s="69" t="str">
        <f>"18"</f>
        <v>18</v>
      </c>
      <c r="G199" s="69" t="s">
        <v>9</v>
      </c>
    </row>
    <row r="200" spans="1:7" ht="19.5" customHeight="1">
      <c r="A200" s="69">
        <v>199</v>
      </c>
      <c r="B200" s="69" t="s">
        <v>182</v>
      </c>
      <c r="C200" s="69" t="s">
        <v>210</v>
      </c>
      <c r="D200" s="69" t="str">
        <f>"202109120719"</f>
        <v>202109120719</v>
      </c>
      <c r="E200" s="69" t="str">
        <f t="shared" si="6"/>
        <v>07</v>
      </c>
      <c r="F200" s="69" t="str">
        <f>"19"</f>
        <v>19</v>
      </c>
      <c r="G200" s="69" t="s">
        <v>9</v>
      </c>
    </row>
    <row r="201" spans="1:7" ht="19.5" customHeight="1">
      <c r="A201" s="69">
        <v>200</v>
      </c>
      <c r="B201" s="69" t="s">
        <v>182</v>
      </c>
      <c r="C201" s="69" t="s">
        <v>211</v>
      </c>
      <c r="D201" s="69" t="str">
        <f>"202109120720"</f>
        <v>202109120720</v>
      </c>
      <c r="E201" s="69" t="str">
        <f t="shared" si="6"/>
        <v>07</v>
      </c>
      <c r="F201" s="69" t="str">
        <f>"20"</f>
        <v>20</v>
      </c>
      <c r="G201" s="69" t="s">
        <v>9</v>
      </c>
    </row>
    <row r="202" spans="1:7" ht="19.5" customHeight="1">
      <c r="A202" s="69">
        <v>201</v>
      </c>
      <c r="B202" s="69" t="s">
        <v>182</v>
      </c>
      <c r="C202" s="69" t="s">
        <v>212</v>
      </c>
      <c r="D202" s="69" t="str">
        <f>"202109120721"</f>
        <v>202109120721</v>
      </c>
      <c r="E202" s="69" t="str">
        <f t="shared" si="6"/>
        <v>07</v>
      </c>
      <c r="F202" s="69" t="str">
        <f>"21"</f>
        <v>21</v>
      </c>
      <c r="G202" s="69" t="s">
        <v>9</v>
      </c>
    </row>
    <row r="203" spans="1:7" ht="19.5" customHeight="1">
      <c r="A203" s="69">
        <v>202</v>
      </c>
      <c r="B203" s="69" t="s">
        <v>182</v>
      </c>
      <c r="C203" s="69" t="s">
        <v>213</v>
      </c>
      <c r="D203" s="69" t="str">
        <f>"202109120722"</f>
        <v>202109120722</v>
      </c>
      <c r="E203" s="69" t="str">
        <f t="shared" si="6"/>
        <v>07</v>
      </c>
      <c r="F203" s="69" t="str">
        <f>"22"</f>
        <v>22</v>
      </c>
      <c r="G203" s="69" t="s">
        <v>9</v>
      </c>
    </row>
    <row r="204" spans="1:7" ht="19.5" customHeight="1">
      <c r="A204" s="69">
        <v>203</v>
      </c>
      <c r="B204" s="69" t="s">
        <v>182</v>
      </c>
      <c r="C204" s="69" t="s">
        <v>214</v>
      </c>
      <c r="D204" s="69" t="str">
        <f>"202109120723"</f>
        <v>202109120723</v>
      </c>
      <c r="E204" s="69" t="str">
        <f t="shared" si="6"/>
        <v>07</v>
      </c>
      <c r="F204" s="69" t="str">
        <f>"23"</f>
        <v>23</v>
      </c>
      <c r="G204" s="69" t="s">
        <v>9</v>
      </c>
    </row>
    <row r="205" spans="1:7" ht="19.5" customHeight="1">
      <c r="A205" s="69">
        <v>204</v>
      </c>
      <c r="B205" s="69" t="s">
        <v>182</v>
      </c>
      <c r="C205" s="69" t="s">
        <v>215</v>
      </c>
      <c r="D205" s="69" t="str">
        <f>"202109120724"</f>
        <v>202109120724</v>
      </c>
      <c r="E205" s="69" t="str">
        <f t="shared" si="6"/>
        <v>07</v>
      </c>
      <c r="F205" s="69" t="str">
        <f>"24"</f>
        <v>24</v>
      </c>
      <c r="G205" s="69" t="s">
        <v>9</v>
      </c>
    </row>
    <row r="206" spans="1:7" ht="19.5" customHeight="1">
      <c r="A206" s="69">
        <v>205</v>
      </c>
      <c r="B206" s="69" t="s">
        <v>182</v>
      </c>
      <c r="C206" s="69" t="s">
        <v>216</v>
      </c>
      <c r="D206" s="69" t="str">
        <f>"202109120725"</f>
        <v>202109120725</v>
      </c>
      <c r="E206" s="69" t="str">
        <f t="shared" si="6"/>
        <v>07</v>
      </c>
      <c r="F206" s="69" t="str">
        <f>"25"</f>
        <v>25</v>
      </c>
      <c r="G206" s="69" t="s">
        <v>9</v>
      </c>
    </row>
    <row r="207" spans="1:7" ht="19.5" customHeight="1">
      <c r="A207" s="69">
        <v>206</v>
      </c>
      <c r="B207" s="69" t="s">
        <v>182</v>
      </c>
      <c r="C207" s="69" t="s">
        <v>217</v>
      </c>
      <c r="D207" s="69" t="str">
        <f>"202109120726"</f>
        <v>202109120726</v>
      </c>
      <c r="E207" s="69" t="str">
        <f t="shared" si="6"/>
        <v>07</v>
      </c>
      <c r="F207" s="69" t="str">
        <f>"26"</f>
        <v>26</v>
      </c>
      <c r="G207" s="69" t="s">
        <v>9</v>
      </c>
    </row>
    <row r="208" spans="1:7" ht="19.5" customHeight="1">
      <c r="A208" s="69">
        <v>207</v>
      </c>
      <c r="B208" s="69" t="s">
        <v>182</v>
      </c>
      <c r="C208" s="69" t="s">
        <v>218</v>
      </c>
      <c r="D208" s="69" t="str">
        <f>"202109120727"</f>
        <v>202109120727</v>
      </c>
      <c r="E208" s="69" t="str">
        <f t="shared" si="6"/>
        <v>07</v>
      </c>
      <c r="F208" s="69" t="str">
        <f>"27"</f>
        <v>27</v>
      </c>
      <c r="G208" s="69" t="s">
        <v>9</v>
      </c>
    </row>
    <row r="209" spans="1:7" ht="19.5" customHeight="1">
      <c r="A209" s="69">
        <v>208</v>
      </c>
      <c r="B209" s="69" t="s">
        <v>182</v>
      </c>
      <c r="C209" s="69" t="s">
        <v>219</v>
      </c>
      <c r="D209" s="69" t="str">
        <f>"202109120728"</f>
        <v>202109120728</v>
      </c>
      <c r="E209" s="69" t="str">
        <f t="shared" si="6"/>
        <v>07</v>
      </c>
      <c r="F209" s="69" t="str">
        <f>"28"</f>
        <v>28</v>
      </c>
      <c r="G209" s="69" t="s">
        <v>9</v>
      </c>
    </row>
    <row r="210" spans="1:7" ht="19.5" customHeight="1">
      <c r="A210" s="69">
        <v>209</v>
      </c>
      <c r="B210" s="69" t="s">
        <v>182</v>
      </c>
      <c r="C210" s="69" t="s">
        <v>220</v>
      </c>
      <c r="D210" s="69" t="str">
        <f>"202109120729"</f>
        <v>202109120729</v>
      </c>
      <c r="E210" s="69" t="str">
        <f t="shared" si="6"/>
        <v>07</v>
      </c>
      <c r="F210" s="69" t="str">
        <f>"29"</f>
        <v>29</v>
      </c>
      <c r="G210" s="69" t="s">
        <v>9</v>
      </c>
    </row>
    <row r="211" spans="1:7" ht="19.5" customHeight="1">
      <c r="A211" s="69">
        <v>210</v>
      </c>
      <c r="B211" s="69" t="s">
        <v>182</v>
      </c>
      <c r="C211" s="69" t="s">
        <v>221</v>
      </c>
      <c r="D211" s="69" t="str">
        <f>"202109120730"</f>
        <v>202109120730</v>
      </c>
      <c r="E211" s="69" t="str">
        <f t="shared" si="6"/>
        <v>07</v>
      </c>
      <c r="F211" s="69" t="str">
        <f>"30"</f>
        <v>30</v>
      </c>
      <c r="G211" s="69" t="s">
        <v>9</v>
      </c>
    </row>
    <row r="212" spans="1:7" ht="19.5" customHeight="1">
      <c r="A212" s="69">
        <v>211</v>
      </c>
      <c r="B212" s="69" t="s">
        <v>182</v>
      </c>
      <c r="C212" s="69" t="s">
        <v>222</v>
      </c>
      <c r="D212" s="69" t="str">
        <f>"202109120801"</f>
        <v>202109120801</v>
      </c>
      <c r="E212" s="69" t="str">
        <f aca="true" t="shared" si="7" ref="E212:E241">"08"</f>
        <v>08</v>
      </c>
      <c r="F212" s="69" t="str">
        <f>"01"</f>
        <v>01</v>
      </c>
      <c r="G212" s="69" t="s">
        <v>9</v>
      </c>
    </row>
    <row r="213" spans="1:7" ht="19.5" customHeight="1">
      <c r="A213" s="69">
        <v>212</v>
      </c>
      <c r="B213" s="69" t="s">
        <v>182</v>
      </c>
      <c r="C213" s="69" t="s">
        <v>223</v>
      </c>
      <c r="D213" s="69" t="str">
        <f>"202109120802"</f>
        <v>202109120802</v>
      </c>
      <c r="E213" s="69" t="str">
        <f t="shared" si="7"/>
        <v>08</v>
      </c>
      <c r="F213" s="69" t="str">
        <f>"02"</f>
        <v>02</v>
      </c>
      <c r="G213" s="69" t="s">
        <v>9</v>
      </c>
    </row>
    <row r="214" spans="1:7" ht="19.5" customHeight="1">
      <c r="A214" s="69">
        <v>213</v>
      </c>
      <c r="B214" s="69" t="s">
        <v>182</v>
      </c>
      <c r="C214" s="69" t="s">
        <v>224</v>
      </c>
      <c r="D214" s="69" t="str">
        <f>"202109120803"</f>
        <v>202109120803</v>
      </c>
      <c r="E214" s="69" t="str">
        <f t="shared" si="7"/>
        <v>08</v>
      </c>
      <c r="F214" s="69" t="str">
        <f>"03"</f>
        <v>03</v>
      </c>
      <c r="G214" s="69" t="s">
        <v>9</v>
      </c>
    </row>
    <row r="215" spans="1:7" ht="19.5" customHeight="1">
      <c r="A215" s="69">
        <v>214</v>
      </c>
      <c r="B215" s="69" t="s">
        <v>182</v>
      </c>
      <c r="C215" s="69" t="s">
        <v>225</v>
      </c>
      <c r="D215" s="69" t="str">
        <f>"202109120804"</f>
        <v>202109120804</v>
      </c>
      <c r="E215" s="69" t="str">
        <f t="shared" si="7"/>
        <v>08</v>
      </c>
      <c r="F215" s="69" t="str">
        <f>"04"</f>
        <v>04</v>
      </c>
      <c r="G215" s="69" t="s">
        <v>9</v>
      </c>
    </row>
    <row r="216" spans="1:7" ht="19.5" customHeight="1">
      <c r="A216" s="69">
        <v>215</v>
      </c>
      <c r="B216" s="69" t="s">
        <v>182</v>
      </c>
      <c r="C216" s="69" t="s">
        <v>226</v>
      </c>
      <c r="D216" s="69" t="str">
        <f>"202109120805"</f>
        <v>202109120805</v>
      </c>
      <c r="E216" s="69" t="str">
        <f t="shared" si="7"/>
        <v>08</v>
      </c>
      <c r="F216" s="69" t="str">
        <f>"05"</f>
        <v>05</v>
      </c>
      <c r="G216" s="69" t="s">
        <v>9</v>
      </c>
    </row>
    <row r="217" spans="1:7" ht="19.5" customHeight="1">
      <c r="A217" s="69">
        <v>216</v>
      </c>
      <c r="B217" s="69" t="s">
        <v>182</v>
      </c>
      <c r="C217" s="69" t="s">
        <v>227</v>
      </c>
      <c r="D217" s="69" t="str">
        <f>"202109120806"</f>
        <v>202109120806</v>
      </c>
      <c r="E217" s="69" t="str">
        <f t="shared" si="7"/>
        <v>08</v>
      </c>
      <c r="F217" s="69" t="str">
        <f>"06"</f>
        <v>06</v>
      </c>
      <c r="G217" s="69" t="s">
        <v>9</v>
      </c>
    </row>
    <row r="218" spans="1:7" ht="19.5" customHeight="1">
      <c r="A218" s="69">
        <v>217</v>
      </c>
      <c r="B218" s="69" t="s">
        <v>182</v>
      </c>
      <c r="C218" s="69" t="s">
        <v>228</v>
      </c>
      <c r="D218" s="69" t="str">
        <f>"202109120807"</f>
        <v>202109120807</v>
      </c>
      <c r="E218" s="69" t="str">
        <f t="shared" si="7"/>
        <v>08</v>
      </c>
      <c r="F218" s="69" t="str">
        <f>"07"</f>
        <v>07</v>
      </c>
      <c r="G218" s="69" t="s">
        <v>9</v>
      </c>
    </row>
    <row r="219" spans="1:7" ht="19.5" customHeight="1">
      <c r="A219" s="69">
        <v>218</v>
      </c>
      <c r="B219" s="69" t="s">
        <v>182</v>
      </c>
      <c r="C219" s="69" t="s">
        <v>229</v>
      </c>
      <c r="D219" s="69" t="str">
        <f>"202109120808"</f>
        <v>202109120808</v>
      </c>
      <c r="E219" s="69" t="str">
        <f t="shared" si="7"/>
        <v>08</v>
      </c>
      <c r="F219" s="69" t="str">
        <f>"08"</f>
        <v>08</v>
      </c>
      <c r="G219" s="69" t="s">
        <v>9</v>
      </c>
    </row>
    <row r="220" spans="1:7" ht="19.5" customHeight="1">
      <c r="A220" s="69">
        <v>219</v>
      </c>
      <c r="B220" s="69" t="s">
        <v>182</v>
      </c>
      <c r="C220" s="69" t="s">
        <v>230</v>
      </c>
      <c r="D220" s="69" t="str">
        <f>"202109120809"</f>
        <v>202109120809</v>
      </c>
      <c r="E220" s="69" t="str">
        <f t="shared" si="7"/>
        <v>08</v>
      </c>
      <c r="F220" s="69" t="str">
        <f>"09"</f>
        <v>09</v>
      </c>
      <c r="G220" s="69" t="s">
        <v>9</v>
      </c>
    </row>
    <row r="221" spans="1:7" ht="19.5" customHeight="1">
      <c r="A221" s="69">
        <v>220</v>
      </c>
      <c r="B221" s="69" t="s">
        <v>182</v>
      </c>
      <c r="C221" s="69" t="s">
        <v>231</v>
      </c>
      <c r="D221" s="69" t="str">
        <f>"202109120810"</f>
        <v>202109120810</v>
      </c>
      <c r="E221" s="69" t="str">
        <f t="shared" si="7"/>
        <v>08</v>
      </c>
      <c r="F221" s="69" t="str">
        <f>"10"</f>
        <v>10</v>
      </c>
      <c r="G221" s="69" t="s">
        <v>9</v>
      </c>
    </row>
    <row r="222" spans="1:7" ht="19.5" customHeight="1">
      <c r="A222" s="69">
        <v>221</v>
      </c>
      <c r="B222" s="69" t="s">
        <v>182</v>
      </c>
      <c r="C222" s="69" t="s">
        <v>232</v>
      </c>
      <c r="D222" s="69" t="str">
        <f>"202109120811"</f>
        <v>202109120811</v>
      </c>
      <c r="E222" s="69" t="str">
        <f t="shared" si="7"/>
        <v>08</v>
      </c>
      <c r="F222" s="69" t="str">
        <f>"11"</f>
        <v>11</v>
      </c>
      <c r="G222" s="69" t="s">
        <v>9</v>
      </c>
    </row>
    <row r="223" spans="1:7" ht="19.5" customHeight="1">
      <c r="A223" s="69">
        <v>222</v>
      </c>
      <c r="B223" s="69" t="s">
        <v>182</v>
      </c>
      <c r="C223" s="69" t="s">
        <v>233</v>
      </c>
      <c r="D223" s="69" t="str">
        <f>"202109120812"</f>
        <v>202109120812</v>
      </c>
      <c r="E223" s="69" t="str">
        <f t="shared" si="7"/>
        <v>08</v>
      </c>
      <c r="F223" s="69" t="str">
        <f>"12"</f>
        <v>12</v>
      </c>
      <c r="G223" s="69" t="s">
        <v>9</v>
      </c>
    </row>
    <row r="224" spans="1:7" ht="19.5" customHeight="1">
      <c r="A224" s="69">
        <v>223</v>
      </c>
      <c r="B224" s="69" t="s">
        <v>182</v>
      </c>
      <c r="C224" s="69" t="s">
        <v>234</v>
      </c>
      <c r="D224" s="69" t="str">
        <f>"202109120813"</f>
        <v>202109120813</v>
      </c>
      <c r="E224" s="69" t="str">
        <f t="shared" si="7"/>
        <v>08</v>
      </c>
      <c r="F224" s="69" t="str">
        <f>"13"</f>
        <v>13</v>
      </c>
      <c r="G224" s="69" t="s">
        <v>9</v>
      </c>
    </row>
    <row r="225" spans="1:7" ht="19.5" customHeight="1">
      <c r="A225" s="69">
        <v>224</v>
      </c>
      <c r="B225" s="69" t="s">
        <v>182</v>
      </c>
      <c r="C225" s="69" t="s">
        <v>235</v>
      </c>
      <c r="D225" s="69" t="str">
        <f>"202109120814"</f>
        <v>202109120814</v>
      </c>
      <c r="E225" s="69" t="str">
        <f t="shared" si="7"/>
        <v>08</v>
      </c>
      <c r="F225" s="69" t="str">
        <f>"14"</f>
        <v>14</v>
      </c>
      <c r="G225" s="69" t="s">
        <v>9</v>
      </c>
    </row>
    <row r="226" spans="1:7" ht="19.5" customHeight="1">
      <c r="A226" s="69">
        <v>225</v>
      </c>
      <c r="B226" s="69" t="s">
        <v>182</v>
      </c>
      <c r="C226" s="69" t="s">
        <v>236</v>
      </c>
      <c r="D226" s="69" t="str">
        <f>"202109120815"</f>
        <v>202109120815</v>
      </c>
      <c r="E226" s="69" t="str">
        <f t="shared" si="7"/>
        <v>08</v>
      </c>
      <c r="F226" s="69" t="str">
        <f>"15"</f>
        <v>15</v>
      </c>
      <c r="G226" s="69" t="s">
        <v>9</v>
      </c>
    </row>
    <row r="227" spans="1:7" ht="19.5" customHeight="1">
      <c r="A227" s="69">
        <v>226</v>
      </c>
      <c r="B227" s="69" t="s">
        <v>182</v>
      </c>
      <c r="C227" s="69" t="s">
        <v>237</v>
      </c>
      <c r="D227" s="69" t="str">
        <f>"202109120816"</f>
        <v>202109120816</v>
      </c>
      <c r="E227" s="69" t="str">
        <f t="shared" si="7"/>
        <v>08</v>
      </c>
      <c r="F227" s="69" t="str">
        <f>"16"</f>
        <v>16</v>
      </c>
      <c r="G227" s="69" t="s">
        <v>9</v>
      </c>
    </row>
    <row r="228" spans="1:7" ht="19.5" customHeight="1">
      <c r="A228" s="69">
        <v>227</v>
      </c>
      <c r="B228" s="69" t="s">
        <v>182</v>
      </c>
      <c r="C228" s="69" t="s">
        <v>238</v>
      </c>
      <c r="D228" s="69" t="str">
        <f>"202109120817"</f>
        <v>202109120817</v>
      </c>
      <c r="E228" s="69" t="str">
        <f t="shared" si="7"/>
        <v>08</v>
      </c>
      <c r="F228" s="69" t="str">
        <f>"17"</f>
        <v>17</v>
      </c>
      <c r="G228" s="69" t="s">
        <v>9</v>
      </c>
    </row>
    <row r="229" spans="1:7" ht="19.5" customHeight="1">
      <c r="A229" s="69">
        <v>228</v>
      </c>
      <c r="B229" s="69" t="s">
        <v>182</v>
      </c>
      <c r="C229" s="69" t="s">
        <v>239</v>
      </c>
      <c r="D229" s="69" t="str">
        <f>"202109120818"</f>
        <v>202109120818</v>
      </c>
      <c r="E229" s="69" t="str">
        <f t="shared" si="7"/>
        <v>08</v>
      </c>
      <c r="F229" s="69" t="str">
        <f>"18"</f>
        <v>18</v>
      </c>
      <c r="G229" s="69" t="s">
        <v>9</v>
      </c>
    </row>
    <row r="230" spans="1:7" ht="19.5" customHeight="1">
      <c r="A230" s="69">
        <v>229</v>
      </c>
      <c r="B230" s="69" t="s">
        <v>182</v>
      </c>
      <c r="C230" s="69" t="s">
        <v>240</v>
      </c>
      <c r="D230" s="69" t="str">
        <f>"202109120819"</f>
        <v>202109120819</v>
      </c>
      <c r="E230" s="69" t="str">
        <f t="shared" si="7"/>
        <v>08</v>
      </c>
      <c r="F230" s="69" t="str">
        <f>"19"</f>
        <v>19</v>
      </c>
      <c r="G230" s="69" t="s">
        <v>9</v>
      </c>
    </row>
    <row r="231" spans="1:7" ht="19.5" customHeight="1">
      <c r="A231" s="69">
        <v>230</v>
      </c>
      <c r="B231" s="69" t="s">
        <v>182</v>
      </c>
      <c r="C231" s="69" t="s">
        <v>241</v>
      </c>
      <c r="D231" s="69" t="str">
        <f>"202109120820"</f>
        <v>202109120820</v>
      </c>
      <c r="E231" s="69" t="str">
        <f t="shared" si="7"/>
        <v>08</v>
      </c>
      <c r="F231" s="69" t="str">
        <f>"20"</f>
        <v>20</v>
      </c>
      <c r="G231" s="69" t="s">
        <v>9</v>
      </c>
    </row>
    <row r="232" spans="1:7" ht="19.5" customHeight="1">
      <c r="A232" s="69">
        <v>231</v>
      </c>
      <c r="B232" s="69" t="s">
        <v>182</v>
      </c>
      <c r="C232" s="69" t="s">
        <v>242</v>
      </c>
      <c r="D232" s="69" t="str">
        <f>"202109120821"</f>
        <v>202109120821</v>
      </c>
      <c r="E232" s="69" t="str">
        <f t="shared" si="7"/>
        <v>08</v>
      </c>
      <c r="F232" s="69" t="str">
        <f>"21"</f>
        <v>21</v>
      </c>
      <c r="G232" s="69" t="s">
        <v>9</v>
      </c>
    </row>
    <row r="233" spans="1:7" ht="19.5" customHeight="1">
      <c r="A233" s="69">
        <v>232</v>
      </c>
      <c r="B233" s="69" t="s">
        <v>182</v>
      </c>
      <c r="C233" s="69" t="s">
        <v>243</v>
      </c>
      <c r="D233" s="69" t="str">
        <f>"202109120822"</f>
        <v>202109120822</v>
      </c>
      <c r="E233" s="69" t="str">
        <f t="shared" si="7"/>
        <v>08</v>
      </c>
      <c r="F233" s="69" t="str">
        <f>"22"</f>
        <v>22</v>
      </c>
      <c r="G233" s="69" t="s">
        <v>9</v>
      </c>
    </row>
    <row r="234" spans="1:7" ht="19.5" customHeight="1">
      <c r="A234" s="69">
        <v>233</v>
      </c>
      <c r="B234" s="69" t="s">
        <v>182</v>
      </c>
      <c r="C234" s="69" t="s">
        <v>244</v>
      </c>
      <c r="D234" s="69" t="str">
        <f>"202109120823"</f>
        <v>202109120823</v>
      </c>
      <c r="E234" s="69" t="str">
        <f t="shared" si="7"/>
        <v>08</v>
      </c>
      <c r="F234" s="69" t="str">
        <f>"23"</f>
        <v>23</v>
      </c>
      <c r="G234" s="69" t="s">
        <v>9</v>
      </c>
    </row>
    <row r="235" spans="1:7" ht="19.5" customHeight="1">
      <c r="A235" s="69">
        <v>234</v>
      </c>
      <c r="B235" s="69" t="s">
        <v>182</v>
      </c>
      <c r="C235" s="69" t="s">
        <v>245</v>
      </c>
      <c r="D235" s="69" t="str">
        <f>"202109120824"</f>
        <v>202109120824</v>
      </c>
      <c r="E235" s="69" t="str">
        <f t="shared" si="7"/>
        <v>08</v>
      </c>
      <c r="F235" s="69" t="str">
        <f>"24"</f>
        <v>24</v>
      </c>
      <c r="G235" s="69" t="s">
        <v>9</v>
      </c>
    </row>
    <row r="236" spans="1:7" ht="19.5" customHeight="1">
      <c r="A236" s="69">
        <v>235</v>
      </c>
      <c r="B236" s="69" t="s">
        <v>182</v>
      </c>
      <c r="C236" s="69" t="s">
        <v>246</v>
      </c>
      <c r="D236" s="69" t="str">
        <f>"202109120825"</f>
        <v>202109120825</v>
      </c>
      <c r="E236" s="69" t="str">
        <f t="shared" si="7"/>
        <v>08</v>
      </c>
      <c r="F236" s="69" t="str">
        <f>"25"</f>
        <v>25</v>
      </c>
      <c r="G236" s="69" t="s">
        <v>9</v>
      </c>
    </row>
    <row r="237" spans="1:7" ht="19.5" customHeight="1">
      <c r="A237" s="69">
        <v>236</v>
      </c>
      <c r="B237" s="69" t="s">
        <v>182</v>
      </c>
      <c r="C237" s="69" t="s">
        <v>247</v>
      </c>
      <c r="D237" s="69" t="str">
        <f>"202109120826"</f>
        <v>202109120826</v>
      </c>
      <c r="E237" s="69" t="str">
        <f t="shared" si="7"/>
        <v>08</v>
      </c>
      <c r="F237" s="69" t="str">
        <f>"26"</f>
        <v>26</v>
      </c>
      <c r="G237" s="69" t="s">
        <v>9</v>
      </c>
    </row>
    <row r="238" spans="1:7" ht="19.5" customHeight="1">
      <c r="A238" s="69">
        <v>237</v>
      </c>
      <c r="B238" s="69" t="s">
        <v>182</v>
      </c>
      <c r="C238" s="69" t="s">
        <v>248</v>
      </c>
      <c r="D238" s="69" t="str">
        <f>"202109120827"</f>
        <v>202109120827</v>
      </c>
      <c r="E238" s="69" t="str">
        <f t="shared" si="7"/>
        <v>08</v>
      </c>
      <c r="F238" s="69" t="str">
        <f>"27"</f>
        <v>27</v>
      </c>
      <c r="G238" s="69" t="s">
        <v>9</v>
      </c>
    </row>
    <row r="239" spans="1:7" ht="19.5" customHeight="1">
      <c r="A239" s="69">
        <v>238</v>
      </c>
      <c r="B239" s="69" t="s">
        <v>182</v>
      </c>
      <c r="C239" s="69" t="s">
        <v>249</v>
      </c>
      <c r="D239" s="69" t="str">
        <f>"202109120828"</f>
        <v>202109120828</v>
      </c>
      <c r="E239" s="69" t="str">
        <f t="shared" si="7"/>
        <v>08</v>
      </c>
      <c r="F239" s="69" t="str">
        <f>"28"</f>
        <v>28</v>
      </c>
      <c r="G239" s="69" t="s">
        <v>9</v>
      </c>
    </row>
    <row r="240" spans="1:7" ht="19.5" customHeight="1">
      <c r="A240" s="69">
        <v>239</v>
      </c>
      <c r="B240" s="69" t="s">
        <v>182</v>
      </c>
      <c r="C240" s="69" t="s">
        <v>250</v>
      </c>
      <c r="D240" s="69" t="str">
        <f>"202109120829"</f>
        <v>202109120829</v>
      </c>
      <c r="E240" s="69" t="str">
        <f t="shared" si="7"/>
        <v>08</v>
      </c>
      <c r="F240" s="69" t="str">
        <f>"29"</f>
        <v>29</v>
      </c>
      <c r="G240" s="69" t="s">
        <v>9</v>
      </c>
    </row>
    <row r="241" spans="1:7" ht="19.5" customHeight="1">
      <c r="A241" s="69">
        <v>240</v>
      </c>
      <c r="B241" s="69" t="s">
        <v>182</v>
      </c>
      <c r="C241" s="69" t="s">
        <v>251</v>
      </c>
      <c r="D241" s="69" t="str">
        <f>"202109120830"</f>
        <v>202109120830</v>
      </c>
      <c r="E241" s="69" t="str">
        <f t="shared" si="7"/>
        <v>08</v>
      </c>
      <c r="F241" s="69" t="str">
        <f>"30"</f>
        <v>30</v>
      </c>
      <c r="G241" s="69" t="s">
        <v>9</v>
      </c>
    </row>
    <row r="242" spans="1:7" ht="19.5" customHeight="1">
      <c r="A242" s="69">
        <v>241</v>
      </c>
      <c r="B242" s="69" t="s">
        <v>182</v>
      </c>
      <c r="C242" s="69" t="s">
        <v>252</v>
      </c>
      <c r="D242" s="69" t="str">
        <f>"202109120901"</f>
        <v>202109120901</v>
      </c>
      <c r="E242" s="69" t="str">
        <f aca="true" t="shared" si="8" ref="E242:E271">"09"</f>
        <v>09</v>
      </c>
      <c r="F242" s="69" t="str">
        <f>"01"</f>
        <v>01</v>
      </c>
      <c r="G242" s="69" t="s">
        <v>9</v>
      </c>
    </row>
    <row r="243" spans="1:7" ht="19.5" customHeight="1">
      <c r="A243" s="69">
        <v>242</v>
      </c>
      <c r="B243" s="69" t="s">
        <v>182</v>
      </c>
      <c r="C243" s="69" t="s">
        <v>253</v>
      </c>
      <c r="D243" s="69" t="str">
        <f>"202109120902"</f>
        <v>202109120902</v>
      </c>
      <c r="E243" s="69" t="str">
        <f t="shared" si="8"/>
        <v>09</v>
      </c>
      <c r="F243" s="69" t="str">
        <f>"02"</f>
        <v>02</v>
      </c>
      <c r="G243" s="69" t="s">
        <v>9</v>
      </c>
    </row>
    <row r="244" spans="1:7" ht="19.5" customHeight="1">
      <c r="A244" s="69">
        <v>243</v>
      </c>
      <c r="B244" s="69" t="s">
        <v>182</v>
      </c>
      <c r="C244" s="69" t="s">
        <v>254</v>
      </c>
      <c r="D244" s="69" t="str">
        <f>"202109120903"</f>
        <v>202109120903</v>
      </c>
      <c r="E244" s="69" t="str">
        <f t="shared" si="8"/>
        <v>09</v>
      </c>
      <c r="F244" s="69" t="str">
        <f>"03"</f>
        <v>03</v>
      </c>
      <c r="G244" s="69" t="s">
        <v>9</v>
      </c>
    </row>
    <row r="245" spans="1:7" ht="19.5" customHeight="1">
      <c r="A245" s="69">
        <v>244</v>
      </c>
      <c r="B245" s="69" t="s">
        <v>182</v>
      </c>
      <c r="C245" s="69" t="s">
        <v>255</v>
      </c>
      <c r="D245" s="69" t="str">
        <f>"202109120904"</f>
        <v>202109120904</v>
      </c>
      <c r="E245" s="69" t="str">
        <f t="shared" si="8"/>
        <v>09</v>
      </c>
      <c r="F245" s="69" t="str">
        <f>"04"</f>
        <v>04</v>
      </c>
      <c r="G245" s="69" t="s">
        <v>9</v>
      </c>
    </row>
    <row r="246" spans="1:7" ht="19.5" customHeight="1">
      <c r="A246" s="69">
        <v>245</v>
      </c>
      <c r="B246" s="69" t="s">
        <v>182</v>
      </c>
      <c r="C246" s="69" t="s">
        <v>256</v>
      </c>
      <c r="D246" s="69" t="str">
        <f>"202109120905"</f>
        <v>202109120905</v>
      </c>
      <c r="E246" s="69" t="str">
        <f t="shared" si="8"/>
        <v>09</v>
      </c>
      <c r="F246" s="69" t="str">
        <f>"05"</f>
        <v>05</v>
      </c>
      <c r="G246" s="69" t="s">
        <v>9</v>
      </c>
    </row>
    <row r="247" spans="1:7" ht="19.5" customHeight="1">
      <c r="A247" s="69">
        <v>246</v>
      </c>
      <c r="B247" s="69" t="s">
        <v>182</v>
      </c>
      <c r="C247" s="69" t="s">
        <v>257</v>
      </c>
      <c r="D247" s="69" t="str">
        <f>"202109120906"</f>
        <v>202109120906</v>
      </c>
      <c r="E247" s="69" t="str">
        <f t="shared" si="8"/>
        <v>09</v>
      </c>
      <c r="F247" s="69" t="str">
        <f>"06"</f>
        <v>06</v>
      </c>
      <c r="G247" s="69" t="s">
        <v>9</v>
      </c>
    </row>
    <row r="248" spans="1:7" ht="19.5" customHeight="1">
      <c r="A248" s="69">
        <v>247</v>
      </c>
      <c r="B248" s="69" t="s">
        <v>182</v>
      </c>
      <c r="C248" s="69" t="s">
        <v>258</v>
      </c>
      <c r="D248" s="69" t="str">
        <f>"202109120907"</f>
        <v>202109120907</v>
      </c>
      <c r="E248" s="69" t="str">
        <f t="shared" si="8"/>
        <v>09</v>
      </c>
      <c r="F248" s="69" t="str">
        <f>"07"</f>
        <v>07</v>
      </c>
      <c r="G248" s="69" t="s">
        <v>9</v>
      </c>
    </row>
    <row r="249" spans="1:7" ht="19.5" customHeight="1">
      <c r="A249" s="69">
        <v>248</v>
      </c>
      <c r="B249" s="69" t="s">
        <v>182</v>
      </c>
      <c r="C249" s="69" t="s">
        <v>259</v>
      </c>
      <c r="D249" s="69" t="str">
        <f>"202109120908"</f>
        <v>202109120908</v>
      </c>
      <c r="E249" s="69" t="str">
        <f t="shared" si="8"/>
        <v>09</v>
      </c>
      <c r="F249" s="69" t="str">
        <f>"08"</f>
        <v>08</v>
      </c>
      <c r="G249" s="69" t="s">
        <v>9</v>
      </c>
    </row>
    <row r="250" spans="1:7" ht="19.5" customHeight="1">
      <c r="A250" s="69">
        <v>249</v>
      </c>
      <c r="B250" s="69" t="s">
        <v>182</v>
      </c>
      <c r="C250" s="69" t="s">
        <v>260</v>
      </c>
      <c r="D250" s="69" t="str">
        <f>"202109120909"</f>
        <v>202109120909</v>
      </c>
      <c r="E250" s="69" t="str">
        <f t="shared" si="8"/>
        <v>09</v>
      </c>
      <c r="F250" s="69" t="str">
        <f>"09"</f>
        <v>09</v>
      </c>
      <c r="G250" s="69" t="s">
        <v>9</v>
      </c>
    </row>
    <row r="251" spans="1:7" ht="19.5" customHeight="1">
      <c r="A251" s="69">
        <v>250</v>
      </c>
      <c r="B251" s="69" t="s">
        <v>182</v>
      </c>
      <c r="C251" s="69" t="s">
        <v>261</v>
      </c>
      <c r="D251" s="69" t="str">
        <f>"202109120910"</f>
        <v>202109120910</v>
      </c>
      <c r="E251" s="69" t="str">
        <f t="shared" si="8"/>
        <v>09</v>
      </c>
      <c r="F251" s="69" t="str">
        <f>"10"</f>
        <v>10</v>
      </c>
      <c r="G251" s="69" t="s">
        <v>9</v>
      </c>
    </row>
    <row r="252" spans="1:7" ht="19.5" customHeight="1">
      <c r="A252" s="69">
        <v>251</v>
      </c>
      <c r="B252" s="69" t="s">
        <v>182</v>
      </c>
      <c r="C252" s="69" t="s">
        <v>262</v>
      </c>
      <c r="D252" s="69" t="str">
        <f>"202109120911"</f>
        <v>202109120911</v>
      </c>
      <c r="E252" s="69" t="str">
        <f t="shared" si="8"/>
        <v>09</v>
      </c>
      <c r="F252" s="69" t="str">
        <f>"11"</f>
        <v>11</v>
      </c>
      <c r="G252" s="69" t="s">
        <v>9</v>
      </c>
    </row>
    <row r="253" spans="1:7" ht="19.5" customHeight="1">
      <c r="A253" s="69">
        <v>252</v>
      </c>
      <c r="B253" s="69" t="s">
        <v>182</v>
      </c>
      <c r="C253" s="69" t="s">
        <v>263</v>
      </c>
      <c r="D253" s="69" t="str">
        <f>"202109120912"</f>
        <v>202109120912</v>
      </c>
      <c r="E253" s="69" t="str">
        <f t="shared" si="8"/>
        <v>09</v>
      </c>
      <c r="F253" s="69" t="str">
        <f>"12"</f>
        <v>12</v>
      </c>
      <c r="G253" s="69" t="s">
        <v>9</v>
      </c>
    </row>
    <row r="254" spans="1:7" ht="19.5" customHeight="1">
      <c r="A254" s="69">
        <v>253</v>
      </c>
      <c r="B254" s="69" t="s">
        <v>182</v>
      </c>
      <c r="C254" s="69" t="s">
        <v>264</v>
      </c>
      <c r="D254" s="69" t="str">
        <f>"202109120913"</f>
        <v>202109120913</v>
      </c>
      <c r="E254" s="69" t="str">
        <f t="shared" si="8"/>
        <v>09</v>
      </c>
      <c r="F254" s="69" t="str">
        <f>"13"</f>
        <v>13</v>
      </c>
      <c r="G254" s="69" t="s">
        <v>9</v>
      </c>
    </row>
    <row r="255" spans="1:7" ht="19.5" customHeight="1">
      <c r="A255" s="69">
        <v>254</v>
      </c>
      <c r="B255" s="69" t="s">
        <v>182</v>
      </c>
      <c r="C255" s="69" t="s">
        <v>265</v>
      </c>
      <c r="D255" s="69" t="str">
        <f>"202109120914"</f>
        <v>202109120914</v>
      </c>
      <c r="E255" s="69" t="str">
        <f t="shared" si="8"/>
        <v>09</v>
      </c>
      <c r="F255" s="69" t="str">
        <f>"14"</f>
        <v>14</v>
      </c>
      <c r="G255" s="69" t="s">
        <v>9</v>
      </c>
    </row>
    <row r="256" spans="1:7" ht="19.5" customHeight="1">
      <c r="A256" s="69">
        <v>255</v>
      </c>
      <c r="B256" s="69" t="s">
        <v>182</v>
      </c>
      <c r="C256" s="69" t="s">
        <v>266</v>
      </c>
      <c r="D256" s="69" t="str">
        <f>"202109120915"</f>
        <v>202109120915</v>
      </c>
      <c r="E256" s="69" t="str">
        <f t="shared" si="8"/>
        <v>09</v>
      </c>
      <c r="F256" s="69" t="str">
        <f>"15"</f>
        <v>15</v>
      </c>
      <c r="G256" s="69" t="s">
        <v>9</v>
      </c>
    </row>
    <row r="257" spans="1:7" ht="19.5" customHeight="1">
      <c r="A257" s="69">
        <v>256</v>
      </c>
      <c r="B257" s="69" t="s">
        <v>182</v>
      </c>
      <c r="C257" s="69" t="s">
        <v>267</v>
      </c>
      <c r="D257" s="69" t="str">
        <f>"202109120916"</f>
        <v>202109120916</v>
      </c>
      <c r="E257" s="69" t="str">
        <f t="shared" si="8"/>
        <v>09</v>
      </c>
      <c r="F257" s="69" t="str">
        <f>"16"</f>
        <v>16</v>
      </c>
      <c r="G257" s="69" t="s">
        <v>9</v>
      </c>
    </row>
    <row r="258" spans="1:7" ht="19.5" customHeight="1">
      <c r="A258" s="69">
        <v>257</v>
      </c>
      <c r="B258" s="69" t="s">
        <v>182</v>
      </c>
      <c r="C258" s="69" t="s">
        <v>268</v>
      </c>
      <c r="D258" s="69" t="str">
        <f>"202109120917"</f>
        <v>202109120917</v>
      </c>
      <c r="E258" s="69" t="str">
        <f t="shared" si="8"/>
        <v>09</v>
      </c>
      <c r="F258" s="69" t="str">
        <f>"17"</f>
        <v>17</v>
      </c>
      <c r="G258" s="69" t="s">
        <v>9</v>
      </c>
    </row>
    <row r="259" spans="1:7" ht="19.5" customHeight="1">
      <c r="A259" s="69">
        <v>258</v>
      </c>
      <c r="B259" s="69" t="s">
        <v>182</v>
      </c>
      <c r="C259" s="69" t="s">
        <v>269</v>
      </c>
      <c r="D259" s="69" t="str">
        <f>"202109120918"</f>
        <v>202109120918</v>
      </c>
      <c r="E259" s="69" t="str">
        <f t="shared" si="8"/>
        <v>09</v>
      </c>
      <c r="F259" s="69" t="str">
        <f>"18"</f>
        <v>18</v>
      </c>
      <c r="G259" s="69" t="s">
        <v>9</v>
      </c>
    </row>
    <row r="260" spans="1:7" ht="19.5" customHeight="1">
      <c r="A260" s="69">
        <v>259</v>
      </c>
      <c r="B260" s="69" t="s">
        <v>182</v>
      </c>
      <c r="C260" s="69" t="s">
        <v>270</v>
      </c>
      <c r="D260" s="69" t="str">
        <f>"202109120919"</f>
        <v>202109120919</v>
      </c>
      <c r="E260" s="69" t="str">
        <f t="shared" si="8"/>
        <v>09</v>
      </c>
      <c r="F260" s="69" t="str">
        <f>"19"</f>
        <v>19</v>
      </c>
      <c r="G260" s="69" t="s">
        <v>9</v>
      </c>
    </row>
    <row r="261" spans="1:7" ht="19.5" customHeight="1">
      <c r="A261" s="69">
        <v>260</v>
      </c>
      <c r="B261" s="69" t="s">
        <v>182</v>
      </c>
      <c r="C261" s="69" t="s">
        <v>271</v>
      </c>
      <c r="D261" s="69" t="str">
        <f>"202109120920"</f>
        <v>202109120920</v>
      </c>
      <c r="E261" s="69" t="str">
        <f t="shared" si="8"/>
        <v>09</v>
      </c>
      <c r="F261" s="69" t="str">
        <f>"20"</f>
        <v>20</v>
      </c>
      <c r="G261" s="69" t="s">
        <v>9</v>
      </c>
    </row>
    <row r="262" spans="1:7" ht="19.5" customHeight="1">
      <c r="A262" s="69">
        <v>261</v>
      </c>
      <c r="B262" s="69" t="s">
        <v>182</v>
      </c>
      <c r="C262" s="69" t="s">
        <v>272</v>
      </c>
      <c r="D262" s="69" t="str">
        <f>"202109120921"</f>
        <v>202109120921</v>
      </c>
      <c r="E262" s="69" t="str">
        <f t="shared" si="8"/>
        <v>09</v>
      </c>
      <c r="F262" s="69" t="str">
        <f>"21"</f>
        <v>21</v>
      </c>
      <c r="G262" s="69" t="s">
        <v>9</v>
      </c>
    </row>
    <row r="263" spans="1:7" ht="19.5" customHeight="1">
      <c r="A263" s="69">
        <v>262</v>
      </c>
      <c r="B263" s="69" t="s">
        <v>182</v>
      </c>
      <c r="C263" s="69" t="s">
        <v>273</v>
      </c>
      <c r="D263" s="69" t="str">
        <f>"202109120922"</f>
        <v>202109120922</v>
      </c>
      <c r="E263" s="69" t="str">
        <f t="shared" si="8"/>
        <v>09</v>
      </c>
      <c r="F263" s="69" t="str">
        <f>"22"</f>
        <v>22</v>
      </c>
      <c r="G263" s="69" t="s">
        <v>9</v>
      </c>
    </row>
    <row r="264" spans="1:7" ht="19.5" customHeight="1">
      <c r="A264" s="69">
        <v>263</v>
      </c>
      <c r="B264" s="69" t="s">
        <v>182</v>
      </c>
      <c r="C264" s="69" t="s">
        <v>274</v>
      </c>
      <c r="D264" s="69" t="str">
        <f>"202109120923"</f>
        <v>202109120923</v>
      </c>
      <c r="E264" s="69" t="str">
        <f t="shared" si="8"/>
        <v>09</v>
      </c>
      <c r="F264" s="69" t="str">
        <f>"23"</f>
        <v>23</v>
      </c>
      <c r="G264" s="69" t="s">
        <v>9</v>
      </c>
    </row>
    <row r="265" spans="1:7" ht="19.5" customHeight="1">
      <c r="A265" s="69">
        <v>264</v>
      </c>
      <c r="B265" s="69" t="s">
        <v>182</v>
      </c>
      <c r="C265" s="69" t="s">
        <v>275</v>
      </c>
      <c r="D265" s="69" t="str">
        <f>"202109120924"</f>
        <v>202109120924</v>
      </c>
      <c r="E265" s="69" t="str">
        <f t="shared" si="8"/>
        <v>09</v>
      </c>
      <c r="F265" s="69" t="str">
        <f>"24"</f>
        <v>24</v>
      </c>
      <c r="G265" s="69" t="s">
        <v>9</v>
      </c>
    </row>
    <row r="266" spans="1:7" ht="19.5" customHeight="1">
      <c r="A266" s="69">
        <v>265</v>
      </c>
      <c r="B266" s="69" t="s">
        <v>182</v>
      </c>
      <c r="C266" s="69" t="s">
        <v>276</v>
      </c>
      <c r="D266" s="69" t="str">
        <f>"202109120925"</f>
        <v>202109120925</v>
      </c>
      <c r="E266" s="69" t="str">
        <f t="shared" si="8"/>
        <v>09</v>
      </c>
      <c r="F266" s="69" t="str">
        <f>"25"</f>
        <v>25</v>
      </c>
      <c r="G266" s="69" t="s">
        <v>9</v>
      </c>
    </row>
    <row r="267" spans="1:7" ht="19.5" customHeight="1">
      <c r="A267" s="69">
        <v>266</v>
      </c>
      <c r="B267" s="69" t="s">
        <v>182</v>
      </c>
      <c r="C267" s="69" t="s">
        <v>277</v>
      </c>
      <c r="D267" s="69" t="str">
        <f>"202109120926"</f>
        <v>202109120926</v>
      </c>
      <c r="E267" s="69" t="str">
        <f t="shared" si="8"/>
        <v>09</v>
      </c>
      <c r="F267" s="69" t="str">
        <f>"26"</f>
        <v>26</v>
      </c>
      <c r="G267" s="69" t="s">
        <v>9</v>
      </c>
    </row>
    <row r="268" spans="1:7" ht="19.5" customHeight="1">
      <c r="A268" s="69">
        <v>267</v>
      </c>
      <c r="B268" s="69" t="s">
        <v>182</v>
      </c>
      <c r="C268" s="69" t="s">
        <v>278</v>
      </c>
      <c r="D268" s="69" t="str">
        <f>"202109120927"</f>
        <v>202109120927</v>
      </c>
      <c r="E268" s="69" t="str">
        <f t="shared" si="8"/>
        <v>09</v>
      </c>
      <c r="F268" s="69" t="str">
        <f>"27"</f>
        <v>27</v>
      </c>
      <c r="G268" s="69" t="s">
        <v>9</v>
      </c>
    </row>
    <row r="269" spans="1:7" ht="19.5" customHeight="1">
      <c r="A269" s="69">
        <v>268</v>
      </c>
      <c r="B269" s="69" t="s">
        <v>182</v>
      </c>
      <c r="C269" s="69" t="s">
        <v>279</v>
      </c>
      <c r="D269" s="69" t="str">
        <f>"202109120928"</f>
        <v>202109120928</v>
      </c>
      <c r="E269" s="69" t="str">
        <f t="shared" si="8"/>
        <v>09</v>
      </c>
      <c r="F269" s="69" t="str">
        <f>"28"</f>
        <v>28</v>
      </c>
      <c r="G269" s="69" t="s">
        <v>9</v>
      </c>
    </row>
    <row r="270" spans="1:7" ht="19.5" customHeight="1">
      <c r="A270" s="69">
        <v>269</v>
      </c>
      <c r="B270" s="69" t="s">
        <v>182</v>
      </c>
      <c r="C270" s="69" t="s">
        <v>280</v>
      </c>
      <c r="D270" s="69" t="str">
        <f>"202109120929"</f>
        <v>202109120929</v>
      </c>
      <c r="E270" s="69" t="str">
        <f t="shared" si="8"/>
        <v>09</v>
      </c>
      <c r="F270" s="69" t="str">
        <f>"29"</f>
        <v>29</v>
      </c>
      <c r="G270" s="69" t="s">
        <v>9</v>
      </c>
    </row>
    <row r="271" spans="1:7" ht="19.5" customHeight="1">
      <c r="A271" s="69">
        <v>270</v>
      </c>
      <c r="B271" s="69" t="s">
        <v>182</v>
      </c>
      <c r="C271" s="69" t="s">
        <v>281</v>
      </c>
      <c r="D271" s="69" t="str">
        <f>"202109120930"</f>
        <v>202109120930</v>
      </c>
      <c r="E271" s="69" t="str">
        <f t="shared" si="8"/>
        <v>09</v>
      </c>
      <c r="F271" s="69" t="str">
        <f>"30"</f>
        <v>30</v>
      </c>
      <c r="G271" s="69" t="s">
        <v>9</v>
      </c>
    </row>
    <row r="272" spans="1:7" ht="19.5" customHeight="1">
      <c r="A272" s="69">
        <v>271</v>
      </c>
      <c r="B272" s="69" t="s">
        <v>182</v>
      </c>
      <c r="C272" s="69" t="s">
        <v>282</v>
      </c>
      <c r="D272" s="69" t="str">
        <f>"202109121001"</f>
        <v>202109121001</v>
      </c>
      <c r="E272" s="69" t="str">
        <f aca="true" t="shared" si="9" ref="E272:E301">"10"</f>
        <v>10</v>
      </c>
      <c r="F272" s="69" t="str">
        <f>"01"</f>
        <v>01</v>
      </c>
      <c r="G272" s="69" t="s">
        <v>9</v>
      </c>
    </row>
    <row r="273" spans="1:7" ht="19.5" customHeight="1">
      <c r="A273" s="69">
        <v>272</v>
      </c>
      <c r="B273" s="69" t="s">
        <v>182</v>
      </c>
      <c r="C273" s="69" t="s">
        <v>283</v>
      </c>
      <c r="D273" s="69" t="str">
        <f>"202109121002"</f>
        <v>202109121002</v>
      </c>
      <c r="E273" s="69" t="str">
        <f t="shared" si="9"/>
        <v>10</v>
      </c>
      <c r="F273" s="69" t="str">
        <f>"02"</f>
        <v>02</v>
      </c>
      <c r="G273" s="69" t="s">
        <v>9</v>
      </c>
    </row>
    <row r="274" spans="1:7" ht="19.5" customHeight="1">
      <c r="A274" s="69">
        <v>273</v>
      </c>
      <c r="B274" s="69" t="s">
        <v>182</v>
      </c>
      <c r="C274" s="69" t="s">
        <v>284</v>
      </c>
      <c r="D274" s="69" t="str">
        <f>"202109121003"</f>
        <v>202109121003</v>
      </c>
      <c r="E274" s="69" t="str">
        <f t="shared" si="9"/>
        <v>10</v>
      </c>
      <c r="F274" s="69" t="str">
        <f>"03"</f>
        <v>03</v>
      </c>
      <c r="G274" s="69" t="s">
        <v>9</v>
      </c>
    </row>
    <row r="275" spans="1:7" ht="19.5" customHeight="1">
      <c r="A275" s="69">
        <v>274</v>
      </c>
      <c r="B275" s="69" t="s">
        <v>182</v>
      </c>
      <c r="C275" s="69" t="s">
        <v>285</v>
      </c>
      <c r="D275" s="69" t="str">
        <f>"202109121004"</f>
        <v>202109121004</v>
      </c>
      <c r="E275" s="69" t="str">
        <f t="shared" si="9"/>
        <v>10</v>
      </c>
      <c r="F275" s="69" t="str">
        <f>"04"</f>
        <v>04</v>
      </c>
      <c r="G275" s="69" t="s">
        <v>9</v>
      </c>
    </row>
    <row r="276" spans="1:7" ht="19.5" customHeight="1">
      <c r="A276" s="69">
        <v>275</v>
      </c>
      <c r="B276" s="69" t="s">
        <v>182</v>
      </c>
      <c r="C276" s="69" t="s">
        <v>286</v>
      </c>
      <c r="D276" s="69" t="str">
        <f>"202109121005"</f>
        <v>202109121005</v>
      </c>
      <c r="E276" s="69" t="str">
        <f t="shared" si="9"/>
        <v>10</v>
      </c>
      <c r="F276" s="69" t="str">
        <f>"05"</f>
        <v>05</v>
      </c>
      <c r="G276" s="69" t="s">
        <v>9</v>
      </c>
    </row>
    <row r="277" spans="1:7" ht="19.5" customHeight="1">
      <c r="A277" s="69">
        <v>276</v>
      </c>
      <c r="B277" s="69" t="s">
        <v>182</v>
      </c>
      <c r="C277" s="69" t="s">
        <v>287</v>
      </c>
      <c r="D277" s="69" t="str">
        <f>"202109121006"</f>
        <v>202109121006</v>
      </c>
      <c r="E277" s="69" t="str">
        <f t="shared" si="9"/>
        <v>10</v>
      </c>
      <c r="F277" s="69" t="str">
        <f>"06"</f>
        <v>06</v>
      </c>
      <c r="G277" s="69" t="s">
        <v>9</v>
      </c>
    </row>
    <row r="278" spans="1:7" ht="19.5" customHeight="1">
      <c r="A278" s="69">
        <v>277</v>
      </c>
      <c r="B278" s="69" t="s">
        <v>182</v>
      </c>
      <c r="C278" s="69" t="s">
        <v>288</v>
      </c>
      <c r="D278" s="69" t="str">
        <f>"202109121007"</f>
        <v>202109121007</v>
      </c>
      <c r="E278" s="69" t="str">
        <f t="shared" si="9"/>
        <v>10</v>
      </c>
      <c r="F278" s="69" t="str">
        <f>"07"</f>
        <v>07</v>
      </c>
      <c r="G278" s="69" t="s">
        <v>9</v>
      </c>
    </row>
    <row r="279" spans="1:7" ht="19.5" customHeight="1">
      <c r="A279" s="69">
        <v>278</v>
      </c>
      <c r="B279" s="69" t="s">
        <v>182</v>
      </c>
      <c r="C279" s="69" t="s">
        <v>289</v>
      </c>
      <c r="D279" s="69" t="str">
        <f>"202109121008"</f>
        <v>202109121008</v>
      </c>
      <c r="E279" s="69" t="str">
        <f t="shared" si="9"/>
        <v>10</v>
      </c>
      <c r="F279" s="69" t="str">
        <f>"08"</f>
        <v>08</v>
      </c>
      <c r="G279" s="69" t="s">
        <v>9</v>
      </c>
    </row>
    <row r="280" spans="1:7" ht="19.5" customHeight="1">
      <c r="A280" s="69">
        <v>279</v>
      </c>
      <c r="B280" s="69" t="s">
        <v>182</v>
      </c>
      <c r="C280" s="69" t="s">
        <v>290</v>
      </c>
      <c r="D280" s="69" t="str">
        <f>"202109121009"</f>
        <v>202109121009</v>
      </c>
      <c r="E280" s="69" t="str">
        <f t="shared" si="9"/>
        <v>10</v>
      </c>
      <c r="F280" s="69" t="str">
        <f>"09"</f>
        <v>09</v>
      </c>
      <c r="G280" s="69" t="s">
        <v>9</v>
      </c>
    </row>
    <row r="281" spans="1:7" ht="19.5" customHeight="1">
      <c r="A281" s="69">
        <v>280</v>
      </c>
      <c r="B281" s="69" t="s">
        <v>182</v>
      </c>
      <c r="C281" s="69" t="s">
        <v>291</v>
      </c>
      <c r="D281" s="69" t="str">
        <f>"202109121010"</f>
        <v>202109121010</v>
      </c>
      <c r="E281" s="69" t="str">
        <f t="shared" si="9"/>
        <v>10</v>
      </c>
      <c r="F281" s="69" t="str">
        <f>"10"</f>
        <v>10</v>
      </c>
      <c r="G281" s="69" t="s">
        <v>9</v>
      </c>
    </row>
    <row r="282" spans="1:7" ht="19.5" customHeight="1">
      <c r="A282" s="69">
        <v>281</v>
      </c>
      <c r="B282" s="69" t="s">
        <v>182</v>
      </c>
      <c r="C282" s="69" t="s">
        <v>292</v>
      </c>
      <c r="D282" s="69" t="str">
        <f>"202109121011"</f>
        <v>202109121011</v>
      </c>
      <c r="E282" s="69" t="str">
        <f t="shared" si="9"/>
        <v>10</v>
      </c>
      <c r="F282" s="69" t="str">
        <f>"11"</f>
        <v>11</v>
      </c>
      <c r="G282" s="69" t="s">
        <v>9</v>
      </c>
    </row>
    <row r="283" spans="1:7" ht="19.5" customHeight="1">
      <c r="A283" s="69">
        <v>282</v>
      </c>
      <c r="B283" s="69" t="s">
        <v>182</v>
      </c>
      <c r="C283" s="69" t="s">
        <v>293</v>
      </c>
      <c r="D283" s="69" t="str">
        <f>"202109121012"</f>
        <v>202109121012</v>
      </c>
      <c r="E283" s="69" t="str">
        <f t="shared" si="9"/>
        <v>10</v>
      </c>
      <c r="F283" s="69" t="str">
        <f>"12"</f>
        <v>12</v>
      </c>
      <c r="G283" s="69" t="s">
        <v>9</v>
      </c>
    </row>
    <row r="284" spans="1:7" ht="19.5" customHeight="1">
      <c r="A284" s="69">
        <v>283</v>
      </c>
      <c r="B284" s="69" t="s">
        <v>182</v>
      </c>
      <c r="C284" s="69" t="s">
        <v>294</v>
      </c>
      <c r="D284" s="69" t="str">
        <f>"202109121013"</f>
        <v>202109121013</v>
      </c>
      <c r="E284" s="69" t="str">
        <f t="shared" si="9"/>
        <v>10</v>
      </c>
      <c r="F284" s="69" t="str">
        <f>"13"</f>
        <v>13</v>
      </c>
      <c r="G284" s="69" t="s">
        <v>9</v>
      </c>
    </row>
    <row r="285" spans="1:7" ht="19.5" customHeight="1">
      <c r="A285" s="69">
        <v>284</v>
      </c>
      <c r="B285" s="69" t="s">
        <v>182</v>
      </c>
      <c r="C285" s="69" t="s">
        <v>295</v>
      </c>
      <c r="D285" s="69" t="str">
        <f>"202109121014"</f>
        <v>202109121014</v>
      </c>
      <c r="E285" s="69" t="str">
        <f t="shared" si="9"/>
        <v>10</v>
      </c>
      <c r="F285" s="69" t="str">
        <f>"14"</f>
        <v>14</v>
      </c>
      <c r="G285" s="69" t="s">
        <v>9</v>
      </c>
    </row>
    <row r="286" spans="1:7" ht="19.5" customHeight="1">
      <c r="A286" s="69">
        <v>285</v>
      </c>
      <c r="B286" s="69" t="s">
        <v>182</v>
      </c>
      <c r="C286" s="69" t="s">
        <v>296</v>
      </c>
      <c r="D286" s="69" t="str">
        <f>"202109121015"</f>
        <v>202109121015</v>
      </c>
      <c r="E286" s="69" t="str">
        <f t="shared" si="9"/>
        <v>10</v>
      </c>
      <c r="F286" s="69" t="str">
        <f>"15"</f>
        <v>15</v>
      </c>
      <c r="G286" s="69" t="s">
        <v>9</v>
      </c>
    </row>
    <row r="287" spans="1:7" ht="19.5" customHeight="1">
      <c r="A287" s="69">
        <v>286</v>
      </c>
      <c r="B287" s="69" t="s">
        <v>182</v>
      </c>
      <c r="C287" s="69" t="s">
        <v>297</v>
      </c>
      <c r="D287" s="69" t="str">
        <f>"202109121016"</f>
        <v>202109121016</v>
      </c>
      <c r="E287" s="69" t="str">
        <f t="shared" si="9"/>
        <v>10</v>
      </c>
      <c r="F287" s="69" t="str">
        <f>"16"</f>
        <v>16</v>
      </c>
      <c r="G287" s="69" t="s">
        <v>9</v>
      </c>
    </row>
    <row r="288" spans="1:7" ht="19.5" customHeight="1">
      <c r="A288" s="69">
        <v>287</v>
      </c>
      <c r="B288" s="69" t="s">
        <v>182</v>
      </c>
      <c r="C288" s="69" t="s">
        <v>298</v>
      </c>
      <c r="D288" s="69" t="str">
        <f>"202109121017"</f>
        <v>202109121017</v>
      </c>
      <c r="E288" s="69" t="str">
        <f t="shared" si="9"/>
        <v>10</v>
      </c>
      <c r="F288" s="69" t="str">
        <f>"17"</f>
        <v>17</v>
      </c>
      <c r="G288" s="69" t="s">
        <v>9</v>
      </c>
    </row>
    <row r="289" spans="1:7" ht="19.5" customHeight="1">
      <c r="A289" s="69">
        <v>288</v>
      </c>
      <c r="B289" s="69" t="s">
        <v>182</v>
      </c>
      <c r="C289" s="69" t="s">
        <v>299</v>
      </c>
      <c r="D289" s="69" t="str">
        <f>"202109121018"</f>
        <v>202109121018</v>
      </c>
      <c r="E289" s="69" t="str">
        <f t="shared" si="9"/>
        <v>10</v>
      </c>
      <c r="F289" s="69" t="str">
        <f>"18"</f>
        <v>18</v>
      </c>
      <c r="G289" s="69" t="s">
        <v>9</v>
      </c>
    </row>
    <row r="290" spans="1:7" ht="19.5" customHeight="1">
      <c r="A290" s="69">
        <v>289</v>
      </c>
      <c r="B290" s="69" t="s">
        <v>182</v>
      </c>
      <c r="C290" s="69" t="s">
        <v>300</v>
      </c>
      <c r="D290" s="69" t="str">
        <f>"202109121019"</f>
        <v>202109121019</v>
      </c>
      <c r="E290" s="69" t="str">
        <f t="shared" si="9"/>
        <v>10</v>
      </c>
      <c r="F290" s="69" t="str">
        <f>"19"</f>
        <v>19</v>
      </c>
      <c r="G290" s="69" t="s">
        <v>9</v>
      </c>
    </row>
    <row r="291" spans="1:7" ht="19.5" customHeight="1">
      <c r="A291" s="69">
        <v>290</v>
      </c>
      <c r="B291" s="69" t="s">
        <v>182</v>
      </c>
      <c r="C291" s="69" t="s">
        <v>301</v>
      </c>
      <c r="D291" s="69" t="str">
        <f>"202109121020"</f>
        <v>202109121020</v>
      </c>
      <c r="E291" s="69" t="str">
        <f t="shared" si="9"/>
        <v>10</v>
      </c>
      <c r="F291" s="69" t="str">
        <f>"20"</f>
        <v>20</v>
      </c>
      <c r="G291" s="69" t="s">
        <v>9</v>
      </c>
    </row>
    <row r="292" spans="1:7" ht="19.5" customHeight="1">
      <c r="A292" s="69">
        <v>291</v>
      </c>
      <c r="B292" s="69" t="s">
        <v>182</v>
      </c>
      <c r="C292" s="69" t="s">
        <v>302</v>
      </c>
      <c r="D292" s="69" t="str">
        <f>"202109121021"</f>
        <v>202109121021</v>
      </c>
      <c r="E292" s="69" t="str">
        <f t="shared" si="9"/>
        <v>10</v>
      </c>
      <c r="F292" s="69" t="str">
        <f>"21"</f>
        <v>21</v>
      </c>
      <c r="G292" s="69" t="s">
        <v>9</v>
      </c>
    </row>
    <row r="293" spans="1:7" ht="19.5" customHeight="1">
      <c r="A293" s="69">
        <v>292</v>
      </c>
      <c r="B293" s="69" t="s">
        <v>182</v>
      </c>
      <c r="C293" s="69" t="s">
        <v>303</v>
      </c>
      <c r="D293" s="69" t="str">
        <f>"202109121022"</f>
        <v>202109121022</v>
      </c>
      <c r="E293" s="69" t="str">
        <f t="shared" si="9"/>
        <v>10</v>
      </c>
      <c r="F293" s="69" t="str">
        <f>"22"</f>
        <v>22</v>
      </c>
      <c r="G293" s="69" t="s">
        <v>9</v>
      </c>
    </row>
    <row r="294" spans="1:7" ht="19.5" customHeight="1">
      <c r="A294" s="69">
        <v>293</v>
      </c>
      <c r="B294" s="69" t="s">
        <v>182</v>
      </c>
      <c r="C294" s="69" t="s">
        <v>304</v>
      </c>
      <c r="D294" s="69" t="str">
        <f>"202109121023"</f>
        <v>202109121023</v>
      </c>
      <c r="E294" s="69" t="str">
        <f t="shared" si="9"/>
        <v>10</v>
      </c>
      <c r="F294" s="69" t="str">
        <f>"23"</f>
        <v>23</v>
      </c>
      <c r="G294" s="69" t="s">
        <v>9</v>
      </c>
    </row>
    <row r="295" spans="1:7" ht="19.5" customHeight="1">
      <c r="A295" s="69">
        <v>294</v>
      </c>
      <c r="B295" s="69" t="s">
        <v>182</v>
      </c>
      <c r="C295" s="69" t="s">
        <v>305</v>
      </c>
      <c r="D295" s="69" t="str">
        <f>"202109121024"</f>
        <v>202109121024</v>
      </c>
      <c r="E295" s="69" t="str">
        <f t="shared" si="9"/>
        <v>10</v>
      </c>
      <c r="F295" s="69" t="str">
        <f>"24"</f>
        <v>24</v>
      </c>
      <c r="G295" s="69" t="s">
        <v>9</v>
      </c>
    </row>
    <row r="296" spans="1:7" ht="19.5" customHeight="1">
      <c r="A296" s="69">
        <v>295</v>
      </c>
      <c r="B296" s="69" t="s">
        <v>182</v>
      </c>
      <c r="C296" s="69" t="s">
        <v>306</v>
      </c>
      <c r="D296" s="69" t="str">
        <f>"202109121025"</f>
        <v>202109121025</v>
      </c>
      <c r="E296" s="69" t="str">
        <f t="shared" si="9"/>
        <v>10</v>
      </c>
      <c r="F296" s="69" t="str">
        <f>"25"</f>
        <v>25</v>
      </c>
      <c r="G296" s="69" t="s">
        <v>9</v>
      </c>
    </row>
    <row r="297" spans="1:7" ht="19.5" customHeight="1">
      <c r="A297" s="69">
        <v>296</v>
      </c>
      <c r="B297" s="69" t="s">
        <v>182</v>
      </c>
      <c r="C297" s="69" t="s">
        <v>307</v>
      </c>
      <c r="D297" s="69" t="str">
        <f>"202109121026"</f>
        <v>202109121026</v>
      </c>
      <c r="E297" s="69" t="str">
        <f t="shared" si="9"/>
        <v>10</v>
      </c>
      <c r="F297" s="69" t="str">
        <f>"26"</f>
        <v>26</v>
      </c>
      <c r="G297" s="69" t="s">
        <v>9</v>
      </c>
    </row>
    <row r="298" spans="1:7" ht="19.5" customHeight="1">
      <c r="A298" s="69">
        <v>297</v>
      </c>
      <c r="B298" s="69" t="s">
        <v>182</v>
      </c>
      <c r="C298" s="69" t="s">
        <v>308</v>
      </c>
      <c r="D298" s="69" t="str">
        <f>"202109121027"</f>
        <v>202109121027</v>
      </c>
      <c r="E298" s="69" t="str">
        <f t="shared" si="9"/>
        <v>10</v>
      </c>
      <c r="F298" s="69" t="str">
        <f>"27"</f>
        <v>27</v>
      </c>
      <c r="G298" s="69" t="s">
        <v>9</v>
      </c>
    </row>
    <row r="299" spans="1:7" ht="19.5" customHeight="1">
      <c r="A299" s="69">
        <v>298</v>
      </c>
      <c r="B299" s="69" t="s">
        <v>182</v>
      </c>
      <c r="C299" s="69" t="s">
        <v>309</v>
      </c>
      <c r="D299" s="69" t="str">
        <f>"202109121028"</f>
        <v>202109121028</v>
      </c>
      <c r="E299" s="69" t="str">
        <f t="shared" si="9"/>
        <v>10</v>
      </c>
      <c r="F299" s="69" t="str">
        <f>"28"</f>
        <v>28</v>
      </c>
      <c r="G299" s="69" t="s">
        <v>9</v>
      </c>
    </row>
    <row r="300" spans="1:7" ht="19.5" customHeight="1">
      <c r="A300" s="69">
        <v>299</v>
      </c>
      <c r="B300" s="69" t="s">
        <v>182</v>
      </c>
      <c r="C300" s="69" t="s">
        <v>310</v>
      </c>
      <c r="D300" s="69" t="str">
        <f>"202109121029"</f>
        <v>202109121029</v>
      </c>
      <c r="E300" s="69" t="str">
        <f t="shared" si="9"/>
        <v>10</v>
      </c>
      <c r="F300" s="69" t="str">
        <f>"29"</f>
        <v>29</v>
      </c>
      <c r="G300" s="69" t="s">
        <v>9</v>
      </c>
    </row>
    <row r="301" spans="1:7" ht="19.5" customHeight="1">
      <c r="A301" s="69">
        <v>300</v>
      </c>
      <c r="B301" s="69" t="s">
        <v>182</v>
      </c>
      <c r="C301" s="69" t="s">
        <v>311</v>
      </c>
      <c r="D301" s="69" t="str">
        <f>"202109121030"</f>
        <v>202109121030</v>
      </c>
      <c r="E301" s="69" t="str">
        <f t="shared" si="9"/>
        <v>10</v>
      </c>
      <c r="F301" s="69" t="str">
        <f>"30"</f>
        <v>30</v>
      </c>
      <c r="G301" s="69" t="s">
        <v>9</v>
      </c>
    </row>
    <row r="302" spans="1:7" ht="19.5" customHeight="1">
      <c r="A302" s="69">
        <v>301</v>
      </c>
      <c r="B302" s="69" t="s">
        <v>182</v>
      </c>
      <c r="C302" s="69" t="s">
        <v>312</v>
      </c>
      <c r="D302" s="69" t="str">
        <f>"202109121101"</f>
        <v>202109121101</v>
      </c>
      <c r="E302" s="69" t="str">
        <f aca="true" t="shared" si="10" ref="E302:E331">"11"</f>
        <v>11</v>
      </c>
      <c r="F302" s="69" t="str">
        <f>"01"</f>
        <v>01</v>
      </c>
      <c r="G302" s="69" t="s">
        <v>9</v>
      </c>
    </row>
    <row r="303" spans="1:7" ht="19.5" customHeight="1">
      <c r="A303" s="69">
        <v>302</v>
      </c>
      <c r="B303" s="69" t="s">
        <v>182</v>
      </c>
      <c r="C303" s="69" t="s">
        <v>313</v>
      </c>
      <c r="D303" s="69" t="str">
        <f>"202109121102"</f>
        <v>202109121102</v>
      </c>
      <c r="E303" s="69" t="str">
        <f t="shared" si="10"/>
        <v>11</v>
      </c>
      <c r="F303" s="69" t="str">
        <f>"02"</f>
        <v>02</v>
      </c>
      <c r="G303" s="69" t="s">
        <v>9</v>
      </c>
    </row>
    <row r="304" spans="1:7" ht="19.5" customHeight="1">
      <c r="A304" s="69">
        <v>303</v>
      </c>
      <c r="B304" s="69" t="s">
        <v>182</v>
      </c>
      <c r="C304" s="69" t="s">
        <v>314</v>
      </c>
      <c r="D304" s="69" t="str">
        <f>"202109121103"</f>
        <v>202109121103</v>
      </c>
      <c r="E304" s="69" t="str">
        <f t="shared" si="10"/>
        <v>11</v>
      </c>
      <c r="F304" s="69" t="str">
        <f>"03"</f>
        <v>03</v>
      </c>
      <c r="G304" s="69" t="s">
        <v>9</v>
      </c>
    </row>
    <row r="305" spans="1:7" ht="19.5" customHeight="1">
      <c r="A305" s="69">
        <v>304</v>
      </c>
      <c r="B305" s="69" t="s">
        <v>182</v>
      </c>
      <c r="C305" s="69" t="s">
        <v>315</v>
      </c>
      <c r="D305" s="69" t="str">
        <f>"202109121104"</f>
        <v>202109121104</v>
      </c>
      <c r="E305" s="69" t="str">
        <f t="shared" si="10"/>
        <v>11</v>
      </c>
      <c r="F305" s="69" t="str">
        <f>"04"</f>
        <v>04</v>
      </c>
      <c r="G305" s="69" t="s">
        <v>9</v>
      </c>
    </row>
    <row r="306" spans="1:7" ht="19.5" customHeight="1">
      <c r="A306" s="69">
        <v>305</v>
      </c>
      <c r="B306" s="69" t="s">
        <v>182</v>
      </c>
      <c r="C306" s="69" t="s">
        <v>316</v>
      </c>
      <c r="D306" s="69" t="str">
        <f>"202109121105"</f>
        <v>202109121105</v>
      </c>
      <c r="E306" s="69" t="str">
        <f t="shared" si="10"/>
        <v>11</v>
      </c>
      <c r="F306" s="69" t="str">
        <f>"05"</f>
        <v>05</v>
      </c>
      <c r="G306" s="69" t="s">
        <v>9</v>
      </c>
    </row>
    <row r="307" spans="1:7" ht="19.5" customHeight="1">
      <c r="A307" s="69">
        <v>306</v>
      </c>
      <c r="B307" s="69" t="s">
        <v>182</v>
      </c>
      <c r="C307" s="69" t="s">
        <v>317</v>
      </c>
      <c r="D307" s="69" t="str">
        <f>"202109121106"</f>
        <v>202109121106</v>
      </c>
      <c r="E307" s="69" t="str">
        <f t="shared" si="10"/>
        <v>11</v>
      </c>
      <c r="F307" s="69" t="str">
        <f>"06"</f>
        <v>06</v>
      </c>
      <c r="G307" s="69" t="s">
        <v>9</v>
      </c>
    </row>
    <row r="308" spans="1:7" ht="19.5" customHeight="1">
      <c r="A308" s="69">
        <v>307</v>
      </c>
      <c r="B308" s="69" t="s">
        <v>182</v>
      </c>
      <c r="C308" s="69" t="s">
        <v>318</v>
      </c>
      <c r="D308" s="69" t="str">
        <f>"202109121107"</f>
        <v>202109121107</v>
      </c>
      <c r="E308" s="69" t="str">
        <f t="shared" si="10"/>
        <v>11</v>
      </c>
      <c r="F308" s="69" t="str">
        <f>"07"</f>
        <v>07</v>
      </c>
      <c r="G308" s="69" t="s">
        <v>9</v>
      </c>
    </row>
    <row r="309" spans="1:7" ht="19.5" customHeight="1">
      <c r="A309" s="69">
        <v>308</v>
      </c>
      <c r="B309" s="69" t="s">
        <v>182</v>
      </c>
      <c r="C309" s="69" t="s">
        <v>319</v>
      </c>
      <c r="D309" s="69" t="str">
        <f>"202109121108"</f>
        <v>202109121108</v>
      </c>
      <c r="E309" s="69" t="str">
        <f t="shared" si="10"/>
        <v>11</v>
      </c>
      <c r="F309" s="69" t="str">
        <f>"08"</f>
        <v>08</v>
      </c>
      <c r="G309" s="69" t="s">
        <v>9</v>
      </c>
    </row>
    <row r="310" spans="1:7" ht="19.5" customHeight="1">
      <c r="A310" s="69">
        <v>309</v>
      </c>
      <c r="B310" s="69" t="s">
        <v>182</v>
      </c>
      <c r="C310" s="69" t="s">
        <v>320</v>
      </c>
      <c r="D310" s="69" t="str">
        <f>"202109121109"</f>
        <v>202109121109</v>
      </c>
      <c r="E310" s="69" t="str">
        <f t="shared" si="10"/>
        <v>11</v>
      </c>
      <c r="F310" s="69" t="str">
        <f>"09"</f>
        <v>09</v>
      </c>
      <c r="G310" s="69" t="s">
        <v>9</v>
      </c>
    </row>
    <row r="311" spans="1:7" ht="19.5" customHeight="1">
      <c r="A311" s="69">
        <v>310</v>
      </c>
      <c r="B311" s="69" t="s">
        <v>182</v>
      </c>
      <c r="C311" s="69" t="s">
        <v>321</v>
      </c>
      <c r="D311" s="69" t="str">
        <f>"202109121110"</f>
        <v>202109121110</v>
      </c>
      <c r="E311" s="69" t="str">
        <f t="shared" si="10"/>
        <v>11</v>
      </c>
      <c r="F311" s="69" t="str">
        <f>"10"</f>
        <v>10</v>
      </c>
      <c r="G311" s="69" t="s">
        <v>9</v>
      </c>
    </row>
    <row r="312" spans="1:7" ht="19.5" customHeight="1">
      <c r="A312" s="69">
        <v>311</v>
      </c>
      <c r="B312" s="69" t="s">
        <v>182</v>
      </c>
      <c r="C312" s="69" t="s">
        <v>322</v>
      </c>
      <c r="D312" s="69" t="str">
        <f>"202109121111"</f>
        <v>202109121111</v>
      </c>
      <c r="E312" s="69" t="str">
        <f t="shared" si="10"/>
        <v>11</v>
      </c>
      <c r="F312" s="69" t="str">
        <f>"11"</f>
        <v>11</v>
      </c>
      <c r="G312" s="69" t="s">
        <v>9</v>
      </c>
    </row>
    <row r="313" spans="1:7" ht="19.5" customHeight="1">
      <c r="A313" s="69">
        <v>312</v>
      </c>
      <c r="B313" s="69" t="s">
        <v>182</v>
      </c>
      <c r="C313" s="69" t="s">
        <v>323</v>
      </c>
      <c r="D313" s="69" t="str">
        <f>"202109121112"</f>
        <v>202109121112</v>
      </c>
      <c r="E313" s="69" t="str">
        <f t="shared" si="10"/>
        <v>11</v>
      </c>
      <c r="F313" s="69" t="str">
        <f>"12"</f>
        <v>12</v>
      </c>
      <c r="G313" s="69" t="s">
        <v>9</v>
      </c>
    </row>
    <row r="314" spans="1:7" ht="19.5" customHeight="1">
      <c r="A314" s="69">
        <v>313</v>
      </c>
      <c r="B314" s="69" t="s">
        <v>324</v>
      </c>
      <c r="C314" s="69" t="s">
        <v>325</v>
      </c>
      <c r="D314" s="69" t="str">
        <f>"202109121113"</f>
        <v>202109121113</v>
      </c>
      <c r="E314" s="69" t="str">
        <f t="shared" si="10"/>
        <v>11</v>
      </c>
      <c r="F314" s="69" t="str">
        <f>"13"</f>
        <v>13</v>
      </c>
      <c r="G314" s="69" t="s">
        <v>326</v>
      </c>
    </row>
    <row r="315" spans="1:7" ht="19.5" customHeight="1">
      <c r="A315" s="69">
        <v>314</v>
      </c>
      <c r="B315" s="69" t="s">
        <v>324</v>
      </c>
      <c r="C315" s="69" t="s">
        <v>327</v>
      </c>
      <c r="D315" s="69" t="str">
        <f>"202109121114"</f>
        <v>202109121114</v>
      </c>
      <c r="E315" s="69" t="str">
        <f t="shared" si="10"/>
        <v>11</v>
      </c>
      <c r="F315" s="69" t="str">
        <f>"14"</f>
        <v>14</v>
      </c>
      <c r="G315" s="69" t="s">
        <v>326</v>
      </c>
    </row>
    <row r="316" spans="1:7" ht="19.5" customHeight="1">
      <c r="A316" s="69">
        <v>315</v>
      </c>
      <c r="B316" s="69" t="s">
        <v>324</v>
      </c>
      <c r="C316" s="69" t="s">
        <v>328</v>
      </c>
      <c r="D316" s="69" t="str">
        <f>"202109121115"</f>
        <v>202109121115</v>
      </c>
      <c r="E316" s="69" t="str">
        <f t="shared" si="10"/>
        <v>11</v>
      </c>
      <c r="F316" s="69" t="str">
        <f>"15"</f>
        <v>15</v>
      </c>
      <c r="G316" s="69" t="s">
        <v>326</v>
      </c>
    </row>
    <row r="317" spans="1:7" ht="19.5" customHeight="1">
      <c r="A317" s="69">
        <v>316</v>
      </c>
      <c r="B317" s="69" t="s">
        <v>324</v>
      </c>
      <c r="C317" s="69" t="s">
        <v>329</v>
      </c>
      <c r="D317" s="69" t="str">
        <f>"202109121116"</f>
        <v>202109121116</v>
      </c>
      <c r="E317" s="69" t="str">
        <f t="shared" si="10"/>
        <v>11</v>
      </c>
      <c r="F317" s="69" t="str">
        <f>"16"</f>
        <v>16</v>
      </c>
      <c r="G317" s="69" t="s">
        <v>326</v>
      </c>
    </row>
    <row r="318" spans="1:7" ht="19.5" customHeight="1">
      <c r="A318" s="69">
        <v>317</v>
      </c>
      <c r="B318" s="69" t="s">
        <v>324</v>
      </c>
      <c r="C318" s="69" t="s">
        <v>330</v>
      </c>
      <c r="D318" s="69" t="str">
        <f>"202109121117"</f>
        <v>202109121117</v>
      </c>
      <c r="E318" s="69" t="str">
        <f t="shared" si="10"/>
        <v>11</v>
      </c>
      <c r="F318" s="69" t="str">
        <f>"17"</f>
        <v>17</v>
      </c>
      <c r="G318" s="69" t="s">
        <v>326</v>
      </c>
    </row>
    <row r="319" spans="1:7" ht="19.5" customHeight="1">
      <c r="A319" s="69">
        <v>318</v>
      </c>
      <c r="B319" s="69" t="s">
        <v>324</v>
      </c>
      <c r="C319" s="69" t="s">
        <v>331</v>
      </c>
      <c r="D319" s="69" t="str">
        <f>"202109121118"</f>
        <v>202109121118</v>
      </c>
      <c r="E319" s="69" t="str">
        <f t="shared" si="10"/>
        <v>11</v>
      </c>
      <c r="F319" s="69" t="str">
        <f>"18"</f>
        <v>18</v>
      </c>
      <c r="G319" s="69" t="s">
        <v>326</v>
      </c>
    </row>
    <row r="320" spans="1:7" ht="19.5" customHeight="1">
      <c r="A320" s="69">
        <v>319</v>
      </c>
      <c r="B320" s="69" t="s">
        <v>324</v>
      </c>
      <c r="C320" s="69" t="s">
        <v>332</v>
      </c>
      <c r="D320" s="69" t="str">
        <f>"202109121119"</f>
        <v>202109121119</v>
      </c>
      <c r="E320" s="69" t="str">
        <f t="shared" si="10"/>
        <v>11</v>
      </c>
      <c r="F320" s="69" t="str">
        <f>"19"</f>
        <v>19</v>
      </c>
      <c r="G320" s="69" t="s">
        <v>326</v>
      </c>
    </row>
    <row r="321" spans="1:7" ht="19.5" customHeight="1">
      <c r="A321" s="69">
        <v>320</v>
      </c>
      <c r="B321" s="69" t="s">
        <v>324</v>
      </c>
      <c r="C321" s="69" t="s">
        <v>333</v>
      </c>
      <c r="D321" s="69" t="str">
        <f>"202109121120"</f>
        <v>202109121120</v>
      </c>
      <c r="E321" s="69" t="str">
        <f t="shared" si="10"/>
        <v>11</v>
      </c>
      <c r="F321" s="69" t="str">
        <f>"20"</f>
        <v>20</v>
      </c>
      <c r="G321" s="69" t="s">
        <v>326</v>
      </c>
    </row>
    <row r="322" spans="1:7" ht="19.5" customHeight="1">
      <c r="A322" s="69">
        <v>321</v>
      </c>
      <c r="B322" s="69" t="s">
        <v>324</v>
      </c>
      <c r="C322" s="69" t="s">
        <v>334</v>
      </c>
      <c r="D322" s="69" t="str">
        <f>"202109121121"</f>
        <v>202109121121</v>
      </c>
      <c r="E322" s="69" t="str">
        <f t="shared" si="10"/>
        <v>11</v>
      </c>
      <c r="F322" s="69" t="str">
        <f>"21"</f>
        <v>21</v>
      </c>
      <c r="G322" s="69" t="s">
        <v>326</v>
      </c>
    </row>
    <row r="323" spans="1:7" ht="19.5" customHeight="1">
      <c r="A323" s="69">
        <v>322</v>
      </c>
      <c r="B323" s="69" t="s">
        <v>324</v>
      </c>
      <c r="C323" s="69" t="s">
        <v>335</v>
      </c>
      <c r="D323" s="69" t="str">
        <f>"202109121122"</f>
        <v>202109121122</v>
      </c>
      <c r="E323" s="69" t="str">
        <f t="shared" si="10"/>
        <v>11</v>
      </c>
      <c r="F323" s="69" t="str">
        <f>"22"</f>
        <v>22</v>
      </c>
      <c r="G323" s="69" t="s">
        <v>326</v>
      </c>
    </row>
    <row r="324" spans="1:7" ht="19.5" customHeight="1">
      <c r="A324" s="69">
        <v>323</v>
      </c>
      <c r="B324" s="69" t="s">
        <v>324</v>
      </c>
      <c r="C324" s="69" t="s">
        <v>336</v>
      </c>
      <c r="D324" s="69" t="str">
        <f>"202109121123"</f>
        <v>202109121123</v>
      </c>
      <c r="E324" s="69" t="str">
        <f t="shared" si="10"/>
        <v>11</v>
      </c>
      <c r="F324" s="69" t="str">
        <f>"23"</f>
        <v>23</v>
      </c>
      <c r="G324" s="69" t="s">
        <v>326</v>
      </c>
    </row>
    <row r="325" spans="1:7" ht="19.5" customHeight="1">
      <c r="A325" s="69">
        <v>324</v>
      </c>
      <c r="B325" s="69" t="s">
        <v>324</v>
      </c>
      <c r="C325" s="69" t="s">
        <v>337</v>
      </c>
      <c r="D325" s="69" t="str">
        <f>"202109121124"</f>
        <v>202109121124</v>
      </c>
      <c r="E325" s="69" t="str">
        <f t="shared" si="10"/>
        <v>11</v>
      </c>
      <c r="F325" s="69" t="str">
        <f>"24"</f>
        <v>24</v>
      </c>
      <c r="G325" s="69" t="s">
        <v>326</v>
      </c>
    </row>
    <row r="326" spans="1:7" ht="19.5" customHeight="1">
      <c r="A326" s="69">
        <v>325</v>
      </c>
      <c r="B326" s="69" t="s">
        <v>324</v>
      </c>
      <c r="C326" s="69" t="s">
        <v>338</v>
      </c>
      <c r="D326" s="69" t="str">
        <f>"202109121125"</f>
        <v>202109121125</v>
      </c>
      <c r="E326" s="69" t="str">
        <f t="shared" si="10"/>
        <v>11</v>
      </c>
      <c r="F326" s="69" t="str">
        <f>"25"</f>
        <v>25</v>
      </c>
      <c r="G326" s="69" t="s">
        <v>326</v>
      </c>
    </row>
    <row r="327" spans="1:7" ht="19.5" customHeight="1">
      <c r="A327" s="69">
        <v>326</v>
      </c>
      <c r="B327" s="69" t="s">
        <v>324</v>
      </c>
      <c r="C327" s="69" t="s">
        <v>339</v>
      </c>
      <c r="D327" s="69" t="str">
        <f>"202109121126"</f>
        <v>202109121126</v>
      </c>
      <c r="E327" s="69" t="str">
        <f t="shared" si="10"/>
        <v>11</v>
      </c>
      <c r="F327" s="69" t="str">
        <f>"26"</f>
        <v>26</v>
      </c>
      <c r="G327" s="69" t="s">
        <v>326</v>
      </c>
    </row>
    <row r="328" spans="1:7" ht="19.5" customHeight="1">
      <c r="A328" s="69">
        <v>327</v>
      </c>
      <c r="B328" s="69" t="s">
        <v>324</v>
      </c>
      <c r="C328" s="69" t="s">
        <v>340</v>
      </c>
      <c r="D328" s="69" t="str">
        <f>"202109121127"</f>
        <v>202109121127</v>
      </c>
      <c r="E328" s="69" t="str">
        <f t="shared" si="10"/>
        <v>11</v>
      </c>
      <c r="F328" s="69" t="str">
        <f>"27"</f>
        <v>27</v>
      </c>
      <c r="G328" s="69" t="s">
        <v>326</v>
      </c>
    </row>
    <row r="329" spans="1:7" ht="19.5" customHeight="1">
      <c r="A329" s="69">
        <v>328</v>
      </c>
      <c r="B329" s="69" t="s">
        <v>324</v>
      </c>
      <c r="C329" s="69" t="s">
        <v>341</v>
      </c>
      <c r="D329" s="69" t="str">
        <f>"202109121128"</f>
        <v>202109121128</v>
      </c>
      <c r="E329" s="69" t="str">
        <f t="shared" si="10"/>
        <v>11</v>
      </c>
      <c r="F329" s="69" t="str">
        <f>"28"</f>
        <v>28</v>
      </c>
      <c r="G329" s="69" t="s">
        <v>326</v>
      </c>
    </row>
    <row r="330" spans="1:7" ht="19.5" customHeight="1">
      <c r="A330" s="69">
        <v>329</v>
      </c>
      <c r="B330" s="69" t="s">
        <v>324</v>
      </c>
      <c r="C330" s="69" t="s">
        <v>342</v>
      </c>
      <c r="D330" s="69" t="str">
        <f>"202109121129"</f>
        <v>202109121129</v>
      </c>
      <c r="E330" s="69" t="str">
        <f t="shared" si="10"/>
        <v>11</v>
      </c>
      <c r="F330" s="69" t="str">
        <f>"29"</f>
        <v>29</v>
      </c>
      <c r="G330" s="69" t="s">
        <v>326</v>
      </c>
    </row>
    <row r="331" spans="1:7" ht="19.5" customHeight="1">
      <c r="A331" s="69">
        <v>330</v>
      </c>
      <c r="B331" s="69" t="s">
        <v>324</v>
      </c>
      <c r="C331" s="69" t="s">
        <v>343</v>
      </c>
      <c r="D331" s="69" t="str">
        <f>"202109121130"</f>
        <v>202109121130</v>
      </c>
      <c r="E331" s="69" t="str">
        <f t="shared" si="10"/>
        <v>11</v>
      </c>
      <c r="F331" s="69" t="str">
        <f>"30"</f>
        <v>30</v>
      </c>
      <c r="G331" s="69" t="s">
        <v>326</v>
      </c>
    </row>
    <row r="332" spans="1:7" ht="19.5" customHeight="1">
      <c r="A332" s="69">
        <v>331</v>
      </c>
      <c r="B332" s="69" t="s">
        <v>344</v>
      </c>
      <c r="C332" s="69" t="s">
        <v>345</v>
      </c>
      <c r="D332" s="69" t="str">
        <f>"202109121201"</f>
        <v>202109121201</v>
      </c>
      <c r="E332" s="69" t="str">
        <f aca="true" t="shared" si="11" ref="E332:E361">"12"</f>
        <v>12</v>
      </c>
      <c r="F332" s="69" t="str">
        <f>"01"</f>
        <v>01</v>
      </c>
      <c r="G332" s="69" t="s">
        <v>346</v>
      </c>
    </row>
    <row r="333" spans="1:7" ht="19.5" customHeight="1">
      <c r="A333" s="69">
        <v>332</v>
      </c>
      <c r="B333" s="69" t="s">
        <v>344</v>
      </c>
      <c r="C333" s="69" t="s">
        <v>347</v>
      </c>
      <c r="D333" s="69" t="str">
        <f>"202109121202"</f>
        <v>202109121202</v>
      </c>
      <c r="E333" s="69" t="str">
        <f t="shared" si="11"/>
        <v>12</v>
      </c>
      <c r="F333" s="69" t="str">
        <f>"02"</f>
        <v>02</v>
      </c>
      <c r="G333" s="69" t="s">
        <v>346</v>
      </c>
    </row>
    <row r="334" spans="1:7" ht="19.5" customHeight="1">
      <c r="A334" s="69">
        <v>333</v>
      </c>
      <c r="B334" s="69" t="s">
        <v>344</v>
      </c>
      <c r="C334" s="69" t="s">
        <v>348</v>
      </c>
      <c r="D334" s="69" t="str">
        <f>"202109121203"</f>
        <v>202109121203</v>
      </c>
      <c r="E334" s="69" t="str">
        <f t="shared" si="11"/>
        <v>12</v>
      </c>
      <c r="F334" s="69" t="str">
        <f>"03"</f>
        <v>03</v>
      </c>
      <c r="G334" s="69" t="s">
        <v>346</v>
      </c>
    </row>
    <row r="335" spans="1:7" ht="19.5" customHeight="1">
      <c r="A335" s="69">
        <v>334</v>
      </c>
      <c r="B335" s="69" t="s">
        <v>344</v>
      </c>
      <c r="C335" s="69" t="s">
        <v>349</v>
      </c>
      <c r="D335" s="69" t="str">
        <f>"202109121204"</f>
        <v>202109121204</v>
      </c>
      <c r="E335" s="69" t="str">
        <f t="shared" si="11"/>
        <v>12</v>
      </c>
      <c r="F335" s="69" t="str">
        <f>"04"</f>
        <v>04</v>
      </c>
      <c r="G335" s="69" t="s">
        <v>346</v>
      </c>
    </row>
    <row r="336" spans="1:7" ht="19.5" customHeight="1">
      <c r="A336" s="69">
        <v>335</v>
      </c>
      <c r="B336" s="69" t="s">
        <v>344</v>
      </c>
      <c r="C336" s="69" t="s">
        <v>350</v>
      </c>
      <c r="D336" s="69" t="str">
        <f>"202109121205"</f>
        <v>202109121205</v>
      </c>
      <c r="E336" s="69" t="str">
        <f t="shared" si="11"/>
        <v>12</v>
      </c>
      <c r="F336" s="69" t="str">
        <f>"05"</f>
        <v>05</v>
      </c>
      <c r="G336" s="69" t="s">
        <v>346</v>
      </c>
    </row>
    <row r="337" spans="1:7" ht="19.5" customHeight="1">
      <c r="A337" s="69">
        <v>336</v>
      </c>
      <c r="B337" s="69" t="s">
        <v>344</v>
      </c>
      <c r="C337" s="69" t="s">
        <v>351</v>
      </c>
      <c r="D337" s="69" t="str">
        <f>"202109121206"</f>
        <v>202109121206</v>
      </c>
      <c r="E337" s="69" t="str">
        <f t="shared" si="11"/>
        <v>12</v>
      </c>
      <c r="F337" s="69" t="str">
        <f>"06"</f>
        <v>06</v>
      </c>
      <c r="G337" s="69" t="s">
        <v>346</v>
      </c>
    </row>
    <row r="338" spans="1:7" ht="19.5" customHeight="1">
      <c r="A338" s="69">
        <v>337</v>
      </c>
      <c r="B338" s="69" t="s">
        <v>344</v>
      </c>
      <c r="C338" s="69" t="s">
        <v>352</v>
      </c>
      <c r="D338" s="69" t="str">
        <f>"202109121207"</f>
        <v>202109121207</v>
      </c>
      <c r="E338" s="69" t="str">
        <f t="shared" si="11"/>
        <v>12</v>
      </c>
      <c r="F338" s="69" t="str">
        <f>"07"</f>
        <v>07</v>
      </c>
      <c r="G338" s="69" t="s">
        <v>346</v>
      </c>
    </row>
    <row r="339" spans="1:7" ht="19.5" customHeight="1">
      <c r="A339" s="69">
        <v>338</v>
      </c>
      <c r="B339" s="69" t="s">
        <v>344</v>
      </c>
      <c r="C339" s="69" t="s">
        <v>353</v>
      </c>
      <c r="D339" s="69" t="str">
        <f>"202109121208"</f>
        <v>202109121208</v>
      </c>
      <c r="E339" s="69" t="str">
        <f t="shared" si="11"/>
        <v>12</v>
      </c>
      <c r="F339" s="69" t="str">
        <f>"08"</f>
        <v>08</v>
      </c>
      <c r="G339" s="69" t="s">
        <v>346</v>
      </c>
    </row>
    <row r="340" spans="1:7" ht="19.5" customHeight="1">
      <c r="A340" s="69">
        <v>339</v>
      </c>
      <c r="B340" s="69" t="s">
        <v>344</v>
      </c>
      <c r="C340" s="69" t="s">
        <v>354</v>
      </c>
      <c r="D340" s="69" t="str">
        <f>"202109121209"</f>
        <v>202109121209</v>
      </c>
      <c r="E340" s="69" t="str">
        <f t="shared" si="11"/>
        <v>12</v>
      </c>
      <c r="F340" s="69" t="str">
        <f>"09"</f>
        <v>09</v>
      </c>
      <c r="G340" s="69" t="s">
        <v>346</v>
      </c>
    </row>
    <row r="341" spans="1:7" ht="19.5" customHeight="1">
      <c r="A341" s="69">
        <v>340</v>
      </c>
      <c r="B341" s="69" t="s">
        <v>344</v>
      </c>
      <c r="C341" s="69" t="s">
        <v>217</v>
      </c>
      <c r="D341" s="69" t="str">
        <f>"202109121210"</f>
        <v>202109121210</v>
      </c>
      <c r="E341" s="69" t="str">
        <f t="shared" si="11"/>
        <v>12</v>
      </c>
      <c r="F341" s="69" t="str">
        <f>"10"</f>
        <v>10</v>
      </c>
      <c r="G341" s="69" t="s">
        <v>346</v>
      </c>
    </row>
    <row r="342" spans="1:7" ht="19.5" customHeight="1">
      <c r="A342" s="69">
        <v>341</v>
      </c>
      <c r="B342" s="69" t="s">
        <v>344</v>
      </c>
      <c r="C342" s="69" t="s">
        <v>355</v>
      </c>
      <c r="D342" s="69" t="str">
        <f>"202109121211"</f>
        <v>202109121211</v>
      </c>
      <c r="E342" s="69" t="str">
        <f t="shared" si="11"/>
        <v>12</v>
      </c>
      <c r="F342" s="69" t="str">
        <f>"11"</f>
        <v>11</v>
      </c>
      <c r="G342" s="69" t="s">
        <v>346</v>
      </c>
    </row>
    <row r="343" spans="1:7" ht="19.5" customHeight="1">
      <c r="A343" s="69">
        <v>342</v>
      </c>
      <c r="B343" s="69" t="s">
        <v>344</v>
      </c>
      <c r="C343" s="69" t="s">
        <v>356</v>
      </c>
      <c r="D343" s="69" t="str">
        <f>"202109121212"</f>
        <v>202109121212</v>
      </c>
      <c r="E343" s="69" t="str">
        <f t="shared" si="11"/>
        <v>12</v>
      </c>
      <c r="F343" s="69" t="str">
        <f>"12"</f>
        <v>12</v>
      </c>
      <c r="G343" s="69" t="s">
        <v>346</v>
      </c>
    </row>
    <row r="344" spans="1:7" ht="19.5" customHeight="1">
      <c r="A344" s="69">
        <v>343</v>
      </c>
      <c r="B344" s="69" t="s">
        <v>344</v>
      </c>
      <c r="C344" s="69" t="s">
        <v>357</v>
      </c>
      <c r="D344" s="69" t="str">
        <f>"202109121213"</f>
        <v>202109121213</v>
      </c>
      <c r="E344" s="69" t="str">
        <f t="shared" si="11"/>
        <v>12</v>
      </c>
      <c r="F344" s="69" t="str">
        <f>"13"</f>
        <v>13</v>
      </c>
      <c r="G344" s="69" t="s">
        <v>346</v>
      </c>
    </row>
    <row r="345" spans="1:7" ht="19.5" customHeight="1">
      <c r="A345" s="69">
        <v>344</v>
      </c>
      <c r="B345" s="69" t="s">
        <v>344</v>
      </c>
      <c r="C345" s="69" t="s">
        <v>358</v>
      </c>
      <c r="D345" s="69" t="str">
        <f>"202109121214"</f>
        <v>202109121214</v>
      </c>
      <c r="E345" s="69" t="str">
        <f t="shared" si="11"/>
        <v>12</v>
      </c>
      <c r="F345" s="69" t="str">
        <f>"14"</f>
        <v>14</v>
      </c>
      <c r="G345" s="69" t="s">
        <v>346</v>
      </c>
    </row>
    <row r="346" spans="1:7" ht="19.5" customHeight="1">
      <c r="A346" s="69">
        <v>345</v>
      </c>
      <c r="B346" s="69" t="s">
        <v>344</v>
      </c>
      <c r="C346" s="69" t="s">
        <v>359</v>
      </c>
      <c r="D346" s="69" t="str">
        <f>"202109121215"</f>
        <v>202109121215</v>
      </c>
      <c r="E346" s="69" t="str">
        <f t="shared" si="11"/>
        <v>12</v>
      </c>
      <c r="F346" s="69" t="str">
        <f>"15"</f>
        <v>15</v>
      </c>
      <c r="G346" s="69" t="s">
        <v>346</v>
      </c>
    </row>
    <row r="347" spans="1:7" ht="19.5" customHeight="1">
      <c r="A347" s="69">
        <v>346</v>
      </c>
      <c r="B347" s="69" t="s">
        <v>344</v>
      </c>
      <c r="C347" s="69" t="s">
        <v>360</v>
      </c>
      <c r="D347" s="69" t="str">
        <f>"202109121216"</f>
        <v>202109121216</v>
      </c>
      <c r="E347" s="69" t="str">
        <f t="shared" si="11"/>
        <v>12</v>
      </c>
      <c r="F347" s="69" t="str">
        <f>"16"</f>
        <v>16</v>
      </c>
      <c r="G347" s="69" t="s">
        <v>346</v>
      </c>
    </row>
    <row r="348" spans="1:7" ht="19.5" customHeight="1">
      <c r="A348" s="69">
        <v>347</v>
      </c>
      <c r="B348" s="69" t="s">
        <v>344</v>
      </c>
      <c r="C348" s="69" t="s">
        <v>361</v>
      </c>
      <c r="D348" s="69" t="str">
        <f>"202109121217"</f>
        <v>202109121217</v>
      </c>
      <c r="E348" s="69" t="str">
        <f t="shared" si="11"/>
        <v>12</v>
      </c>
      <c r="F348" s="69" t="str">
        <f>"17"</f>
        <v>17</v>
      </c>
      <c r="G348" s="69" t="s">
        <v>346</v>
      </c>
    </row>
    <row r="349" spans="1:7" ht="19.5" customHeight="1">
      <c r="A349" s="69">
        <v>348</v>
      </c>
      <c r="B349" s="69" t="s">
        <v>344</v>
      </c>
      <c r="C349" s="69" t="s">
        <v>362</v>
      </c>
      <c r="D349" s="69" t="str">
        <f>"202109121218"</f>
        <v>202109121218</v>
      </c>
      <c r="E349" s="69" t="str">
        <f t="shared" si="11"/>
        <v>12</v>
      </c>
      <c r="F349" s="69" t="str">
        <f>"18"</f>
        <v>18</v>
      </c>
      <c r="G349" s="69" t="s">
        <v>346</v>
      </c>
    </row>
    <row r="350" spans="1:7" ht="19.5" customHeight="1">
      <c r="A350" s="69">
        <v>349</v>
      </c>
      <c r="B350" s="69" t="s">
        <v>344</v>
      </c>
      <c r="C350" s="69" t="s">
        <v>363</v>
      </c>
      <c r="D350" s="69" t="str">
        <f>"202109121219"</f>
        <v>202109121219</v>
      </c>
      <c r="E350" s="69" t="str">
        <f t="shared" si="11"/>
        <v>12</v>
      </c>
      <c r="F350" s="69" t="str">
        <f>"19"</f>
        <v>19</v>
      </c>
      <c r="G350" s="69" t="s">
        <v>346</v>
      </c>
    </row>
    <row r="351" spans="1:7" ht="19.5" customHeight="1">
      <c r="A351" s="69">
        <v>350</v>
      </c>
      <c r="B351" s="69" t="s">
        <v>344</v>
      </c>
      <c r="C351" s="69" t="s">
        <v>364</v>
      </c>
      <c r="D351" s="69" t="str">
        <f>"202109121220"</f>
        <v>202109121220</v>
      </c>
      <c r="E351" s="69" t="str">
        <f t="shared" si="11"/>
        <v>12</v>
      </c>
      <c r="F351" s="69" t="str">
        <f>"20"</f>
        <v>20</v>
      </c>
      <c r="G351" s="69" t="s">
        <v>346</v>
      </c>
    </row>
    <row r="352" spans="1:7" ht="19.5" customHeight="1">
      <c r="A352" s="69">
        <v>351</v>
      </c>
      <c r="B352" s="69" t="s">
        <v>344</v>
      </c>
      <c r="C352" s="69" t="s">
        <v>365</v>
      </c>
      <c r="D352" s="69" t="str">
        <f>"202109121221"</f>
        <v>202109121221</v>
      </c>
      <c r="E352" s="69" t="str">
        <f t="shared" si="11"/>
        <v>12</v>
      </c>
      <c r="F352" s="69" t="str">
        <f>"21"</f>
        <v>21</v>
      </c>
      <c r="G352" s="69" t="s">
        <v>346</v>
      </c>
    </row>
    <row r="353" spans="1:7" ht="19.5" customHeight="1">
      <c r="A353" s="69">
        <v>352</v>
      </c>
      <c r="B353" s="69" t="s">
        <v>344</v>
      </c>
      <c r="C353" s="69" t="s">
        <v>366</v>
      </c>
      <c r="D353" s="69" t="str">
        <f>"202109121222"</f>
        <v>202109121222</v>
      </c>
      <c r="E353" s="69" t="str">
        <f t="shared" si="11"/>
        <v>12</v>
      </c>
      <c r="F353" s="69" t="str">
        <f>"22"</f>
        <v>22</v>
      </c>
      <c r="G353" s="69" t="s">
        <v>346</v>
      </c>
    </row>
    <row r="354" spans="1:7" ht="19.5" customHeight="1">
      <c r="A354" s="69">
        <v>353</v>
      </c>
      <c r="B354" s="69" t="s">
        <v>344</v>
      </c>
      <c r="C354" s="69" t="s">
        <v>367</v>
      </c>
      <c r="D354" s="69" t="str">
        <f>"202109121223"</f>
        <v>202109121223</v>
      </c>
      <c r="E354" s="69" t="str">
        <f t="shared" si="11"/>
        <v>12</v>
      </c>
      <c r="F354" s="69" t="str">
        <f>"23"</f>
        <v>23</v>
      </c>
      <c r="G354" s="69" t="s">
        <v>346</v>
      </c>
    </row>
    <row r="355" spans="1:7" ht="19.5" customHeight="1">
      <c r="A355" s="69">
        <v>354</v>
      </c>
      <c r="B355" s="69" t="s">
        <v>344</v>
      </c>
      <c r="C355" s="69" t="s">
        <v>368</v>
      </c>
      <c r="D355" s="69" t="str">
        <f>"202109121224"</f>
        <v>202109121224</v>
      </c>
      <c r="E355" s="69" t="str">
        <f t="shared" si="11"/>
        <v>12</v>
      </c>
      <c r="F355" s="69" t="str">
        <f>"24"</f>
        <v>24</v>
      </c>
      <c r="G355" s="69" t="s">
        <v>346</v>
      </c>
    </row>
    <row r="356" spans="1:7" ht="19.5" customHeight="1">
      <c r="A356" s="69">
        <v>355</v>
      </c>
      <c r="B356" s="69" t="s">
        <v>344</v>
      </c>
      <c r="C356" s="69" t="s">
        <v>369</v>
      </c>
      <c r="D356" s="69" t="str">
        <f>"202109121225"</f>
        <v>202109121225</v>
      </c>
      <c r="E356" s="69" t="str">
        <f t="shared" si="11"/>
        <v>12</v>
      </c>
      <c r="F356" s="69" t="str">
        <f>"25"</f>
        <v>25</v>
      </c>
      <c r="G356" s="69" t="s">
        <v>346</v>
      </c>
    </row>
    <row r="357" spans="1:7" ht="19.5" customHeight="1">
      <c r="A357" s="69">
        <v>356</v>
      </c>
      <c r="B357" s="69" t="s">
        <v>344</v>
      </c>
      <c r="C357" s="69" t="s">
        <v>370</v>
      </c>
      <c r="D357" s="69" t="str">
        <f>"202109121226"</f>
        <v>202109121226</v>
      </c>
      <c r="E357" s="69" t="str">
        <f t="shared" si="11"/>
        <v>12</v>
      </c>
      <c r="F357" s="69" t="str">
        <f>"26"</f>
        <v>26</v>
      </c>
      <c r="G357" s="69" t="s">
        <v>346</v>
      </c>
    </row>
    <row r="358" spans="1:7" ht="19.5" customHeight="1">
      <c r="A358" s="69">
        <v>357</v>
      </c>
      <c r="B358" s="69" t="s">
        <v>344</v>
      </c>
      <c r="C358" s="69" t="s">
        <v>371</v>
      </c>
      <c r="D358" s="69" t="str">
        <f>"202109121227"</f>
        <v>202109121227</v>
      </c>
      <c r="E358" s="69" t="str">
        <f t="shared" si="11"/>
        <v>12</v>
      </c>
      <c r="F358" s="69" t="str">
        <f>"27"</f>
        <v>27</v>
      </c>
      <c r="G358" s="69" t="s">
        <v>346</v>
      </c>
    </row>
    <row r="359" spans="1:7" ht="19.5" customHeight="1">
      <c r="A359" s="69">
        <v>358</v>
      </c>
      <c r="B359" s="69" t="s">
        <v>344</v>
      </c>
      <c r="C359" s="69" t="s">
        <v>372</v>
      </c>
      <c r="D359" s="69" t="str">
        <f>"202109121228"</f>
        <v>202109121228</v>
      </c>
      <c r="E359" s="69" t="str">
        <f t="shared" si="11"/>
        <v>12</v>
      </c>
      <c r="F359" s="69" t="str">
        <f>"28"</f>
        <v>28</v>
      </c>
      <c r="G359" s="69" t="s">
        <v>346</v>
      </c>
    </row>
    <row r="360" spans="1:7" ht="19.5" customHeight="1">
      <c r="A360" s="69">
        <v>359</v>
      </c>
      <c r="B360" s="69" t="s">
        <v>344</v>
      </c>
      <c r="C360" s="69" t="s">
        <v>373</v>
      </c>
      <c r="D360" s="69" t="str">
        <f>"202109121229"</f>
        <v>202109121229</v>
      </c>
      <c r="E360" s="69" t="str">
        <f t="shared" si="11"/>
        <v>12</v>
      </c>
      <c r="F360" s="69" t="str">
        <f>"29"</f>
        <v>29</v>
      </c>
      <c r="G360" s="69" t="s">
        <v>346</v>
      </c>
    </row>
    <row r="361" spans="1:7" ht="19.5" customHeight="1">
      <c r="A361" s="69">
        <v>360</v>
      </c>
      <c r="B361" s="69" t="s">
        <v>344</v>
      </c>
      <c r="C361" s="69" t="s">
        <v>374</v>
      </c>
      <c r="D361" s="69" t="str">
        <f>"202109121230"</f>
        <v>202109121230</v>
      </c>
      <c r="E361" s="69" t="str">
        <f t="shared" si="11"/>
        <v>12</v>
      </c>
      <c r="F361" s="69" t="str">
        <f>"30"</f>
        <v>30</v>
      </c>
      <c r="G361" s="69" t="s">
        <v>346</v>
      </c>
    </row>
    <row r="362" spans="1:7" ht="19.5" customHeight="1">
      <c r="A362" s="69">
        <v>361</v>
      </c>
      <c r="B362" s="69" t="s">
        <v>375</v>
      </c>
      <c r="C362" s="69" t="s">
        <v>376</v>
      </c>
      <c r="D362" s="69" t="str">
        <f>"202109121301"</f>
        <v>202109121301</v>
      </c>
      <c r="E362" s="69" t="str">
        <f aca="true" t="shared" si="12" ref="E362:E391">"13"</f>
        <v>13</v>
      </c>
      <c r="F362" s="69" t="str">
        <f>"01"</f>
        <v>01</v>
      </c>
      <c r="G362" s="69" t="s">
        <v>377</v>
      </c>
    </row>
    <row r="363" spans="1:7" ht="19.5" customHeight="1">
      <c r="A363" s="69">
        <v>362</v>
      </c>
      <c r="B363" s="69" t="s">
        <v>375</v>
      </c>
      <c r="C363" s="69" t="s">
        <v>378</v>
      </c>
      <c r="D363" s="69" t="str">
        <f>"202109121302"</f>
        <v>202109121302</v>
      </c>
      <c r="E363" s="69" t="str">
        <f t="shared" si="12"/>
        <v>13</v>
      </c>
      <c r="F363" s="69" t="str">
        <f>"02"</f>
        <v>02</v>
      </c>
      <c r="G363" s="69" t="s">
        <v>377</v>
      </c>
    </row>
    <row r="364" spans="1:7" ht="19.5" customHeight="1">
      <c r="A364" s="69">
        <v>363</v>
      </c>
      <c r="B364" s="69" t="s">
        <v>375</v>
      </c>
      <c r="C364" s="69" t="s">
        <v>379</v>
      </c>
      <c r="D364" s="69" t="str">
        <f>"202109121303"</f>
        <v>202109121303</v>
      </c>
      <c r="E364" s="69" t="str">
        <f t="shared" si="12"/>
        <v>13</v>
      </c>
      <c r="F364" s="69" t="str">
        <f>"03"</f>
        <v>03</v>
      </c>
      <c r="G364" s="69" t="s">
        <v>377</v>
      </c>
    </row>
    <row r="365" spans="1:7" ht="19.5" customHeight="1">
      <c r="A365" s="69">
        <v>364</v>
      </c>
      <c r="B365" s="69" t="s">
        <v>375</v>
      </c>
      <c r="C365" s="69" t="s">
        <v>380</v>
      </c>
      <c r="D365" s="69" t="str">
        <f>"202109121304"</f>
        <v>202109121304</v>
      </c>
      <c r="E365" s="69" t="str">
        <f t="shared" si="12"/>
        <v>13</v>
      </c>
      <c r="F365" s="69" t="str">
        <f>"04"</f>
        <v>04</v>
      </c>
      <c r="G365" s="69" t="s">
        <v>377</v>
      </c>
    </row>
    <row r="366" spans="1:7" ht="19.5" customHeight="1">
      <c r="A366" s="69">
        <v>365</v>
      </c>
      <c r="B366" s="69" t="s">
        <v>375</v>
      </c>
      <c r="C366" s="69" t="s">
        <v>381</v>
      </c>
      <c r="D366" s="69" t="str">
        <f>"202109121305"</f>
        <v>202109121305</v>
      </c>
      <c r="E366" s="69" t="str">
        <f t="shared" si="12"/>
        <v>13</v>
      </c>
      <c r="F366" s="69" t="str">
        <f>"05"</f>
        <v>05</v>
      </c>
      <c r="G366" s="69" t="s">
        <v>377</v>
      </c>
    </row>
    <row r="367" spans="1:7" ht="19.5" customHeight="1">
      <c r="A367" s="69">
        <v>366</v>
      </c>
      <c r="B367" s="69" t="s">
        <v>375</v>
      </c>
      <c r="C367" s="69" t="s">
        <v>382</v>
      </c>
      <c r="D367" s="69" t="str">
        <f>"202109121306"</f>
        <v>202109121306</v>
      </c>
      <c r="E367" s="69" t="str">
        <f t="shared" si="12"/>
        <v>13</v>
      </c>
      <c r="F367" s="69" t="str">
        <f>"06"</f>
        <v>06</v>
      </c>
      <c r="G367" s="69" t="s">
        <v>377</v>
      </c>
    </row>
    <row r="368" spans="1:7" ht="19.5" customHeight="1">
      <c r="A368" s="69">
        <v>367</v>
      </c>
      <c r="B368" s="69" t="s">
        <v>375</v>
      </c>
      <c r="C368" s="69" t="s">
        <v>383</v>
      </c>
      <c r="D368" s="69" t="str">
        <f>"202109121307"</f>
        <v>202109121307</v>
      </c>
      <c r="E368" s="69" t="str">
        <f t="shared" si="12"/>
        <v>13</v>
      </c>
      <c r="F368" s="69" t="str">
        <f>"07"</f>
        <v>07</v>
      </c>
      <c r="G368" s="69" t="s">
        <v>377</v>
      </c>
    </row>
    <row r="369" spans="1:7" ht="19.5" customHeight="1">
      <c r="A369" s="69">
        <v>368</v>
      </c>
      <c r="B369" s="69" t="s">
        <v>375</v>
      </c>
      <c r="C369" s="69" t="s">
        <v>384</v>
      </c>
      <c r="D369" s="69" t="str">
        <f>"202109121308"</f>
        <v>202109121308</v>
      </c>
      <c r="E369" s="69" t="str">
        <f t="shared" si="12"/>
        <v>13</v>
      </c>
      <c r="F369" s="69" t="str">
        <f>"08"</f>
        <v>08</v>
      </c>
      <c r="G369" s="69" t="s">
        <v>377</v>
      </c>
    </row>
    <row r="370" spans="1:7" ht="19.5" customHeight="1">
      <c r="A370" s="69">
        <v>369</v>
      </c>
      <c r="B370" s="69" t="s">
        <v>375</v>
      </c>
      <c r="C370" s="69" t="s">
        <v>385</v>
      </c>
      <c r="D370" s="69" t="str">
        <f>"202109121309"</f>
        <v>202109121309</v>
      </c>
      <c r="E370" s="69" t="str">
        <f t="shared" si="12"/>
        <v>13</v>
      </c>
      <c r="F370" s="69" t="str">
        <f>"09"</f>
        <v>09</v>
      </c>
      <c r="G370" s="69" t="s">
        <v>377</v>
      </c>
    </row>
    <row r="371" spans="1:7" ht="19.5" customHeight="1">
      <c r="A371" s="69">
        <v>370</v>
      </c>
      <c r="B371" s="69" t="s">
        <v>375</v>
      </c>
      <c r="C371" s="69" t="s">
        <v>386</v>
      </c>
      <c r="D371" s="69" t="str">
        <f>"202109121310"</f>
        <v>202109121310</v>
      </c>
      <c r="E371" s="69" t="str">
        <f t="shared" si="12"/>
        <v>13</v>
      </c>
      <c r="F371" s="69" t="str">
        <f>"10"</f>
        <v>10</v>
      </c>
      <c r="G371" s="69" t="s">
        <v>377</v>
      </c>
    </row>
    <row r="372" spans="1:7" ht="19.5" customHeight="1">
      <c r="A372" s="69">
        <v>371</v>
      </c>
      <c r="B372" s="69" t="s">
        <v>375</v>
      </c>
      <c r="C372" s="69" t="s">
        <v>387</v>
      </c>
      <c r="D372" s="69" t="str">
        <f>"202109121311"</f>
        <v>202109121311</v>
      </c>
      <c r="E372" s="69" t="str">
        <f t="shared" si="12"/>
        <v>13</v>
      </c>
      <c r="F372" s="69" t="str">
        <f>"11"</f>
        <v>11</v>
      </c>
      <c r="G372" s="69" t="s">
        <v>377</v>
      </c>
    </row>
    <row r="373" spans="1:7" ht="19.5" customHeight="1">
      <c r="A373" s="69">
        <v>372</v>
      </c>
      <c r="B373" s="69" t="s">
        <v>375</v>
      </c>
      <c r="C373" s="69" t="s">
        <v>388</v>
      </c>
      <c r="D373" s="69" t="str">
        <f>"202109121312"</f>
        <v>202109121312</v>
      </c>
      <c r="E373" s="69" t="str">
        <f t="shared" si="12"/>
        <v>13</v>
      </c>
      <c r="F373" s="69" t="str">
        <f>"12"</f>
        <v>12</v>
      </c>
      <c r="G373" s="69" t="s">
        <v>377</v>
      </c>
    </row>
    <row r="374" spans="1:7" ht="19.5" customHeight="1">
      <c r="A374" s="69">
        <v>373</v>
      </c>
      <c r="B374" s="69" t="s">
        <v>375</v>
      </c>
      <c r="C374" s="69" t="s">
        <v>389</v>
      </c>
      <c r="D374" s="69" t="str">
        <f>"202109121313"</f>
        <v>202109121313</v>
      </c>
      <c r="E374" s="69" t="str">
        <f t="shared" si="12"/>
        <v>13</v>
      </c>
      <c r="F374" s="69" t="str">
        <f>"13"</f>
        <v>13</v>
      </c>
      <c r="G374" s="69" t="s">
        <v>377</v>
      </c>
    </row>
    <row r="375" spans="1:7" ht="19.5" customHeight="1">
      <c r="A375" s="69">
        <v>374</v>
      </c>
      <c r="B375" s="69" t="s">
        <v>375</v>
      </c>
      <c r="C375" s="69" t="s">
        <v>390</v>
      </c>
      <c r="D375" s="69" t="str">
        <f>"202109121314"</f>
        <v>202109121314</v>
      </c>
      <c r="E375" s="69" t="str">
        <f t="shared" si="12"/>
        <v>13</v>
      </c>
      <c r="F375" s="69" t="str">
        <f>"14"</f>
        <v>14</v>
      </c>
      <c r="G375" s="69" t="s">
        <v>377</v>
      </c>
    </row>
    <row r="376" spans="1:7" ht="19.5" customHeight="1">
      <c r="A376" s="69">
        <v>375</v>
      </c>
      <c r="B376" s="69" t="s">
        <v>375</v>
      </c>
      <c r="C376" s="69" t="s">
        <v>391</v>
      </c>
      <c r="D376" s="69" t="str">
        <f>"202109121315"</f>
        <v>202109121315</v>
      </c>
      <c r="E376" s="69" t="str">
        <f t="shared" si="12"/>
        <v>13</v>
      </c>
      <c r="F376" s="69" t="str">
        <f>"15"</f>
        <v>15</v>
      </c>
      <c r="G376" s="69" t="s">
        <v>377</v>
      </c>
    </row>
    <row r="377" spans="1:7" ht="19.5" customHeight="1">
      <c r="A377" s="69">
        <v>376</v>
      </c>
      <c r="B377" s="69" t="s">
        <v>375</v>
      </c>
      <c r="C377" s="69" t="s">
        <v>392</v>
      </c>
      <c r="D377" s="69" t="str">
        <f>"202109121316"</f>
        <v>202109121316</v>
      </c>
      <c r="E377" s="69" t="str">
        <f t="shared" si="12"/>
        <v>13</v>
      </c>
      <c r="F377" s="69" t="str">
        <f>"16"</f>
        <v>16</v>
      </c>
      <c r="G377" s="69" t="s">
        <v>377</v>
      </c>
    </row>
    <row r="378" spans="1:7" ht="19.5" customHeight="1">
      <c r="A378" s="69">
        <v>377</v>
      </c>
      <c r="B378" s="69" t="s">
        <v>375</v>
      </c>
      <c r="C378" s="69" t="s">
        <v>393</v>
      </c>
      <c r="D378" s="69" t="str">
        <f>"202109121317"</f>
        <v>202109121317</v>
      </c>
      <c r="E378" s="69" t="str">
        <f t="shared" si="12"/>
        <v>13</v>
      </c>
      <c r="F378" s="69" t="str">
        <f>"17"</f>
        <v>17</v>
      </c>
      <c r="G378" s="69" t="s">
        <v>377</v>
      </c>
    </row>
    <row r="379" spans="1:7" ht="19.5" customHeight="1">
      <c r="A379" s="69">
        <v>378</v>
      </c>
      <c r="B379" s="69" t="s">
        <v>375</v>
      </c>
      <c r="C379" s="69" t="s">
        <v>394</v>
      </c>
      <c r="D379" s="69" t="str">
        <f>"202109121318"</f>
        <v>202109121318</v>
      </c>
      <c r="E379" s="69" t="str">
        <f t="shared" si="12"/>
        <v>13</v>
      </c>
      <c r="F379" s="69" t="str">
        <f>"18"</f>
        <v>18</v>
      </c>
      <c r="G379" s="69" t="s">
        <v>377</v>
      </c>
    </row>
    <row r="380" spans="1:7" ht="19.5" customHeight="1">
      <c r="A380" s="69">
        <v>379</v>
      </c>
      <c r="B380" s="69" t="s">
        <v>375</v>
      </c>
      <c r="C380" s="69" t="s">
        <v>395</v>
      </c>
      <c r="D380" s="69" t="str">
        <f>"202109121319"</f>
        <v>202109121319</v>
      </c>
      <c r="E380" s="69" t="str">
        <f t="shared" si="12"/>
        <v>13</v>
      </c>
      <c r="F380" s="69" t="str">
        <f>"19"</f>
        <v>19</v>
      </c>
      <c r="G380" s="69" t="s">
        <v>377</v>
      </c>
    </row>
    <row r="381" spans="1:7" ht="19.5" customHeight="1">
      <c r="A381" s="69">
        <v>380</v>
      </c>
      <c r="B381" s="69" t="s">
        <v>375</v>
      </c>
      <c r="C381" s="69" t="s">
        <v>396</v>
      </c>
      <c r="D381" s="69" t="str">
        <f>"202109121320"</f>
        <v>202109121320</v>
      </c>
      <c r="E381" s="69" t="str">
        <f t="shared" si="12"/>
        <v>13</v>
      </c>
      <c r="F381" s="69" t="str">
        <f>"20"</f>
        <v>20</v>
      </c>
      <c r="G381" s="69" t="s">
        <v>377</v>
      </c>
    </row>
    <row r="382" spans="1:7" ht="19.5" customHeight="1">
      <c r="A382" s="69">
        <v>381</v>
      </c>
      <c r="B382" s="69" t="s">
        <v>375</v>
      </c>
      <c r="C382" s="69" t="s">
        <v>397</v>
      </c>
      <c r="D382" s="69" t="str">
        <f>"202109121321"</f>
        <v>202109121321</v>
      </c>
      <c r="E382" s="69" t="str">
        <f t="shared" si="12"/>
        <v>13</v>
      </c>
      <c r="F382" s="69" t="str">
        <f>"21"</f>
        <v>21</v>
      </c>
      <c r="G382" s="69" t="s">
        <v>377</v>
      </c>
    </row>
    <row r="383" spans="1:7" ht="19.5" customHeight="1">
      <c r="A383" s="69">
        <v>382</v>
      </c>
      <c r="B383" s="69" t="s">
        <v>375</v>
      </c>
      <c r="C383" s="69" t="s">
        <v>398</v>
      </c>
      <c r="D383" s="69" t="str">
        <f>"202109121322"</f>
        <v>202109121322</v>
      </c>
      <c r="E383" s="69" t="str">
        <f t="shared" si="12"/>
        <v>13</v>
      </c>
      <c r="F383" s="69" t="str">
        <f>"22"</f>
        <v>22</v>
      </c>
      <c r="G383" s="69" t="s">
        <v>377</v>
      </c>
    </row>
    <row r="384" spans="1:7" ht="19.5" customHeight="1">
      <c r="A384" s="69">
        <v>383</v>
      </c>
      <c r="B384" s="69" t="s">
        <v>375</v>
      </c>
      <c r="C384" s="69" t="s">
        <v>399</v>
      </c>
      <c r="D384" s="69" t="str">
        <f>"202109121323"</f>
        <v>202109121323</v>
      </c>
      <c r="E384" s="69" t="str">
        <f t="shared" si="12"/>
        <v>13</v>
      </c>
      <c r="F384" s="69" t="str">
        <f>"23"</f>
        <v>23</v>
      </c>
      <c r="G384" s="69" t="s">
        <v>377</v>
      </c>
    </row>
    <row r="385" spans="1:7" ht="19.5" customHeight="1">
      <c r="A385" s="69">
        <v>384</v>
      </c>
      <c r="B385" s="69" t="s">
        <v>375</v>
      </c>
      <c r="C385" s="69" t="s">
        <v>400</v>
      </c>
      <c r="D385" s="69" t="str">
        <f>"202109121324"</f>
        <v>202109121324</v>
      </c>
      <c r="E385" s="69" t="str">
        <f t="shared" si="12"/>
        <v>13</v>
      </c>
      <c r="F385" s="69" t="str">
        <f>"24"</f>
        <v>24</v>
      </c>
      <c r="G385" s="69" t="s">
        <v>377</v>
      </c>
    </row>
    <row r="386" spans="1:7" ht="19.5" customHeight="1">
      <c r="A386" s="69">
        <v>385</v>
      </c>
      <c r="B386" s="69" t="s">
        <v>375</v>
      </c>
      <c r="C386" s="69" t="s">
        <v>401</v>
      </c>
      <c r="D386" s="69" t="str">
        <f>"202109121325"</f>
        <v>202109121325</v>
      </c>
      <c r="E386" s="69" t="str">
        <f t="shared" si="12"/>
        <v>13</v>
      </c>
      <c r="F386" s="69" t="str">
        <f>"25"</f>
        <v>25</v>
      </c>
      <c r="G386" s="69" t="s">
        <v>377</v>
      </c>
    </row>
    <row r="387" spans="1:7" ht="19.5" customHeight="1">
      <c r="A387" s="69">
        <v>386</v>
      </c>
      <c r="B387" s="69" t="s">
        <v>375</v>
      </c>
      <c r="C387" s="69" t="s">
        <v>402</v>
      </c>
      <c r="D387" s="69" t="str">
        <f>"202109121326"</f>
        <v>202109121326</v>
      </c>
      <c r="E387" s="69" t="str">
        <f t="shared" si="12"/>
        <v>13</v>
      </c>
      <c r="F387" s="69" t="str">
        <f>"26"</f>
        <v>26</v>
      </c>
      <c r="G387" s="69" t="s">
        <v>377</v>
      </c>
    </row>
    <row r="388" spans="1:7" ht="19.5" customHeight="1">
      <c r="A388" s="69">
        <v>387</v>
      </c>
      <c r="B388" s="69" t="s">
        <v>375</v>
      </c>
      <c r="C388" s="69" t="s">
        <v>403</v>
      </c>
      <c r="D388" s="69" t="str">
        <f>"202109121327"</f>
        <v>202109121327</v>
      </c>
      <c r="E388" s="69" t="str">
        <f t="shared" si="12"/>
        <v>13</v>
      </c>
      <c r="F388" s="69" t="str">
        <f>"27"</f>
        <v>27</v>
      </c>
      <c r="G388" s="69" t="s">
        <v>377</v>
      </c>
    </row>
    <row r="389" spans="1:7" ht="19.5" customHeight="1">
      <c r="A389" s="69">
        <v>388</v>
      </c>
      <c r="B389" s="69" t="s">
        <v>375</v>
      </c>
      <c r="C389" s="69" t="s">
        <v>404</v>
      </c>
      <c r="D389" s="69" t="str">
        <f>"202109121328"</f>
        <v>202109121328</v>
      </c>
      <c r="E389" s="69" t="str">
        <f t="shared" si="12"/>
        <v>13</v>
      </c>
      <c r="F389" s="69" t="str">
        <f>"28"</f>
        <v>28</v>
      </c>
      <c r="G389" s="69" t="s">
        <v>377</v>
      </c>
    </row>
    <row r="390" spans="1:7" ht="19.5" customHeight="1">
      <c r="A390" s="69">
        <v>389</v>
      </c>
      <c r="B390" s="69" t="s">
        <v>375</v>
      </c>
      <c r="C390" s="69" t="s">
        <v>405</v>
      </c>
      <c r="D390" s="69" t="str">
        <f>"202109121329"</f>
        <v>202109121329</v>
      </c>
      <c r="E390" s="69" t="str">
        <f t="shared" si="12"/>
        <v>13</v>
      </c>
      <c r="F390" s="69" t="str">
        <f>"29"</f>
        <v>29</v>
      </c>
      <c r="G390" s="69" t="s">
        <v>377</v>
      </c>
    </row>
    <row r="391" spans="1:7" ht="19.5" customHeight="1">
      <c r="A391" s="69">
        <v>390</v>
      </c>
      <c r="B391" s="69" t="s">
        <v>375</v>
      </c>
      <c r="C391" s="69" t="s">
        <v>406</v>
      </c>
      <c r="D391" s="69" t="str">
        <f>"202109121330"</f>
        <v>202109121330</v>
      </c>
      <c r="E391" s="69" t="str">
        <f t="shared" si="12"/>
        <v>13</v>
      </c>
      <c r="F391" s="69" t="str">
        <f>"30"</f>
        <v>30</v>
      </c>
      <c r="G391" s="69" t="s">
        <v>377</v>
      </c>
    </row>
    <row r="392" spans="1:7" ht="19.5" customHeight="1">
      <c r="A392" s="69">
        <v>391</v>
      </c>
      <c r="B392" s="69" t="s">
        <v>375</v>
      </c>
      <c r="C392" s="69" t="s">
        <v>407</v>
      </c>
      <c r="D392" s="69" t="str">
        <f>"202109121401"</f>
        <v>202109121401</v>
      </c>
      <c r="E392" s="69" t="str">
        <f aca="true" t="shared" si="13" ref="E392:E421">"14"</f>
        <v>14</v>
      </c>
      <c r="F392" s="69" t="str">
        <f>"01"</f>
        <v>01</v>
      </c>
      <c r="G392" s="69" t="s">
        <v>377</v>
      </c>
    </row>
    <row r="393" spans="1:7" ht="19.5" customHeight="1">
      <c r="A393" s="69">
        <v>392</v>
      </c>
      <c r="B393" s="69" t="s">
        <v>375</v>
      </c>
      <c r="C393" s="69" t="s">
        <v>408</v>
      </c>
      <c r="D393" s="69" t="str">
        <f>"202109121402"</f>
        <v>202109121402</v>
      </c>
      <c r="E393" s="69" t="str">
        <f t="shared" si="13"/>
        <v>14</v>
      </c>
      <c r="F393" s="69" t="str">
        <f>"02"</f>
        <v>02</v>
      </c>
      <c r="G393" s="69" t="s">
        <v>377</v>
      </c>
    </row>
    <row r="394" spans="1:7" ht="19.5" customHeight="1">
      <c r="A394" s="69">
        <v>393</v>
      </c>
      <c r="B394" s="69" t="s">
        <v>375</v>
      </c>
      <c r="C394" s="69" t="s">
        <v>409</v>
      </c>
      <c r="D394" s="69" t="str">
        <f>"202109121403"</f>
        <v>202109121403</v>
      </c>
      <c r="E394" s="69" t="str">
        <f t="shared" si="13"/>
        <v>14</v>
      </c>
      <c r="F394" s="69" t="str">
        <f>"03"</f>
        <v>03</v>
      </c>
      <c r="G394" s="69" t="s">
        <v>377</v>
      </c>
    </row>
    <row r="395" spans="1:7" ht="19.5" customHeight="1">
      <c r="A395" s="69">
        <v>394</v>
      </c>
      <c r="B395" s="69" t="s">
        <v>375</v>
      </c>
      <c r="C395" s="69" t="s">
        <v>410</v>
      </c>
      <c r="D395" s="69" t="str">
        <f>"202109121404"</f>
        <v>202109121404</v>
      </c>
      <c r="E395" s="69" t="str">
        <f t="shared" si="13"/>
        <v>14</v>
      </c>
      <c r="F395" s="69" t="str">
        <f>"04"</f>
        <v>04</v>
      </c>
      <c r="G395" s="69" t="s">
        <v>377</v>
      </c>
    </row>
    <row r="396" spans="1:7" ht="19.5" customHeight="1">
      <c r="A396" s="69">
        <v>395</v>
      </c>
      <c r="B396" s="69" t="s">
        <v>375</v>
      </c>
      <c r="C396" s="69" t="s">
        <v>411</v>
      </c>
      <c r="D396" s="69" t="str">
        <f>"202109121405"</f>
        <v>202109121405</v>
      </c>
      <c r="E396" s="69" t="str">
        <f t="shared" si="13"/>
        <v>14</v>
      </c>
      <c r="F396" s="69" t="str">
        <f>"05"</f>
        <v>05</v>
      </c>
      <c r="G396" s="69" t="s">
        <v>377</v>
      </c>
    </row>
    <row r="397" spans="1:7" ht="19.5" customHeight="1">
      <c r="A397" s="69">
        <v>396</v>
      </c>
      <c r="B397" s="69" t="s">
        <v>375</v>
      </c>
      <c r="C397" s="69" t="s">
        <v>412</v>
      </c>
      <c r="D397" s="69" t="str">
        <f>"202109121406"</f>
        <v>202109121406</v>
      </c>
      <c r="E397" s="69" t="str">
        <f t="shared" si="13"/>
        <v>14</v>
      </c>
      <c r="F397" s="69" t="str">
        <f>"06"</f>
        <v>06</v>
      </c>
      <c r="G397" s="69" t="s">
        <v>377</v>
      </c>
    </row>
    <row r="398" spans="1:7" ht="19.5" customHeight="1">
      <c r="A398" s="69">
        <v>397</v>
      </c>
      <c r="B398" s="69" t="s">
        <v>375</v>
      </c>
      <c r="C398" s="69" t="s">
        <v>413</v>
      </c>
      <c r="D398" s="69" t="str">
        <f>"202109121407"</f>
        <v>202109121407</v>
      </c>
      <c r="E398" s="69" t="str">
        <f t="shared" si="13"/>
        <v>14</v>
      </c>
      <c r="F398" s="69" t="str">
        <f>"07"</f>
        <v>07</v>
      </c>
      <c r="G398" s="69" t="s">
        <v>377</v>
      </c>
    </row>
    <row r="399" spans="1:7" ht="19.5" customHeight="1">
      <c r="A399" s="69">
        <v>398</v>
      </c>
      <c r="B399" s="69" t="s">
        <v>375</v>
      </c>
      <c r="C399" s="69" t="s">
        <v>414</v>
      </c>
      <c r="D399" s="69" t="str">
        <f>"202109121408"</f>
        <v>202109121408</v>
      </c>
      <c r="E399" s="69" t="str">
        <f t="shared" si="13"/>
        <v>14</v>
      </c>
      <c r="F399" s="69" t="str">
        <f>"08"</f>
        <v>08</v>
      </c>
      <c r="G399" s="69" t="s">
        <v>377</v>
      </c>
    </row>
    <row r="400" spans="1:7" ht="19.5" customHeight="1">
      <c r="A400" s="69">
        <v>399</v>
      </c>
      <c r="B400" s="69" t="s">
        <v>375</v>
      </c>
      <c r="C400" s="69" t="s">
        <v>415</v>
      </c>
      <c r="D400" s="69" t="str">
        <f>"202109121409"</f>
        <v>202109121409</v>
      </c>
      <c r="E400" s="69" t="str">
        <f t="shared" si="13"/>
        <v>14</v>
      </c>
      <c r="F400" s="69" t="str">
        <f>"09"</f>
        <v>09</v>
      </c>
      <c r="G400" s="69" t="s">
        <v>377</v>
      </c>
    </row>
    <row r="401" spans="1:7" ht="19.5" customHeight="1">
      <c r="A401" s="69">
        <v>400</v>
      </c>
      <c r="B401" s="69" t="s">
        <v>375</v>
      </c>
      <c r="C401" s="69" t="s">
        <v>416</v>
      </c>
      <c r="D401" s="69" t="str">
        <f>"202109121410"</f>
        <v>202109121410</v>
      </c>
      <c r="E401" s="69" t="str">
        <f t="shared" si="13"/>
        <v>14</v>
      </c>
      <c r="F401" s="69" t="str">
        <f>"10"</f>
        <v>10</v>
      </c>
      <c r="G401" s="69" t="s">
        <v>377</v>
      </c>
    </row>
    <row r="402" spans="1:7" ht="19.5" customHeight="1">
      <c r="A402" s="69">
        <v>401</v>
      </c>
      <c r="B402" s="69" t="s">
        <v>375</v>
      </c>
      <c r="C402" s="69" t="s">
        <v>417</v>
      </c>
      <c r="D402" s="69" t="str">
        <f>"202109121411"</f>
        <v>202109121411</v>
      </c>
      <c r="E402" s="69" t="str">
        <f t="shared" si="13"/>
        <v>14</v>
      </c>
      <c r="F402" s="69" t="str">
        <f>"11"</f>
        <v>11</v>
      </c>
      <c r="G402" s="69" t="s">
        <v>377</v>
      </c>
    </row>
    <row r="403" spans="1:7" ht="19.5" customHeight="1">
      <c r="A403" s="69">
        <v>402</v>
      </c>
      <c r="B403" s="69" t="s">
        <v>375</v>
      </c>
      <c r="C403" s="69" t="s">
        <v>418</v>
      </c>
      <c r="D403" s="69" t="str">
        <f>"202109121412"</f>
        <v>202109121412</v>
      </c>
      <c r="E403" s="69" t="str">
        <f t="shared" si="13"/>
        <v>14</v>
      </c>
      <c r="F403" s="69" t="str">
        <f>"12"</f>
        <v>12</v>
      </c>
      <c r="G403" s="69" t="s">
        <v>377</v>
      </c>
    </row>
    <row r="404" spans="1:7" ht="19.5" customHeight="1">
      <c r="A404" s="69">
        <v>403</v>
      </c>
      <c r="B404" s="69" t="s">
        <v>375</v>
      </c>
      <c r="C404" s="69" t="s">
        <v>419</v>
      </c>
      <c r="D404" s="69" t="str">
        <f>"202109121413"</f>
        <v>202109121413</v>
      </c>
      <c r="E404" s="69" t="str">
        <f t="shared" si="13"/>
        <v>14</v>
      </c>
      <c r="F404" s="69" t="str">
        <f>"13"</f>
        <v>13</v>
      </c>
      <c r="G404" s="69" t="s">
        <v>377</v>
      </c>
    </row>
    <row r="405" spans="1:7" ht="19.5" customHeight="1">
      <c r="A405" s="69">
        <v>404</v>
      </c>
      <c r="B405" s="69" t="s">
        <v>375</v>
      </c>
      <c r="C405" s="69" t="s">
        <v>420</v>
      </c>
      <c r="D405" s="69" t="str">
        <f>"202109121414"</f>
        <v>202109121414</v>
      </c>
      <c r="E405" s="69" t="str">
        <f t="shared" si="13"/>
        <v>14</v>
      </c>
      <c r="F405" s="69" t="str">
        <f>"14"</f>
        <v>14</v>
      </c>
      <c r="G405" s="69" t="s">
        <v>377</v>
      </c>
    </row>
    <row r="406" spans="1:7" ht="19.5" customHeight="1">
      <c r="A406" s="69">
        <v>405</v>
      </c>
      <c r="B406" s="69" t="s">
        <v>375</v>
      </c>
      <c r="C406" s="69" t="s">
        <v>421</v>
      </c>
      <c r="D406" s="69" t="str">
        <f>"202109121415"</f>
        <v>202109121415</v>
      </c>
      <c r="E406" s="69" t="str">
        <f t="shared" si="13"/>
        <v>14</v>
      </c>
      <c r="F406" s="69" t="str">
        <f>"15"</f>
        <v>15</v>
      </c>
      <c r="G406" s="69" t="s">
        <v>377</v>
      </c>
    </row>
    <row r="407" spans="1:7" ht="19.5" customHeight="1">
      <c r="A407" s="69">
        <v>406</v>
      </c>
      <c r="B407" s="69" t="s">
        <v>422</v>
      </c>
      <c r="C407" s="69" t="s">
        <v>423</v>
      </c>
      <c r="D407" s="69" t="str">
        <f>"202109121416"</f>
        <v>202109121416</v>
      </c>
      <c r="E407" s="69" t="str">
        <f t="shared" si="13"/>
        <v>14</v>
      </c>
      <c r="F407" s="69" t="str">
        <f>"16"</f>
        <v>16</v>
      </c>
      <c r="G407" s="69" t="s">
        <v>424</v>
      </c>
    </row>
    <row r="408" spans="1:7" ht="19.5" customHeight="1">
      <c r="A408" s="69">
        <v>407</v>
      </c>
      <c r="B408" s="69" t="s">
        <v>422</v>
      </c>
      <c r="C408" s="69" t="s">
        <v>425</v>
      </c>
      <c r="D408" s="69" t="str">
        <f>"202109121417"</f>
        <v>202109121417</v>
      </c>
      <c r="E408" s="69" t="str">
        <f t="shared" si="13"/>
        <v>14</v>
      </c>
      <c r="F408" s="69" t="str">
        <f>"17"</f>
        <v>17</v>
      </c>
      <c r="G408" s="69" t="s">
        <v>424</v>
      </c>
    </row>
    <row r="409" spans="1:7" ht="19.5" customHeight="1">
      <c r="A409" s="69">
        <v>408</v>
      </c>
      <c r="B409" s="69" t="s">
        <v>422</v>
      </c>
      <c r="C409" s="69" t="s">
        <v>426</v>
      </c>
      <c r="D409" s="69" t="str">
        <f>"202109121418"</f>
        <v>202109121418</v>
      </c>
      <c r="E409" s="69" t="str">
        <f t="shared" si="13"/>
        <v>14</v>
      </c>
      <c r="F409" s="69" t="str">
        <f>"18"</f>
        <v>18</v>
      </c>
      <c r="G409" s="69" t="s">
        <v>424</v>
      </c>
    </row>
    <row r="410" spans="1:7" ht="19.5" customHeight="1">
      <c r="A410" s="69">
        <v>409</v>
      </c>
      <c r="B410" s="69" t="s">
        <v>422</v>
      </c>
      <c r="C410" s="69" t="s">
        <v>427</v>
      </c>
      <c r="D410" s="69" t="str">
        <f>"202109121419"</f>
        <v>202109121419</v>
      </c>
      <c r="E410" s="69" t="str">
        <f t="shared" si="13"/>
        <v>14</v>
      </c>
      <c r="F410" s="69" t="str">
        <f>"19"</f>
        <v>19</v>
      </c>
      <c r="G410" s="69" t="s">
        <v>424</v>
      </c>
    </row>
    <row r="411" spans="1:7" ht="19.5" customHeight="1">
      <c r="A411" s="69">
        <v>410</v>
      </c>
      <c r="B411" s="69" t="s">
        <v>422</v>
      </c>
      <c r="C411" s="69" t="s">
        <v>428</v>
      </c>
      <c r="D411" s="69" t="str">
        <f>"202109121420"</f>
        <v>202109121420</v>
      </c>
      <c r="E411" s="69" t="str">
        <f t="shared" si="13"/>
        <v>14</v>
      </c>
      <c r="F411" s="69" t="str">
        <f>"20"</f>
        <v>20</v>
      </c>
      <c r="G411" s="69" t="s">
        <v>424</v>
      </c>
    </row>
    <row r="412" spans="1:7" ht="19.5" customHeight="1">
      <c r="A412" s="69">
        <v>411</v>
      </c>
      <c r="B412" s="69" t="s">
        <v>422</v>
      </c>
      <c r="C412" s="69" t="s">
        <v>429</v>
      </c>
      <c r="D412" s="69" t="str">
        <f>"202109121421"</f>
        <v>202109121421</v>
      </c>
      <c r="E412" s="69" t="str">
        <f t="shared" si="13"/>
        <v>14</v>
      </c>
      <c r="F412" s="69" t="str">
        <f>"21"</f>
        <v>21</v>
      </c>
      <c r="G412" s="69" t="s">
        <v>424</v>
      </c>
    </row>
    <row r="413" spans="1:7" ht="19.5" customHeight="1">
      <c r="A413" s="69">
        <v>412</v>
      </c>
      <c r="B413" s="69" t="s">
        <v>422</v>
      </c>
      <c r="C413" s="69" t="s">
        <v>430</v>
      </c>
      <c r="D413" s="69" t="str">
        <f>"202109121422"</f>
        <v>202109121422</v>
      </c>
      <c r="E413" s="69" t="str">
        <f t="shared" si="13"/>
        <v>14</v>
      </c>
      <c r="F413" s="69" t="str">
        <f>"22"</f>
        <v>22</v>
      </c>
      <c r="G413" s="69" t="s">
        <v>424</v>
      </c>
    </row>
    <row r="414" spans="1:7" ht="19.5" customHeight="1">
      <c r="A414" s="69">
        <v>413</v>
      </c>
      <c r="B414" s="69" t="s">
        <v>422</v>
      </c>
      <c r="C414" s="69" t="s">
        <v>431</v>
      </c>
      <c r="D414" s="69" t="str">
        <f>"202109121423"</f>
        <v>202109121423</v>
      </c>
      <c r="E414" s="69" t="str">
        <f t="shared" si="13"/>
        <v>14</v>
      </c>
      <c r="F414" s="69" t="str">
        <f>"23"</f>
        <v>23</v>
      </c>
      <c r="G414" s="69" t="s">
        <v>424</v>
      </c>
    </row>
    <row r="415" spans="1:7" ht="19.5" customHeight="1">
      <c r="A415" s="69">
        <v>414</v>
      </c>
      <c r="B415" s="69" t="s">
        <v>422</v>
      </c>
      <c r="C415" s="69" t="s">
        <v>432</v>
      </c>
      <c r="D415" s="69" t="str">
        <f>"202109121424"</f>
        <v>202109121424</v>
      </c>
      <c r="E415" s="69" t="str">
        <f t="shared" si="13"/>
        <v>14</v>
      </c>
      <c r="F415" s="69" t="str">
        <f>"24"</f>
        <v>24</v>
      </c>
      <c r="G415" s="69" t="s">
        <v>424</v>
      </c>
    </row>
    <row r="416" spans="1:7" ht="19.5" customHeight="1">
      <c r="A416" s="69">
        <v>415</v>
      </c>
      <c r="B416" s="69" t="s">
        <v>422</v>
      </c>
      <c r="C416" s="69" t="s">
        <v>433</v>
      </c>
      <c r="D416" s="69" t="str">
        <f>"202109121425"</f>
        <v>202109121425</v>
      </c>
      <c r="E416" s="69" t="str">
        <f t="shared" si="13"/>
        <v>14</v>
      </c>
      <c r="F416" s="69" t="str">
        <f>"25"</f>
        <v>25</v>
      </c>
      <c r="G416" s="69" t="s">
        <v>424</v>
      </c>
    </row>
    <row r="417" spans="1:7" ht="19.5" customHeight="1">
      <c r="A417" s="69">
        <v>416</v>
      </c>
      <c r="B417" s="69" t="s">
        <v>422</v>
      </c>
      <c r="C417" s="69" t="s">
        <v>434</v>
      </c>
      <c r="D417" s="69" t="str">
        <f>"202109121426"</f>
        <v>202109121426</v>
      </c>
      <c r="E417" s="69" t="str">
        <f t="shared" si="13"/>
        <v>14</v>
      </c>
      <c r="F417" s="69" t="str">
        <f>"26"</f>
        <v>26</v>
      </c>
      <c r="G417" s="69" t="s">
        <v>424</v>
      </c>
    </row>
    <row r="418" spans="1:7" ht="19.5" customHeight="1">
      <c r="A418" s="69">
        <v>417</v>
      </c>
      <c r="B418" s="69" t="s">
        <v>422</v>
      </c>
      <c r="C418" s="69" t="s">
        <v>435</v>
      </c>
      <c r="D418" s="69" t="str">
        <f>"202109121427"</f>
        <v>202109121427</v>
      </c>
      <c r="E418" s="69" t="str">
        <f t="shared" si="13"/>
        <v>14</v>
      </c>
      <c r="F418" s="69" t="str">
        <f>"27"</f>
        <v>27</v>
      </c>
      <c r="G418" s="69" t="s">
        <v>424</v>
      </c>
    </row>
    <row r="419" spans="1:7" ht="19.5" customHeight="1">
      <c r="A419" s="69">
        <v>418</v>
      </c>
      <c r="B419" s="69" t="s">
        <v>422</v>
      </c>
      <c r="C419" s="69" t="s">
        <v>436</v>
      </c>
      <c r="D419" s="69" t="str">
        <f>"202109121428"</f>
        <v>202109121428</v>
      </c>
      <c r="E419" s="69" t="str">
        <f t="shared" si="13"/>
        <v>14</v>
      </c>
      <c r="F419" s="69" t="str">
        <f>"28"</f>
        <v>28</v>
      </c>
      <c r="G419" s="69" t="s">
        <v>424</v>
      </c>
    </row>
    <row r="420" spans="1:7" ht="19.5" customHeight="1">
      <c r="A420" s="69">
        <v>419</v>
      </c>
      <c r="B420" s="69" t="s">
        <v>422</v>
      </c>
      <c r="C420" s="69" t="s">
        <v>437</v>
      </c>
      <c r="D420" s="69" t="str">
        <f>"202109121429"</f>
        <v>202109121429</v>
      </c>
      <c r="E420" s="69" t="str">
        <f t="shared" si="13"/>
        <v>14</v>
      </c>
      <c r="F420" s="69" t="str">
        <f>"29"</f>
        <v>29</v>
      </c>
      <c r="G420" s="69" t="s">
        <v>424</v>
      </c>
    </row>
    <row r="421" spans="1:7" ht="19.5" customHeight="1">
      <c r="A421" s="69">
        <v>420</v>
      </c>
      <c r="B421" s="69" t="s">
        <v>422</v>
      </c>
      <c r="C421" s="69" t="s">
        <v>438</v>
      </c>
      <c r="D421" s="69" t="str">
        <f>"202109121430"</f>
        <v>202109121430</v>
      </c>
      <c r="E421" s="69" t="str">
        <f t="shared" si="13"/>
        <v>14</v>
      </c>
      <c r="F421" s="69" t="str">
        <f>"30"</f>
        <v>30</v>
      </c>
      <c r="G421" s="69" t="s">
        <v>424</v>
      </c>
    </row>
    <row r="422" spans="1:7" ht="19.5" customHeight="1">
      <c r="A422" s="69">
        <v>421</v>
      </c>
      <c r="B422" s="69" t="s">
        <v>439</v>
      </c>
      <c r="C422" s="69" t="s">
        <v>440</v>
      </c>
      <c r="D422" s="69" t="str">
        <f>"202109121501"</f>
        <v>202109121501</v>
      </c>
      <c r="E422" s="69" t="str">
        <f aca="true" t="shared" si="14" ref="E422:E451">"15"</f>
        <v>15</v>
      </c>
      <c r="F422" s="69" t="str">
        <f>"01"</f>
        <v>01</v>
      </c>
      <c r="G422" s="69" t="s">
        <v>441</v>
      </c>
    </row>
    <row r="423" spans="1:7" ht="19.5" customHeight="1">
      <c r="A423" s="69">
        <v>422</v>
      </c>
      <c r="B423" s="69" t="s">
        <v>439</v>
      </c>
      <c r="C423" s="69" t="s">
        <v>442</v>
      </c>
      <c r="D423" s="69" t="str">
        <f>"202109121502"</f>
        <v>202109121502</v>
      </c>
      <c r="E423" s="69" t="str">
        <f t="shared" si="14"/>
        <v>15</v>
      </c>
      <c r="F423" s="69" t="str">
        <f>"02"</f>
        <v>02</v>
      </c>
      <c r="G423" s="69" t="s">
        <v>441</v>
      </c>
    </row>
    <row r="424" spans="1:7" ht="19.5" customHeight="1">
      <c r="A424" s="69">
        <v>423</v>
      </c>
      <c r="B424" s="69" t="s">
        <v>439</v>
      </c>
      <c r="C424" s="69" t="s">
        <v>443</v>
      </c>
      <c r="D424" s="69" t="str">
        <f>"202109121503"</f>
        <v>202109121503</v>
      </c>
      <c r="E424" s="69" t="str">
        <f t="shared" si="14"/>
        <v>15</v>
      </c>
      <c r="F424" s="69" t="str">
        <f>"03"</f>
        <v>03</v>
      </c>
      <c r="G424" s="69" t="s">
        <v>441</v>
      </c>
    </row>
    <row r="425" spans="1:7" ht="19.5" customHeight="1">
      <c r="A425" s="69">
        <v>424</v>
      </c>
      <c r="B425" s="69" t="s">
        <v>439</v>
      </c>
      <c r="C425" s="69" t="s">
        <v>444</v>
      </c>
      <c r="D425" s="69" t="str">
        <f>"202109121504"</f>
        <v>202109121504</v>
      </c>
      <c r="E425" s="69" t="str">
        <f t="shared" si="14"/>
        <v>15</v>
      </c>
      <c r="F425" s="69" t="str">
        <f>"04"</f>
        <v>04</v>
      </c>
      <c r="G425" s="69" t="s">
        <v>441</v>
      </c>
    </row>
    <row r="426" spans="1:7" ht="19.5" customHeight="1">
      <c r="A426" s="69">
        <v>425</v>
      </c>
      <c r="B426" s="69" t="s">
        <v>439</v>
      </c>
      <c r="C426" s="69" t="s">
        <v>445</v>
      </c>
      <c r="D426" s="69" t="str">
        <f>"202109121505"</f>
        <v>202109121505</v>
      </c>
      <c r="E426" s="69" t="str">
        <f t="shared" si="14"/>
        <v>15</v>
      </c>
      <c r="F426" s="69" t="str">
        <f>"05"</f>
        <v>05</v>
      </c>
      <c r="G426" s="69" t="s">
        <v>441</v>
      </c>
    </row>
    <row r="427" spans="1:7" ht="19.5" customHeight="1">
      <c r="A427" s="69">
        <v>426</v>
      </c>
      <c r="B427" s="69" t="s">
        <v>446</v>
      </c>
      <c r="C427" s="69" t="s">
        <v>447</v>
      </c>
      <c r="D427" s="69" t="str">
        <f>"202109121506"</f>
        <v>202109121506</v>
      </c>
      <c r="E427" s="69" t="str">
        <f t="shared" si="14"/>
        <v>15</v>
      </c>
      <c r="F427" s="69" t="str">
        <f>"06"</f>
        <v>06</v>
      </c>
      <c r="G427" s="69" t="s">
        <v>448</v>
      </c>
    </row>
    <row r="428" spans="1:7" ht="19.5" customHeight="1">
      <c r="A428" s="69">
        <v>427</v>
      </c>
      <c r="B428" s="69" t="s">
        <v>446</v>
      </c>
      <c r="C428" s="69" t="s">
        <v>449</v>
      </c>
      <c r="D428" s="69" t="str">
        <f>"202109121507"</f>
        <v>202109121507</v>
      </c>
      <c r="E428" s="69" t="str">
        <f t="shared" si="14"/>
        <v>15</v>
      </c>
      <c r="F428" s="69" t="str">
        <f>"07"</f>
        <v>07</v>
      </c>
      <c r="G428" s="69" t="s">
        <v>448</v>
      </c>
    </row>
    <row r="429" spans="1:7" ht="19.5" customHeight="1">
      <c r="A429" s="69">
        <v>428</v>
      </c>
      <c r="B429" s="69" t="s">
        <v>446</v>
      </c>
      <c r="C429" s="69" t="s">
        <v>450</v>
      </c>
      <c r="D429" s="69" t="str">
        <f>"202109121508"</f>
        <v>202109121508</v>
      </c>
      <c r="E429" s="69" t="str">
        <f t="shared" si="14"/>
        <v>15</v>
      </c>
      <c r="F429" s="69" t="str">
        <f>"08"</f>
        <v>08</v>
      </c>
      <c r="G429" s="69" t="s">
        <v>448</v>
      </c>
    </row>
    <row r="430" spans="1:7" ht="19.5" customHeight="1">
      <c r="A430" s="69">
        <v>429</v>
      </c>
      <c r="B430" s="69" t="s">
        <v>446</v>
      </c>
      <c r="C430" s="69" t="s">
        <v>451</v>
      </c>
      <c r="D430" s="69" t="str">
        <f>"202109121509"</f>
        <v>202109121509</v>
      </c>
      <c r="E430" s="69" t="str">
        <f t="shared" si="14"/>
        <v>15</v>
      </c>
      <c r="F430" s="69" t="str">
        <f>"09"</f>
        <v>09</v>
      </c>
      <c r="G430" s="69" t="s">
        <v>448</v>
      </c>
    </row>
    <row r="431" spans="1:7" ht="19.5" customHeight="1">
      <c r="A431" s="69">
        <v>430</v>
      </c>
      <c r="B431" s="69" t="s">
        <v>446</v>
      </c>
      <c r="C431" s="69" t="s">
        <v>452</v>
      </c>
      <c r="D431" s="69" t="str">
        <f>"202109121510"</f>
        <v>202109121510</v>
      </c>
      <c r="E431" s="69" t="str">
        <f t="shared" si="14"/>
        <v>15</v>
      </c>
      <c r="F431" s="69" t="str">
        <f>"10"</f>
        <v>10</v>
      </c>
      <c r="G431" s="69" t="s">
        <v>448</v>
      </c>
    </row>
    <row r="432" spans="1:7" ht="19.5" customHeight="1">
      <c r="A432" s="69">
        <v>431</v>
      </c>
      <c r="B432" s="69" t="s">
        <v>446</v>
      </c>
      <c r="C432" s="69" t="s">
        <v>453</v>
      </c>
      <c r="D432" s="69" t="str">
        <f>"202109121511"</f>
        <v>202109121511</v>
      </c>
      <c r="E432" s="69" t="str">
        <f t="shared" si="14"/>
        <v>15</v>
      </c>
      <c r="F432" s="69" t="str">
        <f>"11"</f>
        <v>11</v>
      </c>
      <c r="G432" s="69" t="s">
        <v>448</v>
      </c>
    </row>
    <row r="433" spans="1:7" ht="19.5" customHeight="1">
      <c r="A433" s="69">
        <v>432</v>
      </c>
      <c r="B433" s="69" t="s">
        <v>446</v>
      </c>
      <c r="C433" s="69" t="s">
        <v>454</v>
      </c>
      <c r="D433" s="69" t="str">
        <f>"202109121512"</f>
        <v>202109121512</v>
      </c>
      <c r="E433" s="69" t="str">
        <f t="shared" si="14"/>
        <v>15</v>
      </c>
      <c r="F433" s="69" t="str">
        <f>"12"</f>
        <v>12</v>
      </c>
      <c r="G433" s="69" t="s">
        <v>448</v>
      </c>
    </row>
    <row r="434" spans="1:7" ht="19.5" customHeight="1">
      <c r="A434" s="69">
        <v>433</v>
      </c>
      <c r="B434" s="69" t="s">
        <v>446</v>
      </c>
      <c r="C434" s="69" t="s">
        <v>455</v>
      </c>
      <c r="D434" s="69" t="str">
        <f>"202109121513"</f>
        <v>202109121513</v>
      </c>
      <c r="E434" s="69" t="str">
        <f t="shared" si="14"/>
        <v>15</v>
      </c>
      <c r="F434" s="69" t="str">
        <f>"13"</f>
        <v>13</v>
      </c>
      <c r="G434" s="69" t="s">
        <v>448</v>
      </c>
    </row>
    <row r="435" spans="1:7" ht="19.5" customHeight="1">
      <c r="A435" s="69">
        <v>434</v>
      </c>
      <c r="B435" s="69" t="s">
        <v>446</v>
      </c>
      <c r="C435" s="69" t="s">
        <v>456</v>
      </c>
      <c r="D435" s="69" t="str">
        <f>"202109121514"</f>
        <v>202109121514</v>
      </c>
      <c r="E435" s="69" t="str">
        <f t="shared" si="14"/>
        <v>15</v>
      </c>
      <c r="F435" s="69" t="str">
        <f>"14"</f>
        <v>14</v>
      </c>
      <c r="G435" s="69" t="s">
        <v>448</v>
      </c>
    </row>
    <row r="436" spans="1:7" ht="19.5" customHeight="1">
      <c r="A436" s="69">
        <v>435</v>
      </c>
      <c r="B436" s="69" t="s">
        <v>446</v>
      </c>
      <c r="C436" s="69" t="s">
        <v>457</v>
      </c>
      <c r="D436" s="69" t="str">
        <f>"202109121515"</f>
        <v>202109121515</v>
      </c>
      <c r="E436" s="69" t="str">
        <f t="shared" si="14"/>
        <v>15</v>
      </c>
      <c r="F436" s="69" t="str">
        <f>"15"</f>
        <v>15</v>
      </c>
      <c r="G436" s="69" t="s">
        <v>448</v>
      </c>
    </row>
    <row r="437" spans="1:7" ht="19.5" customHeight="1">
      <c r="A437" s="69">
        <v>436</v>
      </c>
      <c r="B437" s="69" t="s">
        <v>446</v>
      </c>
      <c r="C437" s="69" t="s">
        <v>458</v>
      </c>
      <c r="D437" s="69" t="str">
        <f>"202109121516"</f>
        <v>202109121516</v>
      </c>
      <c r="E437" s="69" t="str">
        <f t="shared" si="14"/>
        <v>15</v>
      </c>
      <c r="F437" s="69" t="str">
        <f>"16"</f>
        <v>16</v>
      </c>
      <c r="G437" s="69" t="s">
        <v>448</v>
      </c>
    </row>
    <row r="438" spans="1:7" ht="19.5" customHeight="1">
      <c r="A438" s="69">
        <v>437</v>
      </c>
      <c r="B438" s="69" t="s">
        <v>446</v>
      </c>
      <c r="C438" s="69" t="s">
        <v>459</v>
      </c>
      <c r="D438" s="69" t="str">
        <f>"202109121517"</f>
        <v>202109121517</v>
      </c>
      <c r="E438" s="69" t="str">
        <f t="shared" si="14"/>
        <v>15</v>
      </c>
      <c r="F438" s="69" t="str">
        <f>"17"</f>
        <v>17</v>
      </c>
      <c r="G438" s="69" t="s">
        <v>448</v>
      </c>
    </row>
    <row r="439" spans="1:7" ht="19.5" customHeight="1">
      <c r="A439" s="69">
        <v>438</v>
      </c>
      <c r="B439" s="69" t="s">
        <v>446</v>
      </c>
      <c r="C439" s="69" t="s">
        <v>460</v>
      </c>
      <c r="D439" s="69" t="str">
        <f>"202109121518"</f>
        <v>202109121518</v>
      </c>
      <c r="E439" s="69" t="str">
        <f t="shared" si="14"/>
        <v>15</v>
      </c>
      <c r="F439" s="69" t="str">
        <f>"18"</f>
        <v>18</v>
      </c>
      <c r="G439" s="69" t="s">
        <v>448</v>
      </c>
    </row>
    <row r="440" spans="1:7" ht="19.5" customHeight="1">
      <c r="A440" s="69">
        <v>439</v>
      </c>
      <c r="B440" s="69" t="s">
        <v>446</v>
      </c>
      <c r="C440" s="69" t="s">
        <v>461</v>
      </c>
      <c r="D440" s="69" t="str">
        <f>"202109121519"</f>
        <v>202109121519</v>
      </c>
      <c r="E440" s="69" t="str">
        <f t="shared" si="14"/>
        <v>15</v>
      </c>
      <c r="F440" s="69" t="str">
        <f>"19"</f>
        <v>19</v>
      </c>
      <c r="G440" s="69" t="s">
        <v>448</v>
      </c>
    </row>
    <row r="441" spans="1:7" ht="19.5" customHeight="1">
      <c r="A441" s="69">
        <v>440</v>
      </c>
      <c r="B441" s="69" t="s">
        <v>446</v>
      </c>
      <c r="C441" s="69" t="s">
        <v>462</v>
      </c>
      <c r="D441" s="69" t="str">
        <f>"202109121520"</f>
        <v>202109121520</v>
      </c>
      <c r="E441" s="69" t="str">
        <f t="shared" si="14"/>
        <v>15</v>
      </c>
      <c r="F441" s="69" t="str">
        <f>"20"</f>
        <v>20</v>
      </c>
      <c r="G441" s="69" t="s">
        <v>448</v>
      </c>
    </row>
    <row r="442" spans="1:7" ht="19.5" customHeight="1">
      <c r="A442" s="69">
        <v>441</v>
      </c>
      <c r="B442" s="69" t="s">
        <v>446</v>
      </c>
      <c r="C442" s="69" t="s">
        <v>463</v>
      </c>
      <c r="D442" s="69" t="str">
        <f>"202109121521"</f>
        <v>202109121521</v>
      </c>
      <c r="E442" s="69" t="str">
        <f t="shared" si="14"/>
        <v>15</v>
      </c>
      <c r="F442" s="69" t="str">
        <f>"21"</f>
        <v>21</v>
      </c>
      <c r="G442" s="69" t="s">
        <v>448</v>
      </c>
    </row>
    <row r="443" spans="1:7" ht="19.5" customHeight="1">
      <c r="A443" s="69">
        <v>442</v>
      </c>
      <c r="B443" s="69" t="s">
        <v>464</v>
      </c>
      <c r="C443" s="69" t="s">
        <v>465</v>
      </c>
      <c r="D443" s="69" t="str">
        <f>"202109121522"</f>
        <v>202109121522</v>
      </c>
      <c r="E443" s="69" t="str">
        <f t="shared" si="14"/>
        <v>15</v>
      </c>
      <c r="F443" s="69" t="str">
        <f>"22"</f>
        <v>22</v>
      </c>
      <c r="G443" s="69" t="s">
        <v>448</v>
      </c>
    </row>
    <row r="444" spans="1:7" ht="19.5" customHeight="1">
      <c r="A444" s="69">
        <v>443</v>
      </c>
      <c r="B444" s="69" t="s">
        <v>464</v>
      </c>
      <c r="C444" s="69" t="s">
        <v>466</v>
      </c>
      <c r="D444" s="69" t="str">
        <f>"202109121523"</f>
        <v>202109121523</v>
      </c>
      <c r="E444" s="69" t="str">
        <f t="shared" si="14"/>
        <v>15</v>
      </c>
      <c r="F444" s="69" t="str">
        <f>"23"</f>
        <v>23</v>
      </c>
      <c r="G444" s="69" t="s">
        <v>448</v>
      </c>
    </row>
    <row r="445" spans="1:7" ht="19.5" customHeight="1">
      <c r="A445" s="69">
        <v>444</v>
      </c>
      <c r="B445" s="69" t="s">
        <v>464</v>
      </c>
      <c r="C445" s="69" t="s">
        <v>467</v>
      </c>
      <c r="D445" s="69" t="str">
        <f>"202109121524"</f>
        <v>202109121524</v>
      </c>
      <c r="E445" s="69" t="str">
        <f t="shared" si="14"/>
        <v>15</v>
      </c>
      <c r="F445" s="69" t="str">
        <f>"24"</f>
        <v>24</v>
      </c>
      <c r="G445" s="69" t="s">
        <v>448</v>
      </c>
    </row>
    <row r="446" spans="1:7" ht="19.5" customHeight="1">
      <c r="A446" s="69">
        <v>445</v>
      </c>
      <c r="B446" s="69" t="s">
        <v>464</v>
      </c>
      <c r="C446" s="69" t="s">
        <v>468</v>
      </c>
      <c r="D446" s="69" t="str">
        <f>"202109121525"</f>
        <v>202109121525</v>
      </c>
      <c r="E446" s="69" t="str">
        <f t="shared" si="14"/>
        <v>15</v>
      </c>
      <c r="F446" s="69" t="str">
        <f>"25"</f>
        <v>25</v>
      </c>
      <c r="G446" s="69" t="s">
        <v>448</v>
      </c>
    </row>
    <row r="447" spans="1:7" ht="19.5" customHeight="1">
      <c r="A447" s="69">
        <v>446</v>
      </c>
      <c r="B447" s="69" t="s">
        <v>464</v>
      </c>
      <c r="C447" s="69" t="s">
        <v>28</v>
      </c>
      <c r="D447" s="69" t="str">
        <f>"202109121526"</f>
        <v>202109121526</v>
      </c>
      <c r="E447" s="69" t="str">
        <f t="shared" si="14"/>
        <v>15</v>
      </c>
      <c r="F447" s="69" t="str">
        <f>"26"</f>
        <v>26</v>
      </c>
      <c r="G447" s="69" t="s">
        <v>448</v>
      </c>
    </row>
    <row r="448" spans="1:7" ht="19.5" customHeight="1">
      <c r="A448" s="69">
        <v>447</v>
      </c>
      <c r="B448" s="69" t="s">
        <v>464</v>
      </c>
      <c r="C448" s="69" t="s">
        <v>469</v>
      </c>
      <c r="D448" s="69" t="str">
        <f>"202109121527"</f>
        <v>202109121527</v>
      </c>
      <c r="E448" s="69" t="str">
        <f t="shared" si="14"/>
        <v>15</v>
      </c>
      <c r="F448" s="69" t="str">
        <f>"27"</f>
        <v>27</v>
      </c>
      <c r="G448" s="69" t="s">
        <v>448</v>
      </c>
    </row>
    <row r="449" spans="1:7" ht="19.5" customHeight="1">
      <c r="A449" s="69">
        <v>448</v>
      </c>
      <c r="B449" s="69" t="s">
        <v>464</v>
      </c>
      <c r="C449" s="69" t="s">
        <v>470</v>
      </c>
      <c r="D449" s="69" t="str">
        <f>"202109121528"</f>
        <v>202109121528</v>
      </c>
      <c r="E449" s="69" t="str">
        <f t="shared" si="14"/>
        <v>15</v>
      </c>
      <c r="F449" s="69" t="str">
        <f>"28"</f>
        <v>28</v>
      </c>
      <c r="G449" s="69" t="s">
        <v>448</v>
      </c>
    </row>
    <row r="450" spans="1:7" ht="19.5" customHeight="1">
      <c r="A450" s="69">
        <v>449</v>
      </c>
      <c r="B450" s="69" t="s">
        <v>464</v>
      </c>
      <c r="C450" s="69" t="s">
        <v>471</v>
      </c>
      <c r="D450" s="69" t="str">
        <f>"202109121529"</f>
        <v>202109121529</v>
      </c>
      <c r="E450" s="69" t="str">
        <f t="shared" si="14"/>
        <v>15</v>
      </c>
      <c r="F450" s="69" t="str">
        <f>"29"</f>
        <v>29</v>
      </c>
      <c r="G450" s="69" t="s">
        <v>448</v>
      </c>
    </row>
    <row r="451" spans="1:7" ht="19.5" customHeight="1">
      <c r="A451" s="69">
        <v>450</v>
      </c>
      <c r="B451" s="69" t="s">
        <v>464</v>
      </c>
      <c r="C451" s="69" t="s">
        <v>472</v>
      </c>
      <c r="D451" s="69" t="str">
        <f>"202109121530"</f>
        <v>202109121530</v>
      </c>
      <c r="E451" s="69" t="str">
        <f t="shared" si="14"/>
        <v>15</v>
      </c>
      <c r="F451" s="69" t="str">
        <f>"30"</f>
        <v>30</v>
      </c>
      <c r="G451" s="69" t="s">
        <v>448</v>
      </c>
    </row>
    <row r="452" spans="1:7" ht="19.5" customHeight="1">
      <c r="A452" s="69">
        <v>451</v>
      </c>
      <c r="B452" s="69" t="s">
        <v>473</v>
      </c>
      <c r="C452" s="69" t="s">
        <v>474</v>
      </c>
      <c r="D452" s="69" t="str">
        <f>"202109121601"</f>
        <v>202109121601</v>
      </c>
      <c r="E452" s="69" t="str">
        <f aca="true" t="shared" si="15" ref="E452:E473">"16"</f>
        <v>16</v>
      </c>
      <c r="F452" s="69" t="str">
        <f>"01"</f>
        <v>01</v>
      </c>
      <c r="G452" s="69" t="s">
        <v>475</v>
      </c>
    </row>
    <row r="453" spans="1:7" ht="19.5" customHeight="1">
      <c r="A453" s="69">
        <v>452</v>
      </c>
      <c r="B453" s="69" t="s">
        <v>473</v>
      </c>
      <c r="C453" s="69" t="s">
        <v>476</v>
      </c>
      <c r="D453" s="69" t="str">
        <f>"202109121602"</f>
        <v>202109121602</v>
      </c>
      <c r="E453" s="69" t="str">
        <f t="shared" si="15"/>
        <v>16</v>
      </c>
      <c r="F453" s="69" t="str">
        <f>"02"</f>
        <v>02</v>
      </c>
      <c r="G453" s="69" t="s">
        <v>475</v>
      </c>
    </row>
    <row r="454" spans="1:7" ht="19.5" customHeight="1">
      <c r="A454" s="69">
        <v>453</v>
      </c>
      <c r="B454" s="69" t="s">
        <v>473</v>
      </c>
      <c r="C454" s="69" t="s">
        <v>477</v>
      </c>
      <c r="D454" s="69" t="str">
        <f>"202109121603"</f>
        <v>202109121603</v>
      </c>
      <c r="E454" s="69" t="str">
        <f t="shared" si="15"/>
        <v>16</v>
      </c>
      <c r="F454" s="69" t="str">
        <f>"03"</f>
        <v>03</v>
      </c>
      <c r="G454" s="69" t="s">
        <v>475</v>
      </c>
    </row>
    <row r="455" spans="1:7" ht="19.5" customHeight="1">
      <c r="A455" s="69">
        <v>454</v>
      </c>
      <c r="B455" s="69" t="s">
        <v>473</v>
      </c>
      <c r="C455" s="69" t="s">
        <v>478</v>
      </c>
      <c r="D455" s="69" t="str">
        <f>"202109121604"</f>
        <v>202109121604</v>
      </c>
      <c r="E455" s="69" t="str">
        <f t="shared" si="15"/>
        <v>16</v>
      </c>
      <c r="F455" s="69" t="str">
        <f>"04"</f>
        <v>04</v>
      </c>
      <c r="G455" s="69" t="s">
        <v>475</v>
      </c>
    </row>
    <row r="456" spans="1:7" ht="19.5" customHeight="1">
      <c r="A456" s="69">
        <v>455</v>
      </c>
      <c r="B456" s="69" t="s">
        <v>473</v>
      </c>
      <c r="C456" s="69" t="s">
        <v>479</v>
      </c>
      <c r="D456" s="69" t="str">
        <f>"202109121605"</f>
        <v>202109121605</v>
      </c>
      <c r="E456" s="69" t="str">
        <f t="shared" si="15"/>
        <v>16</v>
      </c>
      <c r="F456" s="69" t="str">
        <f>"05"</f>
        <v>05</v>
      </c>
      <c r="G456" s="69" t="s">
        <v>475</v>
      </c>
    </row>
    <row r="457" spans="1:7" ht="19.5" customHeight="1">
      <c r="A457" s="69">
        <v>456</v>
      </c>
      <c r="B457" s="69" t="s">
        <v>473</v>
      </c>
      <c r="C457" s="69" t="s">
        <v>480</v>
      </c>
      <c r="D457" s="69" t="str">
        <f>"202109121606"</f>
        <v>202109121606</v>
      </c>
      <c r="E457" s="69" t="str">
        <f t="shared" si="15"/>
        <v>16</v>
      </c>
      <c r="F457" s="69" t="str">
        <f>"06"</f>
        <v>06</v>
      </c>
      <c r="G457" s="69" t="s">
        <v>475</v>
      </c>
    </row>
    <row r="458" spans="1:7" ht="19.5" customHeight="1">
      <c r="A458" s="69">
        <v>457</v>
      </c>
      <c r="B458" s="69" t="s">
        <v>473</v>
      </c>
      <c r="C458" s="69" t="s">
        <v>481</v>
      </c>
      <c r="D458" s="69" t="str">
        <f>"202109121607"</f>
        <v>202109121607</v>
      </c>
      <c r="E458" s="69" t="str">
        <f t="shared" si="15"/>
        <v>16</v>
      </c>
      <c r="F458" s="69" t="str">
        <f>"07"</f>
        <v>07</v>
      </c>
      <c r="G458" s="69" t="s">
        <v>475</v>
      </c>
    </row>
    <row r="459" spans="1:7" ht="19.5" customHeight="1">
      <c r="A459" s="69">
        <v>458</v>
      </c>
      <c r="B459" s="69" t="s">
        <v>473</v>
      </c>
      <c r="C459" s="69" t="s">
        <v>482</v>
      </c>
      <c r="D459" s="69" t="str">
        <f>"202109121608"</f>
        <v>202109121608</v>
      </c>
      <c r="E459" s="69" t="str">
        <f t="shared" si="15"/>
        <v>16</v>
      </c>
      <c r="F459" s="69" t="str">
        <f>"08"</f>
        <v>08</v>
      </c>
      <c r="G459" s="69" t="s">
        <v>475</v>
      </c>
    </row>
    <row r="460" spans="1:7" ht="19.5" customHeight="1">
      <c r="A460" s="69">
        <v>459</v>
      </c>
      <c r="B460" s="69" t="s">
        <v>473</v>
      </c>
      <c r="C460" s="69" t="s">
        <v>483</v>
      </c>
      <c r="D460" s="69" t="str">
        <f>"202109121609"</f>
        <v>202109121609</v>
      </c>
      <c r="E460" s="69" t="str">
        <f t="shared" si="15"/>
        <v>16</v>
      </c>
      <c r="F460" s="69" t="str">
        <f>"09"</f>
        <v>09</v>
      </c>
      <c r="G460" s="69" t="s">
        <v>475</v>
      </c>
    </row>
    <row r="461" spans="1:7" ht="19.5" customHeight="1">
      <c r="A461" s="69">
        <v>460</v>
      </c>
      <c r="B461" s="69" t="s">
        <v>484</v>
      </c>
      <c r="C461" s="69" t="s">
        <v>485</v>
      </c>
      <c r="D461" s="69" t="str">
        <f>"202109121610"</f>
        <v>202109121610</v>
      </c>
      <c r="E461" s="69" t="str">
        <f t="shared" si="15"/>
        <v>16</v>
      </c>
      <c r="F461" s="69" t="str">
        <f>"10"</f>
        <v>10</v>
      </c>
      <c r="G461" s="69" t="s">
        <v>486</v>
      </c>
    </row>
    <row r="462" spans="1:7" ht="19.5" customHeight="1">
      <c r="A462" s="69">
        <v>461</v>
      </c>
      <c r="B462" s="69" t="s">
        <v>484</v>
      </c>
      <c r="C462" s="69" t="s">
        <v>36</v>
      </c>
      <c r="D462" s="69" t="str">
        <f>"202109121611"</f>
        <v>202109121611</v>
      </c>
      <c r="E462" s="69" t="str">
        <f t="shared" si="15"/>
        <v>16</v>
      </c>
      <c r="F462" s="69" t="str">
        <f>"11"</f>
        <v>11</v>
      </c>
      <c r="G462" s="69" t="s">
        <v>486</v>
      </c>
    </row>
    <row r="463" spans="1:7" ht="19.5" customHeight="1">
      <c r="A463" s="69">
        <v>462</v>
      </c>
      <c r="B463" s="69" t="s">
        <v>484</v>
      </c>
      <c r="C463" s="69" t="s">
        <v>487</v>
      </c>
      <c r="D463" s="69" t="str">
        <f>"202109121612"</f>
        <v>202109121612</v>
      </c>
      <c r="E463" s="69" t="str">
        <f t="shared" si="15"/>
        <v>16</v>
      </c>
      <c r="F463" s="69" t="str">
        <f>"12"</f>
        <v>12</v>
      </c>
      <c r="G463" s="69" t="s">
        <v>486</v>
      </c>
    </row>
    <row r="464" spans="1:7" ht="19.5" customHeight="1">
      <c r="A464" s="69">
        <v>463</v>
      </c>
      <c r="B464" s="69" t="s">
        <v>484</v>
      </c>
      <c r="C464" s="69" t="s">
        <v>488</v>
      </c>
      <c r="D464" s="69" t="str">
        <f>"202109121613"</f>
        <v>202109121613</v>
      </c>
      <c r="E464" s="69" t="str">
        <f t="shared" si="15"/>
        <v>16</v>
      </c>
      <c r="F464" s="69" t="str">
        <f>"13"</f>
        <v>13</v>
      </c>
      <c r="G464" s="69" t="s">
        <v>486</v>
      </c>
    </row>
    <row r="465" spans="1:7" ht="19.5" customHeight="1">
      <c r="A465" s="69">
        <v>464</v>
      </c>
      <c r="B465" s="69" t="s">
        <v>484</v>
      </c>
      <c r="C465" s="69" t="s">
        <v>489</v>
      </c>
      <c r="D465" s="69" t="str">
        <f>"202109121614"</f>
        <v>202109121614</v>
      </c>
      <c r="E465" s="69" t="str">
        <f t="shared" si="15"/>
        <v>16</v>
      </c>
      <c r="F465" s="69" t="str">
        <f>"14"</f>
        <v>14</v>
      </c>
      <c r="G465" s="69" t="s">
        <v>486</v>
      </c>
    </row>
    <row r="466" spans="1:7" ht="19.5" customHeight="1">
      <c r="A466" s="69">
        <v>465</v>
      </c>
      <c r="B466" s="69" t="s">
        <v>484</v>
      </c>
      <c r="C466" s="69" t="s">
        <v>490</v>
      </c>
      <c r="D466" s="69" t="str">
        <f>"202109121615"</f>
        <v>202109121615</v>
      </c>
      <c r="E466" s="69" t="str">
        <f t="shared" si="15"/>
        <v>16</v>
      </c>
      <c r="F466" s="69" t="str">
        <f>"15"</f>
        <v>15</v>
      </c>
      <c r="G466" s="69" t="s">
        <v>486</v>
      </c>
    </row>
    <row r="467" spans="1:7" ht="19.5" customHeight="1">
      <c r="A467" s="69">
        <v>466</v>
      </c>
      <c r="B467" s="69" t="s">
        <v>484</v>
      </c>
      <c r="C467" s="69" t="s">
        <v>491</v>
      </c>
      <c r="D467" s="69" t="str">
        <f>"202109121616"</f>
        <v>202109121616</v>
      </c>
      <c r="E467" s="69" t="str">
        <f t="shared" si="15"/>
        <v>16</v>
      </c>
      <c r="F467" s="69" t="str">
        <f>"16"</f>
        <v>16</v>
      </c>
      <c r="G467" s="69" t="s">
        <v>486</v>
      </c>
    </row>
    <row r="468" spans="1:7" ht="19.5" customHeight="1">
      <c r="A468" s="69">
        <v>467</v>
      </c>
      <c r="B468" s="69" t="s">
        <v>484</v>
      </c>
      <c r="C468" s="69" t="s">
        <v>492</v>
      </c>
      <c r="D468" s="69" t="str">
        <f>"202109121617"</f>
        <v>202109121617</v>
      </c>
      <c r="E468" s="69" t="str">
        <f t="shared" si="15"/>
        <v>16</v>
      </c>
      <c r="F468" s="69" t="str">
        <f>"17"</f>
        <v>17</v>
      </c>
      <c r="G468" s="69" t="s">
        <v>486</v>
      </c>
    </row>
    <row r="469" spans="1:7" ht="19.5" customHeight="1">
      <c r="A469" s="69">
        <v>468</v>
      </c>
      <c r="B469" s="69" t="s">
        <v>484</v>
      </c>
      <c r="C469" s="69" t="s">
        <v>493</v>
      </c>
      <c r="D469" s="69" t="str">
        <f>"202109121618"</f>
        <v>202109121618</v>
      </c>
      <c r="E469" s="69" t="str">
        <f t="shared" si="15"/>
        <v>16</v>
      </c>
      <c r="F469" s="69" t="str">
        <f>"18"</f>
        <v>18</v>
      </c>
      <c r="G469" s="69" t="s">
        <v>486</v>
      </c>
    </row>
    <row r="470" spans="1:7" ht="19.5" customHeight="1">
      <c r="A470" s="69">
        <v>469</v>
      </c>
      <c r="B470" s="69" t="s">
        <v>484</v>
      </c>
      <c r="C470" s="69" t="s">
        <v>494</v>
      </c>
      <c r="D470" s="69" t="str">
        <f>"202109121619"</f>
        <v>202109121619</v>
      </c>
      <c r="E470" s="69" t="str">
        <f t="shared" si="15"/>
        <v>16</v>
      </c>
      <c r="F470" s="69" t="str">
        <f>"19"</f>
        <v>19</v>
      </c>
      <c r="G470" s="69" t="s">
        <v>486</v>
      </c>
    </row>
    <row r="471" spans="1:7" ht="19.5" customHeight="1">
      <c r="A471" s="69">
        <v>470</v>
      </c>
      <c r="B471" s="69" t="s">
        <v>484</v>
      </c>
      <c r="C471" s="69" t="s">
        <v>495</v>
      </c>
      <c r="D471" s="69" t="str">
        <f>"202109121620"</f>
        <v>202109121620</v>
      </c>
      <c r="E471" s="69" t="str">
        <f t="shared" si="15"/>
        <v>16</v>
      </c>
      <c r="F471" s="69" t="str">
        <f>"20"</f>
        <v>20</v>
      </c>
      <c r="G471" s="69" t="s">
        <v>486</v>
      </c>
    </row>
    <row r="472" spans="1:7" ht="19.5" customHeight="1">
      <c r="A472" s="69">
        <v>471</v>
      </c>
      <c r="B472" s="69" t="s">
        <v>484</v>
      </c>
      <c r="C472" s="69" t="s">
        <v>496</v>
      </c>
      <c r="D472" s="69" t="str">
        <f>"202109121621"</f>
        <v>202109121621</v>
      </c>
      <c r="E472" s="69" t="str">
        <f t="shared" si="15"/>
        <v>16</v>
      </c>
      <c r="F472" s="69" t="str">
        <f>"21"</f>
        <v>21</v>
      </c>
      <c r="G472" s="69" t="s">
        <v>486</v>
      </c>
    </row>
    <row r="473" spans="1:7" ht="19.5" customHeight="1">
      <c r="A473" s="69">
        <v>472</v>
      </c>
      <c r="B473" s="69" t="s">
        <v>484</v>
      </c>
      <c r="C473" s="69" t="s">
        <v>497</v>
      </c>
      <c r="D473" s="69" t="str">
        <f>"202109121622"</f>
        <v>202109121622</v>
      </c>
      <c r="E473" s="69" t="str">
        <f t="shared" si="15"/>
        <v>16</v>
      </c>
      <c r="F473" s="69" t="str">
        <f>"22"</f>
        <v>22</v>
      </c>
      <c r="G473" s="69" t="s">
        <v>486</v>
      </c>
    </row>
    <row r="474" spans="1:7" ht="19.5" customHeight="1">
      <c r="A474" s="69">
        <v>473</v>
      </c>
      <c r="B474" s="69" t="s">
        <v>498</v>
      </c>
      <c r="C474" s="69" t="s">
        <v>499</v>
      </c>
      <c r="D474" s="69" t="str">
        <f>"202109121701"</f>
        <v>202109121701</v>
      </c>
      <c r="E474" s="69" t="str">
        <f aca="true" t="shared" si="16" ref="E474:E503">"17"</f>
        <v>17</v>
      </c>
      <c r="F474" s="69" t="str">
        <f>"01"</f>
        <v>01</v>
      </c>
      <c r="G474" s="69" t="s">
        <v>500</v>
      </c>
    </row>
    <row r="475" spans="1:7" ht="19.5" customHeight="1">
      <c r="A475" s="69">
        <v>474</v>
      </c>
      <c r="B475" s="69" t="s">
        <v>498</v>
      </c>
      <c r="C475" s="69" t="s">
        <v>501</v>
      </c>
      <c r="D475" s="69" t="str">
        <f>"202109121702"</f>
        <v>202109121702</v>
      </c>
      <c r="E475" s="69" t="str">
        <f t="shared" si="16"/>
        <v>17</v>
      </c>
      <c r="F475" s="69" t="str">
        <f>"02"</f>
        <v>02</v>
      </c>
      <c r="G475" s="69" t="s">
        <v>500</v>
      </c>
    </row>
    <row r="476" spans="1:7" ht="19.5" customHeight="1">
      <c r="A476" s="69">
        <v>475</v>
      </c>
      <c r="B476" s="69" t="s">
        <v>498</v>
      </c>
      <c r="C476" s="69" t="s">
        <v>502</v>
      </c>
      <c r="D476" s="69" t="str">
        <f>"202109121703"</f>
        <v>202109121703</v>
      </c>
      <c r="E476" s="69" t="str">
        <f t="shared" si="16"/>
        <v>17</v>
      </c>
      <c r="F476" s="69" t="str">
        <f>"03"</f>
        <v>03</v>
      </c>
      <c r="G476" s="69" t="s">
        <v>500</v>
      </c>
    </row>
    <row r="477" spans="1:7" ht="19.5" customHeight="1">
      <c r="A477" s="69">
        <v>476</v>
      </c>
      <c r="B477" s="69" t="s">
        <v>498</v>
      </c>
      <c r="C477" s="69" t="s">
        <v>503</v>
      </c>
      <c r="D477" s="69" t="str">
        <f>"202109121704"</f>
        <v>202109121704</v>
      </c>
      <c r="E477" s="69" t="str">
        <f t="shared" si="16"/>
        <v>17</v>
      </c>
      <c r="F477" s="69" t="str">
        <f>"04"</f>
        <v>04</v>
      </c>
      <c r="G477" s="69" t="s">
        <v>500</v>
      </c>
    </row>
    <row r="478" spans="1:7" ht="19.5" customHeight="1">
      <c r="A478" s="69">
        <v>477</v>
      </c>
      <c r="B478" s="69" t="s">
        <v>498</v>
      </c>
      <c r="C478" s="69" t="s">
        <v>504</v>
      </c>
      <c r="D478" s="69" t="str">
        <f>"202109121705"</f>
        <v>202109121705</v>
      </c>
      <c r="E478" s="69" t="str">
        <f t="shared" si="16"/>
        <v>17</v>
      </c>
      <c r="F478" s="69" t="str">
        <f>"05"</f>
        <v>05</v>
      </c>
      <c r="G478" s="69" t="s">
        <v>500</v>
      </c>
    </row>
    <row r="479" spans="1:7" ht="19.5" customHeight="1">
      <c r="A479" s="69">
        <v>478</v>
      </c>
      <c r="B479" s="69" t="s">
        <v>498</v>
      </c>
      <c r="C479" s="69" t="s">
        <v>505</v>
      </c>
      <c r="D479" s="69" t="str">
        <f>"202109121706"</f>
        <v>202109121706</v>
      </c>
      <c r="E479" s="69" t="str">
        <f t="shared" si="16"/>
        <v>17</v>
      </c>
      <c r="F479" s="69" t="str">
        <f>"06"</f>
        <v>06</v>
      </c>
      <c r="G479" s="69" t="s">
        <v>500</v>
      </c>
    </row>
    <row r="480" spans="1:7" ht="19.5" customHeight="1">
      <c r="A480" s="69">
        <v>479</v>
      </c>
      <c r="B480" s="69" t="s">
        <v>498</v>
      </c>
      <c r="C480" s="69" t="s">
        <v>506</v>
      </c>
      <c r="D480" s="69" t="str">
        <f>"202109121707"</f>
        <v>202109121707</v>
      </c>
      <c r="E480" s="69" t="str">
        <f t="shared" si="16"/>
        <v>17</v>
      </c>
      <c r="F480" s="69" t="str">
        <f>"07"</f>
        <v>07</v>
      </c>
      <c r="G480" s="69" t="s">
        <v>500</v>
      </c>
    </row>
    <row r="481" spans="1:7" ht="19.5" customHeight="1">
      <c r="A481" s="69">
        <v>480</v>
      </c>
      <c r="B481" s="69" t="s">
        <v>498</v>
      </c>
      <c r="C481" s="69" t="s">
        <v>507</v>
      </c>
      <c r="D481" s="69" t="str">
        <f>"202109121708"</f>
        <v>202109121708</v>
      </c>
      <c r="E481" s="69" t="str">
        <f t="shared" si="16"/>
        <v>17</v>
      </c>
      <c r="F481" s="69" t="str">
        <f>"08"</f>
        <v>08</v>
      </c>
      <c r="G481" s="69" t="s">
        <v>500</v>
      </c>
    </row>
    <row r="482" spans="1:7" ht="19.5" customHeight="1">
      <c r="A482" s="69">
        <v>481</v>
      </c>
      <c r="B482" s="69" t="s">
        <v>508</v>
      </c>
      <c r="C482" s="69" t="s">
        <v>509</v>
      </c>
      <c r="D482" s="69" t="str">
        <f>"202109121709"</f>
        <v>202109121709</v>
      </c>
      <c r="E482" s="69" t="str">
        <f t="shared" si="16"/>
        <v>17</v>
      </c>
      <c r="F482" s="69" t="str">
        <f>"09"</f>
        <v>09</v>
      </c>
      <c r="G482" s="69" t="s">
        <v>500</v>
      </c>
    </row>
    <row r="483" spans="1:7" ht="19.5" customHeight="1">
      <c r="A483" s="69">
        <v>482</v>
      </c>
      <c r="B483" s="69" t="s">
        <v>508</v>
      </c>
      <c r="C483" s="69" t="s">
        <v>510</v>
      </c>
      <c r="D483" s="69" t="str">
        <f>"202109121710"</f>
        <v>202109121710</v>
      </c>
      <c r="E483" s="69" t="str">
        <f t="shared" si="16"/>
        <v>17</v>
      </c>
      <c r="F483" s="69" t="str">
        <f>"10"</f>
        <v>10</v>
      </c>
      <c r="G483" s="69" t="s">
        <v>500</v>
      </c>
    </row>
    <row r="484" spans="1:7" ht="19.5" customHeight="1">
      <c r="A484" s="69">
        <v>483</v>
      </c>
      <c r="B484" s="69" t="s">
        <v>508</v>
      </c>
      <c r="C484" s="69" t="s">
        <v>511</v>
      </c>
      <c r="D484" s="69" t="str">
        <f>"202109121711"</f>
        <v>202109121711</v>
      </c>
      <c r="E484" s="69" t="str">
        <f t="shared" si="16"/>
        <v>17</v>
      </c>
      <c r="F484" s="69" t="str">
        <f>"11"</f>
        <v>11</v>
      </c>
      <c r="G484" s="69" t="s">
        <v>500</v>
      </c>
    </row>
    <row r="485" spans="1:7" ht="19.5" customHeight="1">
      <c r="A485" s="69">
        <v>484</v>
      </c>
      <c r="B485" s="69" t="s">
        <v>508</v>
      </c>
      <c r="C485" s="69" t="s">
        <v>512</v>
      </c>
      <c r="D485" s="69" t="str">
        <f>"202109121712"</f>
        <v>202109121712</v>
      </c>
      <c r="E485" s="69" t="str">
        <f t="shared" si="16"/>
        <v>17</v>
      </c>
      <c r="F485" s="69" t="str">
        <f>"12"</f>
        <v>12</v>
      </c>
      <c r="G485" s="69" t="s">
        <v>500</v>
      </c>
    </row>
    <row r="486" spans="1:7" ht="19.5" customHeight="1">
      <c r="A486" s="69">
        <v>485</v>
      </c>
      <c r="B486" s="69" t="s">
        <v>508</v>
      </c>
      <c r="C486" s="69" t="s">
        <v>513</v>
      </c>
      <c r="D486" s="69" t="str">
        <f>"202109121713"</f>
        <v>202109121713</v>
      </c>
      <c r="E486" s="69" t="str">
        <f t="shared" si="16"/>
        <v>17</v>
      </c>
      <c r="F486" s="69" t="str">
        <f>"13"</f>
        <v>13</v>
      </c>
      <c r="G486" s="69" t="s">
        <v>500</v>
      </c>
    </row>
    <row r="487" spans="1:7" ht="19.5" customHeight="1">
      <c r="A487" s="69">
        <v>486</v>
      </c>
      <c r="B487" s="69" t="s">
        <v>508</v>
      </c>
      <c r="C487" s="69" t="s">
        <v>514</v>
      </c>
      <c r="D487" s="69" t="str">
        <f>"202109121714"</f>
        <v>202109121714</v>
      </c>
      <c r="E487" s="69" t="str">
        <f t="shared" si="16"/>
        <v>17</v>
      </c>
      <c r="F487" s="69" t="str">
        <f>"14"</f>
        <v>14</v>
      </c>
      <c r="G487" s="69" t="s">
        <v>500</v>
      </c>
    </row>
    <row r="488" spans="1:7" ht="19.5" customHeight="1">
      <c r="A488" s="69">
        <v>487</v>
      </c>
      <c r="B488" s="69" t="s">
        <v>508</v>
      </c>
      <c r="C488" s="69" t="s">
        <v>515</v>
      </c>
      <c r="D488" s="69" t="str">
        <f>"202109121715"</f>
        <v>202109121715</v>
      </c>
      <c r="E488" s="69" t="str">
        <f t="shared" si="16"/>
        <v>17</v>
      </c>
      <c r="F488" s="69" t="str">
        <f>"15"</f>
        <v>15</v>
      </c>
      <c r="G488" s="69" t="s">
        <v>500</v>
      </c>
    </row>
    <row r="489" spans="1:7" ht="19.5" customHeight="1">
      <c r="A489" s="69">
        <v>488</v>
      </c>
      <c r="B489" s="69" t="s">
        <v>508</v>
      </c>
      <c r="C489" s="69" t="s">
        <v>516</v>
      </c>
      <c r="D489" s="69" t="str">
        <f>"202109121716"</f>
        <v>202109121716</v>
      </c>
      <c r="E489" s="69" t="str">
        <f t="shared" si="16"/>
        <v>17</v>
      </c>
      <c r="F489" s="69" t="str">
        <f>"16"</f>
        <v>16</v>
      </c>
      <c r="G489" s="69" t="s">
        <v>500</v>
      </c>
    </row>
    <row r="490" spans="1:7" ht="19.5" customHeight="1">
      <c r="A490" s="69">
        <v>489</v>
      </c>
      <c r="B490" s="69" t="s">
        <v>508</v>
      </c>
      <c r="C490" s="69" t="s">
        <v>517</v>
      </c>
      <c r="D490" s="69" t="str">
        <f>"202109121717"</f>
        <v>202109121717</v>
      </c>
      <c r="E490" s="69" t="str">
        <f t="shared" si="16"/>
        <v>17</v>
      </c>
      <c r="F490" s="69" t="str">
        <f>"17"</f>
        <v>17</v>
      </c>
      <c r="G490" s="69" t="s">
        <v>500</v>
      </c>
    </row>
    <row r="491" spans="1:7" ht="19.5" customHeight="1">
      <c r="A491" s="69">
        <v>490</v>
      </c>
      <c r="B491" s="69" t="s">
        <v>508</v>
      </c>
      <c r="C491" s="69" t="s">
        <v>518</v>
      </c>
      <c r="D491" s="69" t="str">
        <f>"202109121718"</f>
        <v>202109121718</v>
      </c>
      <c r="E491" s="69" t="str">
        <f t="shared" si="16"/>
        <v>17</v>
      </c>
      <c r="F491" s="69" t="str">
        <f>"18"</f>
        <v>18</v>
      </c>
      <c r="G491" s="69" t="s">
        <v>500</v>
      </c>
    </row>
    <row r="492" spans="1:7" ht="19.5" customHeight="1">
      <c r="A492" s="69">
        <v>491</v>
      </c>
      <c r="B492" s="69" t="s">
        <v>508</v>
      </c>
      <c r="C492" s="69" t="s">
        <v>519</v>
      </c>
      <c r="D492" s="69" t="str">
        <f>"202109121719"</f>
        <v>202109121719</v>
      </c>
      <c r="E492" s="69" t="str">
        <f t="shared" si="16"/>
        <v>17</v>
      </c>
      <c r="F492" s="69" t="str">
        <f>"19"</f>
        <v>19</v>
      </c>
      <c r="G492" s="69" t="s">
        <v>500</v>
      </c>
    </row>
    <row r="493" spans="1:7" ht="19.5" customHeight="1">
      <c r="A493" s="69">
        <v>492</v>
      </c>
      <c r="B493" s="69" t="s">
        <v>508</v>
      </c>
      <c r="C493" s="69" t="s">
        <v>520</v>
      </c>
      <c r="D493" s="69" t="str">
        <f>"202109121720"</f>
        <v>202109121720</v>
      </c>
      <c r="E493" s="69" t="str">
        <f t="shared" si="16"/>
        <v>17</v>
      </c>
      <c r="F493" s="69" t="str">
        <f>"20"</f>
        <v>20</v>
      </c>
      <c r="G493" s="69" t="s">
        <v>500</v>
      </c>
    </row>
    <row r="494" spans="1:7" ht="19.5" customHeight="1">
      <c r="A494" s="69">
        <v>493</v>
      </c>
      <c r="B494" s="69" t="s">
        <v>508</v>
      </c>
      <c r="C494" s="69" t="s">
        <v>521</v>
      </c>
      <c r="D494" s="69" t="str">
        <f>"202109121721"</f>
        <v>202109121721</v>
      </c>
      <c r="E494" s="69" t="str">
        <f t="shared" si="16"/>
        <v>17</v>
      </c>
      <c r="F494" s="69" t="str">
        <f>"21"</f>
        <v>21</v>
      </c>
      <c r="G494" s="69" t="s">
        <v>500</v>
      </c>
    </row>
    <row r="495" spans="1:7" ht="19.5" customHeight="1">
      <c r="A495" s="69">
        <v>494</v>
      </c>
      <c r="B495" s="69" t="s">
        <v>508</v>
      </c>
      <c r="C495" s="69" t="s">
        <v>522</v>
      </c>
      <c r="D495" s="69" t="str">
        <f>"202109121722"</f>
        <v>202109121722</v>
      </c>
      <c r="E495" s="69" t="str">
        <f t="shared" si="16"/>
        <v>17</v>
      </c>
      <c r="F495" s="69" t="str">
        <f>"22"</f>
        <v>22</v>
      </c>
      <c r="G495" s="69" t="s">
        <v>500</v>
      </c>
    </row>
    <row r="496" spans="1:7" ht="19.5" customHeight="1">
      <c r="A496" s="69">
        <v>495</v>
      </c>
      <c r="B496" s="69" t="s">
        <v>508</v>
      </c>
      <c r="C496" s="69" t="s">
        <v>523</v>
      </c>
      <c r="D496" s="69" t="str">
        <f>"202109121723"</f>
        <v>202109121723</v>
      </c>
      <c r="E496" s="69" t="str">
        <f t="shared" si="16"/>
        <v>17</v>
      </c>
      <c r="F496" s="69" t="str">
        <f>"23"</f>
        <v>23</v>
      </c>
      <c r="G496" s="69" t="s">
        <v>500</v>
      </c>
    </row>
    <row r="497" spans="1:7" ht="19.5" customHeight="1">
      <c r="A497" s="69">
        <v>496</v>
      </c>
      <c r="B497" s="69" t="s">
        <v>508</v>
      </c>
      <c r="C497" s="69" t="s">
        <v>524</v>
      </c>
      <c r="D497" s="69" t="str">
        <f>"202109121724"</f>
        <v>202109121724</v>
      </c>
      <c r="E497" s="69" t="str">
        <f t="shared" si="16"/>
        <v>17</v>
      </c>
      <c r="F497" s="69" t="str">
        <f>"24"</f>
        <v>24</v>
      </c>
      <c r="G497" s="69" t="s">
        <v>500</v>
      </c>
    </row>
    <row r="498" spans="1:7" ht="19.5" customHeight="1">
      <c r="A498" s="69">
        <v>497</v>
      </c>
      <c r="B498" s="69" t="s">
        <v>508</v>
      </c>
      <c r="C498" s="69" t="s">
        <v>318</v>
      </c>
      <c r="D498" s="69" t="str">
        <f>"202109121725"</f>
        <v>202109121725</v>
      </c>
      <c r="E498" s="69" t="str">
        <f t="shared" si="16"/>
        <v>17</v>
      </c>
      <c r="F498" s="69" t="str">
        <f>"25"</f>
        <v>25</v>
      </c>
      <c r="G498" s="69" t="s">
        <v>500</v>
      </c>
    </row>
    <row r="499" spans="1:7" ht="19.5" customHeight="1">
      <c r="A499" s="69">
        <v>498</v>
      </c>
      <c r="B499" s="69" t="s">
        <v>508</v>
      </c>
      <c r="C499" s="69" t="s">
        <v>525</v>
      </c>
      <c r="D499" s="69" t="str">
        <f>"202109121726"</f>
        <v>202109121726</v>
      </c>
      <c r="E499" s="69" t="str">
        <f t="shared" si="16"/>
        <v>17</v>
      </c>
      <c r="F499" s="69" t="str">
        <f>"26"</f>
        <v>26</v>
      </c>
      <c r="G499" s="69" t="s">
        <v>500</v>
      </c>
    </row>
    <row r="500" spans="1:7" ht="19.5" customHeight="1">
      <c r="A500" s="69">
        <v>499</v>
      </c>
      <c r="B500" s="69" t="s">
        <v>508</v>
      </c>
      <c r="C500" s="69" t="s">
        <v>526</v>
      </c>
      <c r="D500" s="69" t="str">
        <f>"202109121727"</f>
        <v>202109121727</v>
      </c>
      <c r="E500" s="69" t="str">
        <f t="shared" si="16"/>
        <v>17</v>
      </c>
      <c r="F500" s="69" t="str">
        <f>"27"</f>
        <v>27</v>
      </c>
      <c r="G500" s="69" t="s">
        <v>500</v>
      </c>
    </row>
    <row r="501" spans="1:7" ht="19.5" customHeight="1">
      <c r="A501" s="69">
        <v>500</v>
      </c>
      <c r="B501" s="69" t="s">
        <v>508</v>
      </c>
      <c r="C501" s="69" t="s">
        <v>527</v>
      </c>
      <c r="D501" s="69" t="str">
        <f>"202109121728"</f>
        <v>202109121728</v>
      </c>
      <c r="E501" s="69" t="str">
        <f t="shared" si="16"/>
        <v>17</v>
      </c>
      <c r="F501" s="69" t="str">
        <f>"28"</f>
        <v>28</v>
      </c>
      <c r="G501" s="69" t="s">
        <v>500</v>
      </c>
    </row>
    <row r="502" spans="1:7" ht="19.5" customHeight="1">
      <c r="A502" s="69">
        <v>501</v>
      </c>
      <c r="B502" s="69" t="s">
        <v>508</v>
      </c>
      <c r="C502" s="69" t="s">
        <v>528</v>
      </c>
      <c r="D502" s="69" t="str">
        <f>"202109121729"</f>
        <v>202109121729</v>
      </c>
      <c r="E502" s="69" t="str">
        <f t="shared" si="16"/>
        <v>17</v>
      </c>
      <c r="F502" s="69" t="str">
        <f>"29"</f>
        <v>29</v>
      </c>
      <c r="G502" s="69" t="s">
        <v>500</v>
      </c>
    </row>
    <row r="503" spans="1:7" ht="19.5" customHeight="1">
      <c r="A503" s="69">
        <v>502</v>
      </c>
      <c r="B503" s="69" t="s">
        <v>508</v>
      </c>
      <c r="C503" s="69" t="s">
        <v>529</v>
      </c>
      <c r="D503" s="69" t="str">
        <f>"202109121730"</f>
        <v>202109121730</v>
      </c>
      <c r="E503" s="69" t="str">
        <f t="shared" si="16"/>
        <v>17</v>
      </c>
      <c r="F503" s="69" t="str">
        <f>"30"</f>
        <v>30</v>
      </c>
      <c r="G503" s="69" t="s">
        <v>500</v>
      </c>
    </row>
    <row r="504" spans="1:7" ht="19.5" customHeight="1">
      <c r="A504" s="69">
        <v>503</v>
      </c>
      <c r="B504" s="69" t="s">
        <v>508</v>
      </c>
      <c r="C504" s="69" t="s">
        <v>530</v>
      </c>
      <c r="D504" s="69" t="str">
        <f>"202109121801"</f>
        <v>202109121801</v>
      </c>
      <c r="E504" s="69" t="str">
        <f aca="true" t="shared" si="17" ref="E504:E529">"18"</f>
        <v>18</v>
      </c>
      <c r="F504" s="69" t="str">
        <f>"01"</f>
        <v>01</v>
      </c>
      <c r="G504" s="69" t="s">
        <v>500</v>
      </c>
    </row>
    <row r="505" spans="1:7" ht="19.5" customHeight="1">
      <c r="A505" s="69">
        <v>504</v>
      </c>
      <c r="B505" s="69" t="s">
        <v>508</v>
      </c>
      <c r="C505" s="69" t="s">
        <v>531</v>
      </c>
      <c r="D505" s="69" t="str">
        <f>"202109121802"</f>
        <v>202109121802</v>
      </c>
      <c r="E505" s="69" t="str">
        <f t="shared" si="17"/>
        <v>18</v>
      </c>
      <c r="F505" s="69" t="str">
        <f>"02"</f>
        <v>02</v>
      </c>
      <c r="G505" s="69" t="s">
        <v>500</v>
      </c>
    </row>
    <row r="506" spans="1:7" ht="19.5" customHeight="1">
      <c r="A506" s="69">
        <v>505</v>
      </c>
      <c r="B506" s="69" t="s">
        <v>508</v>
      </c>
      <c r="C506" s="69" t="s">
        <v>532</v>
      </c>
      <c r="D506" s="69" t="str">
        <f>"202109121803"</f>
        <v>202109121803</v>
      </c>
      <c r="E506" s="69" t="str">
        <f t="shared" si="17"/>
        <v>18</v>
      </c>
      <c r="F506" s="69" t="str">
        <f>"03"</f>
        <v>03</v>
      </c>
      <c r="G506" s="69" t="s">
        <v>500</v>
      </c>
    </row>
    <row r="507" spans="1:7" ht="19.5" customHeight="1">
      <c r="A507" s="69">
        <v>506</v>
      </c>
      <c r="B507" s="69" t="s">
        <v>508</v>
      </c>
      <c r="C507" s="69" t="s">
        <v>533</v>
      </c>
      <c r="D507" s="69" t="str">
        <f>"202109121804"</f>
        <v>202109121804</v>
      </c>
      <c r="E507" s="69" t="str">
        <f t="shared" si="17"/>
        <v>18</v>
      </c>
      <c r="F507" s="69" t="str">
        <f>"04"</f>
        <v>04</v>
      </c>
      <c r="G507" s="69" t="s">
        <v>500</v>
      </c>
    </row>
    <row r="508" spans="1:7" ht="19.5" customHeight="1">
      <c r="A508" s="69">
        <v>507</v>
      </c>
      <c r="B508" s="69" t="s">
        <v>508</v>
      </c>
      <c r="C508" s="69" t="s">
        <v>534</v>
      </c>
      <c r="D508" s="69" t="str">
        <f>"202109121805"</f>
        <v>202109121805</v>
      </c>
      <c r="E508" s="69" t="str">
        <f t="shared" si="17"/>
        <v>18</v>
      </c>
      <c r="F508" s="69" t="str">
        <f>"05"</f>
        <v>05</v>
      </c>
      <c r="G508" s="69" t="s">
        <v>500</v>
      </c>
    </row>
    <row r="509" spans="1:7" ht="19.5" customHeight="1">
      <c r="A509" s="69">
        <v>508</v>
      </c>
      <c r="B509" s="69" t="s">
        <v>508</v>
      </c>
      <c r="C509" s="69" t="s">
        <v>535</v>
      </c>
      <c r="D509" s="69" t="str">
        <f>"202109121806"</f>
        <v>202109121806</v>
      </c>
      <c r="E509" s="69" t="str">
        <f t="shared" si="17"/>
        <v>18</v>
      </c>
      <c r="F509" s="69" t="str">
        <f>"06"</f>
        <v>06</v>
      </c>
      <c r="G509" s="69" t="s">
        <v>500</v>
      </c>
    </row>
    <row r="510" spans="1:7" ht="19.5" customHeight="1">
      <c r="A510" s="69">
        <v>509</v>
      </c>
      <c r="B510" s="69" t="s">
        <v>508</v>
      </c>
      <c r="C510" s="69" t="s">
        <v>536</v>
      </c>
      <c r="D510" s="69" t="str">
        <f>"202109121807"</f>
        <v>202109121807</v>
      </c>
      <c r="E510" s="69" t="str">
        <f t="shared" si="17"/>
        <v>18</v>
      </c>
      <c r="F510" s="69" t="str">
        <f>"07"</f>
        <v>07</v>
      </c>
      <c r="G510" s="69" t="s">
        <v>500</v>
      </c>
    </row>
    <row r="511" spans="1:7" ht="19.5" customHeight="1">
      <c r="A511" s="69">
        <v>510</v>
      </c>
      <c r="B511" s="69" t="s">
        <v>537</v>
      </c>
      <c r="C511" s="69" t="s">
        <v>538</v>
      </c>
      <c r="D511" s="69" t="str">
        <f>"202109121808"</f>
        <v>202109121808</v>
      </c>
      <c r="E511" s="69" t="str">
        <f t="shared" si="17"/>
        <v>18</v>
      </c>
      <c r="F511" s="69" t="str">
        <f>"08"</f>
        <v>08</v>
      </c>
      <c r="G511" s="69" t="s">
        <v>539</v>
      </c>
    </row>
    <row r="512" spans="1:7" ht="19.5" customHeight="1">
      <c r="A512" s="69">
        <v>511</v>
      </c>
      <c r="B512" s="69" t="s">
        <v>537</v>
      </c>
      <c r="C512" s="69" t="s">
        <v>540</v>
      </c>
      <c r="D512" s="69" t="str">
        <f>"202109121809"</f>
        <v>202109121809</v>
      </c>
      <c r="E512" s="69" t="str">
        <f t="shared" si="17"/>
        <v>18</v>
      </c>
      <c r="F512" s="69" t="str">
        <f>"09"</f>
        <v>09</v>
      </c>
      <c r="G512" s="69" t="s">
        <v>539</v>
      </c>
    </row>
    <row r="513" spans="1:7" ht="19.5" customHeight="1">
      <c r="A513" s="69">
        <v>512</v>
      </c>
      <c r="B513" s="69" t="s">
        <v>537</v>
      </c>
      <c r="C513" s="69" t="s">
        <v>541</v>
      </c>
      <c r="D513" s="69" t="str">
        <f>"202109121810"</f>
        <v>202109121810</v>
      </c>
      <c r="E513" s="69" t="str">
        <f t="shared" si="17"/>
        <v>18</v>
      </c>
      <c r="F513" s="69" t="str">
        <f>"10"</f>
        <v>10</v>
      </c>
      <c r="G513" s="69" t="s">
        <v>539</v>
      </c>
    </row>
    <row r="514" spans="1:7" ht="19.5" customHeight="1">
      <c r="A514" s="69">
        <v>513</v>
      </c>
      <c r="B514" s="69" t="s">
        <v>537</v>
      </c>
      <c r="C514" s="69" t="s">
        <v>542</v>
      </c>
      <c r="D514" s="69" t="str">
        <f>"202109121811"</f>
        <v>202109121811</v>
      </c>
      <c r="E514" s="69" t="str">
        <f t="shared" si="17"/>
        <v>18</v>
      </c>
      <c r="F514" s="69" t="str">
        <f>"11"</f>
        <v>11</v>
      </c>
      <c r="G514" s="69" t="s">
        <v>539</v>
      </c>
    </row>
    <row r="515" spans="1:7" ht="19.5" customHeight="1">
      <c r="A515" s="69">
        <v>514</v>
      </c>
      <c r="B515" s="69" t="s">
        <v>537</v>
      </c>
      <c r="C515" s="69" t="s">
        <v>543</v>
      </c>
      <c r="D515" s="69" t="str">
        <f>"202109121812"</f>
        <v>202109121812</v>
      </c>
      <c r="E515" s="69" t="str">
        <f t="shared" si="17"/>
        <v>18</v>
      </c>
      <c r="F515" s="69" t="str">
        <f>"12"</f>
        <v>12</v>
      </c>
      <c r="G515" s="69" t="s">
        <v>539</v>
      </c>
    </row>
    <row r="516" spans="1:7" ht="19.5" customHeight="1">
      <c r="A516" s="69">
        <v>515</v>
      </c>
      <c r="B516" s="69" t="s">
        <v>537</v>
      </c>
      <c r="C516" s="69" t="s">
        <v>544</v>
      </c>
      <c r="D516" s="69" t="str">
        <f>"202109121813"</f>
        <v>202109121813</v>
      </c>
      <c r="E516" s="69" t="str">
        <f t="shared" si="17"/>
        <v>18</v>
      </c>
      <c r="F516" s="69" t="str">
        <f>"13"</f>
        <v>13</v>
      </c>
      <c r="G516" s="69" t="s">
        <v>539</v>
      </c>
    </row>
    <row r="517" spans="1:7" ht="19.5" customHeight="1">
      <c r="A517" s="69">
        <v>516</v>
      </c>
      <c r="B517" s="69" t="s">
        <v>537</v>
      </c>
      <c r="C517" s="69" t="s">
        <v>545</v>
      </c>
      <c r="D517" s="69" t="str">
        <f>"202109121814"</f>
        <v>202109121814</v>
      </c>
      <c r="E517" s="69" t="str">
        <f t="shared" si="17"/>
        <v>18</v>
      </c>
      <c r="F517" s="69" t="str">
        <f>"14"</f>
        <v>14</v>
      </c>
      <c r="G517" s="69" t="s">
        <v>539</v>
      </c>
    </row>
    <row r="518" spans="1:7" ht="19.5" customHeight="1">
      <c r="A518" s="69">
        <v>517</v>
      </c>
      <c r="B518" s="69" t="s">
        <v>537</v>
      </c>
      <c r="C518" s="69" t="s">
        <v>546</v>
      </c>
      <c r="D518" s="69" t="str">
        <f>"202109121815"</f>
        <v>202109121815</v>
      </c>
      <c r="E518" s="69" t="str">
        <f t="shared" si="17"/>
        <v>18</v>
      </c>
      <c r="F518" s="69" t="str">
        <f>"15"</f>
        <v>15</v>
      </c>
      <c r="G518" s="69" t="s">
        <v>539</v>
      </c>
    </row>
    <row r="519" spans="1:7" ht="19.5" customHeight="1">
      <c r="A519" s="69">
        <v>518</v>
      </c>
      <c r="B519" s="69" t="s">
        <v>537</v>
      </c>
      <c r="C519" s="69" t="s">
        <v>547</v>
      </c>
      <c r="D519" s="69" t="str">
        <f>"202109121816"</f>
        <v>202109121816</v>
      </c>
      <c r="E519" s="69" t="str">
        <f t="shared" si="17"/>
        <v>18</v>
      </c>
      <c r="F519" s="69" t="str">
        <f>"16"</f>
        <v>16</v>
      </c>
      <c r="G519" s="69" t="s">
        <v>539</v>
      </c>
    </row>
    <row r="520" spans="1:7" ht="19.5" customHeight="1">
      <c r="A520" s="69">
        <v>519</v>
      </c>
      <c r="B520" s="69" t="s">
        <v>537</v>
      </c>
      <c r="C520" s="69" t="s">
        <v>548</v>
      </c>
      <c r="D520" s="69" t="str">
        <f>"202109121817"</f>
        <v>202109121817</v>
      </c>
      <c r="E520" s="69" t="str">
        <f t="shared" si="17"/>
        <v>18</v>
      </c>
      <c r="F520" s="69" t="str">
        <f>"17"</f>
        <v>17</v>
      </c>
      <c r="G520" s="69" t="s">
        <v>539</v>
      </c>
    </row>
    <row r="521" spans="1:7" ht="19.5" customHeight="1">
      <c r="A521" s="69">
        <v>520</v>
      </c>
      <c r="B521" s="69" t="s">
        <v>537</v>
      </c>
      <c r="C521" s="69" t="s">
        <v>549</v>
      </c>
      <c r="D521" s="69" t="str">
        <f>"202109121818"</f>
        <v>202109121818</v>
      </c>
      <c r="E521" s="69" t="str">
        <f t="shared" si="17"/>
        <v>18</v>
      </c>
      <c r="F521" s="69" t="str">
        <f>"18"</f>
        <v>18</v>
      </c>
      <c r="G521" s="69" t="s">
        <v>539</v>
      </c>
    </row>
    <row r="522" spans="1:7" ht="19.5" customHeight="1">
      <c r="A522" s="69">
        <v>521</v>
      </c>
      <c r="B522" s="69" t="s">
        <v>537</v>
      </c>
      <c r="C522" s="69" t="s">
        <v>550</v>
      </c>
      <c r="D522" s="69" t="str">
        <f>"202109121819"</f>
        <v>202109121819</v>
      </c>
      <c r="E522" s="69" t="str">
        <f t="shared" si="17"/>
        <v>18</v>
      </c>
      <c r="F522" s="69" t="str">
        <f>"19"</f>
        <v>19</v>
      </c>
      <c r="G522" s="69" t="s">
        <v>539</v>
      </c>
    </row>
    <row r="523" spans="1:7" ht="19.5" customHeight="1">
      <c r="A523" s="69">
        <v>522</v>
      </c>
      <c r="B523" s="69" t="s">
        <v>537</v>
      </c>
      <c r="C523" s="69" t="s">
        <v>551</v>
      </c>
      <c r="D523" s="69" t="str">
        <f>"202109121820"</f>
        <v>202109121820</v>
      </c>
      <c r="E523" s="69" t="str">
        <f t="shared" si="17"/>
        <v>18</v>
      </c>
      <c r="F523" s="69" t="str">
        <f>"20"</f>
        <v>20</v>
      </c>
      <c r="G523" s="69" t="s">
        <v>539</v>
      </c>
    </row>
    <row r="524" spans="1:7" ht="19.5" customHeight="1">
      <c r="A524" s="69">
        <v>523</v>
      </c>
      <c r="B524" s="69" t="s">
        <v>537</v>
      </c>
      <c r="C524" s="69" t="s">
        <v>552</v>
      </c>
      <c r="D524" s="69" t="str">
        <f>"202109121821"</f>
        <v>202109121821</v>
      </c>
      <c r="E524" s="69" t="str">
        <f t="shared" si="17"/>
        <v>18</v>
      </c>
      <c r="F524" s="69" t="str">
        <f>"21"</f>
        <v>21</v>
      </c>
      <c r="G524" s="69" t="s">
        <v>539</v>
      </c>
    </row>
    <row r="525" spans="1:7" ht="19.5" customHeight="1">
      <c r="A525" s="69">
        <v>524</v>
      </c>
      <c r="B525" s="69" t="s">
        <v>553</v>
      </c>
      <c r="C525" s="69" t="s">
        <v>554</v>
      </c>
      <c r="D525" s="69" t="str">
        <f>"202109121822"</f>
        <v>202109121822</v>
      </c>
      <c r="E525" s="69" t="str">
        <f t="shared" si="17"/>
        <v>18</v>
      </c>
      <c r="F525" s="69" t="str">
        <f>"22"</f>
        <v>22</v>
      </c>
      <c r="G525" s="69" t="s">
        <v>539</v>
      </c>
    </row>
    <row r="526" spans="1:7" ht="19.5" customHeight="1">
      <c r="A526" s="69">
        <v>525</v>
      </c>
      <c r="B526" s="69" t="s">
        <v>553</v>
      </c>
      <c r="C526" s="69" t="s">
        <v>555</v>
      </c>
      <c r="D526" s="69" t="str">
        <f>"202109121823"</f>
        <v>202109121823</v>
      </c>
      <c r="E526" s="69" t="str">
        <f t="shared" si="17"/>
        <v>18</v>
      </c>
      <c r="F526" s="69" t="str">
        <f>"23"</f>
        <v>23</v>
      </c>
      <c r="G526" s="69" t="s">
        <v>539</v>
      </c>
    </row>
    <row r="527" spans="1:7" ht="19.5" customHeight="1">
      <c r="A527" s="69">
        <v>526</v>
      </c>
      <c r="B527" s="69" t="s">
        <v>553</v>
      </c>
      <c r="C527" s="69" t="s">
        <v>556</v>
      </c>
      <c r="D527" s="69" t="str">
        <f>"202109121824"</f>
        <v>202109121824</v>
      </c>
      <c r="E527" s="69" t="str">
        <f t="shared" si="17"/>
        <v>18</v>
      </c>
      <c r="F527" s="69" t="str">
        <f>"24"</f>
        <v>24</v>
      </c>
      <c r="G527" s="69" t="s">
        <v>539</v>
      </c>
    </row>
    <row r="528" spans="1:7" ht="19.5" customHeight="1">
      <c r="A528" s="69">
        <v>527</v>
      </c>
      <c r="B528" s="69" t="s">
        <v>553</v>
      </c>
      <c r="C528" s="69" t="s">
        <v>557</v>
      </c>
      <c r="D528" s="69" t="str">
        <f>"202109121825"</f>
        <v>202109121825</v>
      </c>
      <c r="E528" s="69" t="str">
        <f t="shared" si="17"/>
        <v>18</v>
      </c>
      <c r="F528" s="69" t="str">
        <f>"25"</f>
        <v>25</v>
      </c>
      <c r="G528" s="69" t="s">
        <v>539</v>
      </c>
    </row>
    <row r="529" spans="1:7" ht="19.5" customHeight="1">
      <c r="A529" s="69">
        <v>528</v>
      </c>
      <c r="B529" s="69" t="s">
        <v>553</v>
      </c>
      <c r="C529" s="69" t="s">
        <v>558</v>
      </c>
      <c r="D529" s="69" t="str">
        <f>"202109121826"</f>
        <v>202109121826</v>
      </c>
      <c r="E529" s="69" t="str">
        <f t="shared" si="17"/>
        <v>18</v>
      </c>
      <c r="F529" s="69" t="str">
        <f>"26"</f>
        <v>26</v>
      </c>
      <c r="G529" s="69" t="s">
        <v>539</v>
      </c>
    </row>
    <row r="530" spans="1:7" ht="19.5" customHeight="1">
      <c r="A530" s="69">
        <v>529</v>
      </c>
      <c r="B530" s="69" t="s">
        <v>559</v>
      </c>
      <c r="C530" s="69" t="s">
        <v>560</v>
      </c>
      <c r="D530" s="69" t="str">
        <f>"202109121901"</f>
        <v>202109121901</v>
      </c>
      <c r="E530" s="69" t="str">
        <f aca="true" t="shared" si="18" ref="E530:E549">"19"</f>
        <v>19</v>
      </c>
      <c r="F530" s="69" t="str">
        <f>"01"</f>
        <v>01</v>
      </c>
      <c r="G530" s="69" t="s">
        <v>561</v>
      </c>
    </row>
    <row r="531" spans="1:7" ht="19.5" customHeight="1">
      <c r="A531" s="69">
        <v>530</v>
      </c>
      <c r="B531" s="69" t="s">
        <v>559</v>
      </c>
      <c r="C531" s="69" t="s">
        <v>562</v>
      </c>
      <c r="D531" s="69" t="str">
        <f>"202109121902"</f>
        <v>202109121902</v>
      </c>
      <c r="E531" s="69" t="str">
        <f t="shared" si="18"/>
        <v>19</v>
      </c>
      <c r="F531" s="69" t="str">
        <f>"02"</f>
        <v>02</v>
      </c>
      <c r="G531" s="69" t="s">
        <v>561</v>
      </c>
    </row>
    <row r="532" spans="1:7" ht="19.5" customHeight="1">
      <c r="A532" s="69">
        <v>531</v>
      </c>
      <c r="B532" s="69" t="s">
        <v>559</v>
      </c>
      <c r="C532" s="69" t="s">
        <v>563</v>
      </c>
      <c r="D532" s="69" t="str">
        <f>"202109121903"</f>
        <v>202109121903</v>
      </c>
      <c r="E532" s="69" t="str">
        <f t="shared" si="18"/>
        <v>19</v>
      </c>
      <c r="F532" s="69" t="str">
        <f>"03"</f>
        <v>03</v>
      </c>
      <c r="G532" s="69" t="s">
        <v>561</v>
      </c>
    </row>
    <row r="533" spans="1:7" ht="19.5" customHeight="1">
      <c r="A533" s="69">
        <v>532</v>
      </c>
      <c r="B533" s="69" t="s">
        <v>559</v>
      </c>
      <c r="C533" s="69" t="s">
        <v>564</v>
      </c>
      <c r="D533" s="69" t="str">
        <f>"202109121904"</f>
        <v>202109121904</v>
      </c>
      <c r="E533" s="69" t="str">
        <f t="shared" si="18"/>
        <v>19</v>
      </c>
      <c r="F533" s="69" t="str">
        <f>"04"</f>
        <v>04</v>
      </c>
      <c r="G533" s="69" t="s">
        <v>561</v>
      </c>
    </row>
    <row r="534" spans="1:7" ht="19.5" customHeight="1">
      <c r="A534" s="69">
        <v>533</v>
      </c>
      <c r="B534" s="69" t="s">
        <v>559</v>
      </c>
      <c r="C534" s="69" t="s">
        <v>565</v>
      </c>
      <c r="D534" s="69" t="str">
        <f>"202109121905"</f>
        <v>202109121905</v>
      </c>
      <c r="E534" s="69" t="str">
        <f t="shared" si="18"/>
        <v>19</v>
      </c>
      <c r="F534" s="69" t="str">
        <f>"05"</f>
        <v>05</v>
      </c>
      <c r="G534" s="69" t="s">
        <v>561</v>
      </c>
    </row>
    <row r="535" spans="1:7" ht="19.5" customHeight="1">
      <c r="A535" s="69">
        <v>534</v>
      </c>
      <c r="B535" s="69" t="s">
        <v>559</v>
      </c>
      <c r="C535" s="69" t="s">
        <v>566</v>
      </c>
      <c r="D535" s="69" t="str">
        <f>"202109121906"</f>
        <v>202109121906</v>
      </c>
      <c r="E535" s="69" t="str">
        <f t="shared" si="18"/>
        <v>19</v>
      </c>
      <c r="F535" s="69" t="str">
        <f>"06"</f>
        <v>06</v>
      </c>
      <c r="G535" s="69" t="s">
        <v>561</v>
      </c>
    </row>
    <row r="536" spans="1:7" ht="19.5" customHeight="1">
      <c r="A536" s="69">
        <v>535</v>
      </c>
      <c r="B536" s="69" t="s">
        <v>559</v>
      </c>
      <c r="C536" s="69" t="s">
        <v>567</v>
      </c>
      <c r="D536" s="69" t="str">
        <f>"202109121907"</f>
        <v>202109121907</v>
      </c>
      <c r="E536" s="69" t="str">
        <f t="shared" si="18"/>
        <v>19</v>
      </c>
      <c r="F536" s="69" t="str">
        <f>"07"</f>
        <v>07</v>
      </c>
      <c r="G536" s="69" t="s">
        <v>561</v>
      </c>
    </row>
    <row r="537" spans="1:7" ht="19.5" customHeight="1">
      <c r="A537" s="69">
        <v>536</v>
      </c>
      <c r="B537" s="69" t="s">
        <v>559</v>
      </c>
      <c r="C537" s="69" t="s">
        <v>568</v>
      </c>
      <c r="D537" s="69" t="str">
        <f>"202109121908"</f>
        <v>202109121908</v>
      </c>
      <c r="E537" s="69" t="str">
        <f t="shared" si="18"/>
        <v>19</v>
      </c>
      <c r="F537" s="69" t="str">
        <f>"08"</f>
        <v>08</v>
      </c>
      <c r="G537" s="69" t="s">
        <v>561</v>
      </c>
    </row>
    <row r="538" spans="1:7" ht="19.5" customHeight="1">
      <c r="A538" s="69">
        <v>537</v>
      </c>
      <c r="B538" s="69" t="s">
        <v>559</v>
      </c>
      <c r="C538" s="69" t="s">
        <v>569</v>
      </c>
      <c r="D538" s="69" t="str">
        <f>"202109121909"</f>
        <v>202109121909</v>
      </c>
      <c r="E538" s="69" t="str">
        <f t="shared" si="18"/>
        <v>19</v>
      </c>
      <c r="F538" s="69" t="str">
        <f>"09"</f>
        <v>09</v>
      </c>
      <c r="G538" s="69" t="s">
        <v>561</v>
      </c>
    </row>
    <row r="539" spans="1:7" ht="19.5" customHeight="1">
      <c r="A539" s="69">
        <v>538</v>
      </c>
      <c r="B539" s="69" t="s">
        <v>559</v>
      </c>
      <c r="C539" s="69" t="s">
        <v>570</v>
      </c>
      <c r="D539" s="69" t="str">
        <f>"202109121910"</f>
        <v>202109121910</v>
      </c>
      <c r="E539" s="69" t="str">
        <f t="shared" si="18"/>
        <v>19</v>
      </c>
      <c r="F539" s="69" t="str">
        <f>"10"</f>
        <v>10</v>
      </c>
      <c r="G539" s="69" t="s">
        <v>561</v>
      </c>
    </row>
    <row r="540" spans="1:7" ht="19.5" customHeight="1">
      <c r="A540" s="69">
        <v>539</v>
      </c>
      <c r="B540" s="69" t="s">
        <v>559</v>
      </c>
      <c r="C540" s="69" t="s">
        <v>571</v>
      </c>
      <c r="D540" s="69" t="str">
        <f>"202109121911"</f>
        <v>202109121911</v>
      </c>
      <c r="E540" s="69" t="str">
        <f t="shared" si="18"/>
        <v>19</v>
      </c>
      <c r="F540" s="69" t="str">
        <f>"11"</f>
        <v>11</v>
      </c>
      <c r="G540" s="69" t="s">
        <v>561</v>
      </c>
    </row>
    <row r="541" spans="1:7" ht="19.5" customHeight="1">
      <c r="A541" s="69">
        <v>540</v>
      </c>
      <c r="B541" s="69" t="s">
        <v>559</v>
      </c>
      <c r="C541" s="69" t="s">
        <v>572</v>
      </c>
      <c r="D541" s="69" t="str">
        <f>"202109121912"</f>
        <v>202109121912</v>
      </c>
      <c r="E541" s="69" t="str">
        <f t="shared" si="18"/>
        <v>19</v>
      </c>
      <c r="F541" s="69" t="str">
        <f>"12"</f>
        <v>12</v>
      </c>
      <c r="G541" s="69" t="s">
        <v>561</v>
      </c>
    </row>
    <row r="542" spans="1:7" ht="19.5" customHeight="1">
      <c r="A542" s="69">
        <v>541</v>
      </c>
      <c r="B542" s="69" t="s">
        <v>559</v>
      </c>
      <c r="C542" s="69" t="s">
        <v>573</v>
      </c>
      <c r="D542" s="69" t="str">
        <f>"202109121913"</f>
        <v>202109121913</v>
      </c>
      <c r="E542" s="69" t="str">
        <f t="shared" si="18"/>
        <v>19</v>
      </c>
      <c r="F542" s="69" t="str">
        <f>"13"</f>
        <v>13</v>
      </c>
      <c r="G542" s="69" t="s">
        <v>561</v>
      </c>
    </row>
    <row r="543" spans="1:7" ht="19.5" customHeight="1">
      <c r="A543" s="69">
        <v>542</v>
      </c>
      <c r="B543" s="69" t="s">
        <v>559</v>
      </c>
      <c r="C543" s="69" t="s">
        <v>574</v>
      </c>
      <c r="D543" s="69" t="str">
        <f>"202109121914"</f>
        <v>202109121914</v>
      </c>
      <c r="E543" s="69" t="str">
        <f t="shared" si="18"/>
        <v>19</v>
      </c>
      <c r="F543" s="69" t="str">
        <f>"14"</f>
        <v>14</v>
      </c>
      <c r="G543" s="69" t="s">
        <v>561</v>
      </c>
    </row>
    <row r="544" spans="1:7" ht="19.5" customHeight="1">
      <c r="A544" s="69">
        <v>543</v>
      </c>
      <c r="B544" s="69" t="s">
        <v>559</v>
      </c>
      <c r="C544" s="69" t="s">
        <v>575</v>
      </c>
      <c r="D544" s="69" t="str">
        <f>"202109121915"</f>
        <v>202109121915</v>
      </c>
      <c r="E544" s="69" t="str">
        <f t="shared" si="18"/>
        <v>19</v>
      </c>
      <c r="F544" s="69" t="str">
        <f>"15"</f>
        <v>15</v>
      </c>
      <c r="G544" s="69" t="s">
        <v>561</v>
      </c>
    </row>
    <row r="545" spans="1:7" ht="19.5" customHeight="1">
      <c r="A545" s="69">
        <v>544</v>
      </c>
      <c r="B545" s="69" t="s">
        <v>576</v>
      </c>
      <c r="C545" s="69" t="s">
        <v>577</v>
      </c>
      <c r="D545" s="69" t="str">
        <f>"202109121916"</f>
        <v>202109121916</v>
      </c>
      <c r="E545" s="69" t="str">
        <f t="shared" si="18"/>
        <v>19</v>
      </c>
      <c r="F545" s="69" t="str">
        <f>"16"</f>
        <v>16</v>
      </c>
      <c r="G545" s="69" t="s">
        <v>561</v>
      </c>
    </row>
    <row r="546" spans="1:7" ht="19.5" customHeight="1">
      <c r="A546" s="69">
        <v>545</v>
      </c>
      <c r="B546" s="69" t="s">
        <v>576</v>
      </c>
      <c r="C546" s="69" t="s">
        <v>578</v>
      </c>
      <c r="D546" s="69" t="str">
        <f>"202109121917"</f>
        <v>202109121917</v>
      </c>
      <c r="E546" s="69" t="str">
        <f t="shared" si="18"/>
        <v>19</v>
      </c>
      <c r="F546" s="69" t="str">
        <f>"17"</f>
        <v>17</v>
      </c>
      <c r="G546" s="69" t="s">
        <v>561</v>
      </c>
    </row>
    <row r="547" spans="1:7" ht="19.5" customHeight="1">
      <c r="A547" s="69">
        <v>546</v>
      </c>
      <c r="B547" s="69" t="s">
        <v>576</v>
      </c>
      <c r="C547" s="69" t="s">
        <v>579</v>
      </c>
      <c r="D547" s="69" t="str">
        <f>"202109121918"</f>
        <v>202109121918</v>
      </c>
      <c r="E547" s="69" t="str">
        <f t="shared" si="18"/>
        <v>19</v>
      </c>
      <c r="F547" s="69" t="str">
        <f>"18"</f>
        <v>18</v>
      </c>
      <c r="G547" s="69" t="s">
        <v>561</v>
      </c>
    </row>
    <row r="548" spans="1:7" ht="19.5" customHeight="1">
      <c r="A548" s="69">
        <v>547</v>
      </c>
      <c r="B548" s="69" t="s">
        <v>576</v>
      </c>
      <c r="C548" s="69" t="s">
        <v>580</v>
      </c>
      <c r="D548" s="69" t="str">
        <f>"202109121919"</f>
        <v>202109121919</v>
      </c>
      <c r="E548" s="69" t="str">
        <f t="shared" si="18"/>
        <v>19</v>
      </c>
      <c r="F548" s="69" t="str">
        <f>"19"</f>
        <v>19</v>
      </c>
      <c r="G548" s="69" t="s">
        <v>561</v>
      </c>
    </row>
    <row r="549" spans="1:7" ht="19.5" customHeight="1">
      <c r="A549" s="69">
        <v>548</v>
      </c>
      <c r="B549" s="69" t="s">
        <v>576</v>
      </c>
      <c r="C549" s="69" t="s">
        <v>581</v>
      </c>
      <c r="D549" s="69" t="str">
        <f>"202109121920"</f>
        <v>202109121920</v>
      </c>
      <c r="E549" s="69" t="str">
        <f t="shared" si="18"/>
        <v>19</v>
      </c>
      <c r="F549" s="69" t="str">
        <f>"20"</f>
        <v>20</v>
      </c>
      <c r="G549" s="69" t="s">
        <v>561</v>
      </c>
    </row>
    <row r="550" spans="1:7" ht="19.5" customHeight="1">
      <c r="A550" s="69">
        <v>549</v>
      </c>
      <c r="B550" s="69" t="s">
        <v>576</v>
      </c>
      <c r="C550" s="69" t="s">
        <v>582</v>
      </c>
      <c r="D550" s="69" t="str">
        <f>"202109122001"</f>
        <v>202109122001</v>
      </c>
      <c r="E550" s="69" t="str">
        <f aca="true" t="shared" si="19" ref="E550:E564">"20"</f>
        <v>20</v>
      </c>
      <c r="F550" s="69" t="str">
        <f>"01"</f>
        <v>01</v>
      </c>
      <c r="G550" s="69" t="s">
        <v>561</v>
      </c>
    </row>
    <row r="551" spans="1:7" ht="19.5" customHeight="1">
      <c r="A551" s="69">
        <v>550</v>
      </c>
      <c r="B551" s="69" t="s">
        <v>583</v>
      </c>
      <c r="C551" s="69" t="s">
        <v>584</v>
      </c>
      <c r="D551" s="69" t="str">
        <f>"202109122002"</f>
        <v>202109122002</v>
      </c>
      <c r="E551" s="69" t="str">
        <f t="shared" si="19"/>
        <v>20</v>
      </c>
      <c r="F551" s="69" t="str">
        <f>"02"</f>
        <v>02</v>
      </c>
      <c r="G551" s="69" t="s">
        <v>561</v>
      </c>
    </row>
    <row r="552" spans="1:7" ht="19.5" customHeight="1">
      <c r="A552" s="69">
        <v>551</v>
      </c>
      <c r="B552" s="69" t="s">
        <v>583</v>
      </c>
      <c r="C552" s="69" t="s">
        <v>585</v>
      </c>
      <c r="D552" s="69" t="str">
        <f>"202109122003"</f>
        <v>202109122003</v>
      </c>
      <c r="E552" s="69" t="str">
        <f t="shared" si="19"/>
        <v>20</v>
      </c>
      <c r="F552" s="69" t="str">
        <f>"03"</f>
        <v>03</v>
      </c>
      <c r="G552" s="69" t="s">
        <v>561</v>
      </c>
    </row>
    <row r="553" spans="1:7" ht="19.5" customHeight="1">
      <c r="A553" s="69">
        <v>552</v>
      </c>
      <c r="B553" s="69" t="s">
        <v>583</v>
      </c>
      <c r="C553" s="69" t="s">
        <v>586</v>
      </c>
      <c r="D553" s="69" t="str">
        <f>"202109122004"</f>
        <v>202109122004</v>
      </c>
      <c r="E553" s="69" t="str">
        <f t="shared" si="19"/>
        <v>20</v>
      </c>
      <c r="F553" s="69" t="str">
        <f>"04"</f>
        <v>04</v>
      </c>
      <c r="G553" s="69" t="s">
        <v>561</v>
      </c>
    </row>
    <row r="554" spans="1:7" ht="19.5" customHeight="1">
      <c r="A554" s="69">
        <v>553</v>
      </c>
      <c r="B554" s="69" t="s">
        <v>583</v>
      </c>
      <c r="C554" s="69" t="s">
        <v>587</v>
      </c>
      <c r="D554" s="69" t="str">
        <f>"202109122005"</f>
        <v>202109122005</v>
      </c>
      <c r="E554" s="69" t="str">
        <f t="shared" si="19"/>
        <v>20</v>
      </c>
      <c r="F554" s="69" t="str">
        <f>"05"</f>
        <v>05</v>
      </c>
      <c r="G554" s="69" t="s">
        <v>561</v>
      </c>
    </row>
    <row r="555" spans="1:7" ht="19.5" customHeight="1">
      <c r="A555" s="69">
        <v>554</v>
      </c>
      <c r="B555" s="69" t="s">
        <v>583</v>
      </c>
      <c r="C555" s="69" t="s">
        <v>588</v>
      </c>
      <c r="D555" s="69" t="str">
        <f>"202109122006"</f>
        <v>202109122006</v>
      </c>
      <c r="E555" s="69" t="str">
        <f t="shared" si="19"/>
        <v>20</v>
      </c>
      <c r="F555" s="69" t="str">
        <f>"06"</f>
        <v>06</v>
      </c>
      <c r="G555" s="69" t="s">
        <v>561</v>
      </c>
    </row>
    <row r="556" spans="1:7" ht="19.5" customHeight="1">
      <c r="A556" s="69">
        <v>555</v>
      </c>
      <c r="B556" s="69" t="s">
        <v>583</v>
      </c>
      <c r="C556" s="69" t="s">
        <v>589</v>
      </c>
      <c r="D556" s="69" t="str">
        <f>"202109122007"</f>
        <v>202109122007</v>
      </c>
      <c r="E556" s="69" t="str">
        <f t="shared" si="19"/>
        <v>20</v>
      </c>
      <c r="F556" s="69" t="str">
        <f>"07"</f>
        <v>07</v>
      </c>
      <c r="G556" s="69" t="s">
        <v>561</v>
      </c>
    </row>
    <row r="557" spans="1:7" ht="19.5" customHeight="1">
      <c r="A557" s="69">
        <v>556</v>
      </c>
      <c r="B557" s="69" t="s">
        <v>583</v>
      </c>
      <c r="C557" s="69" t="s">
        <v>590</v>
      </c>
      <c r="D557" s="69" t="str">
        <f>"202109122008"</f>
        <v>202109122008</v>
      </c>
      <c r="E557" s="69" t="str">
        <f t="shared" si="19"/>
        <v>20</v>
      </c>
      <c r="F557" s="69" t="str">
        <f>"08"</f>
        <v>08</v>
      </c>
      <c r="G557" s="69" t="s">
        <v>561</v>
      </c>
    </row>
    <row r="558" spans="1:7" ht="19.5" customHeight="1">
      <c r="A558" s="69">
        <v>557</v>
      </c>
      <c r="B558" s="69" t="s">
        <v>583</v>
      </c>
      <c r="C558" s="69" t="s">
        <v>591</v>
      </c>
      <c r="D558" s="69" t="str">
        <f>"202109122009"</f>
        <v>202109122009</v>
      </c>
      <c r="E558" s="69" t="str">
        <f t="shared" si="19"/>
        <v>20</v>
      </c>
      <c r="F558" s="69" t="str">
        <f>"09"</f>
        <v>09</v>
      </c>
      <c r="G558" s="69" t="s">
        <v>561</v>
      </c>
    </row>
    <row r="559" spans="1:7" ht="19.5" customHeight="1">
      <c r="A559" s="69">
        <v>558</v>
      </c>
      <c r="B559" s="69" t="s">
        <v>583</v>
      </c>
      <c r="C559" s="69" t="s">
        <v>592</v>
      </c>
      <c r="D559" s="69" t="str">
        <f>"202109122010"</f>
        <v>202109122010</v>
      </c>
      <c r="E559" s="69" t="str">
        <f t="shared" si="19"/>
        <v>20</v>
      </c>
      <c r="F559" s="69" t="str">
        <f>"10"</f>
        <v>10</v>
      </c>
      <c r="G559" s="69" t="s">
        <v>561</v>
      </c>
    </row>
    <row r="560" spans="1:7" ht="19.5" customHeight="1">
      <c r="A560" s="69">
        <v>559</v>
      </c>
      <c r="B560" s="69" t="s">
        <v>583</v>
      </c>
      <c r="C560" s="69" t="s">
        <v>593</v>
      </c>
      <c r="D560" s="69" t="str">
        <f>"202109122011"</f>
        <v>202109122011</v>
      </c>
      <c r="E560" s="69" t="str">
        <f t="shared" si="19"/>
        <v>20</v>
      </c>
      <c r="F560" s="69" t="str">
        <f>"11"</f>
        <v>11</v>
      </c>
      <c r="G560" s="69" t="s">
        <v>561</v>
      </c>
    </row>
    <row r="561" spans="1:7" ht="19.5" customHeight="1">
      <c r="A561" s="69">
        <v>560</v>
      </c>
      <c r="B561" s="69" t="s">
        <v>583</v>
      </c>
      <c r="C561" s="69" t="s">
        <v>594</v>
      </c>
      <c r="D561" s="69" t="str">
        <f>"202109122012"</f>
        <v>202109122012</v>
      </c>
      <c r="E561" s="69" t="str">
        <f t="shared" si="19"/>
        <v>20</v>
      </c>
      <c r="F561" s="69" t="str">
        <f>"12"</f>
        <v>12</v>
      </c>
      <c r="G561" s="69" t="s">
        <v>561</v>
      </c>
    </row>
    <row r="562" spans="1:7" ht="19.5" customHeight="1">
      <c r="A562" s="69">
        <v>561</v>
      </c>
      <c r="B562" s="69" t="s">
        <v>595</v>
      </c>
      <c r="C562" s="69" t="s">
        <v>596</v>
      </c>
      <c r="D562" s="69" t="str">
        <f>"202109122013"</f>
        <v>202109122013</v>
      </c>
      <c r="E562" s="69" t="str">
        <f t="shared" si="19"/>
        <v>20</v>
      </c>
      <c r="F562" s="69" t="str">
        <f>"13"</f>
        <v>13</v>
      </c>
      <c r="G562" s="69" t="s">
        <v>597</v>
      </c>
    </row>
    <row r="563" spans="1:7" ht="19.5" customHeight="1">
      <c r="A563" s="69">
        <v>562</v>
      </c>
      <c r="B563" s="69" t="s">
        <v>595</v>
      </c>
      <c r="C563" s="69" t="s">
        <v>598</v>
      </c>
      <c r="D563" s="69" t="str">
        <f>"202109122014"</f>
        <v>202109122014</v>
      </c>
      <c r="E563" s="69" t="str">
        <f t="shared" si="19"/>
        <v>20</v>
      </c>
      <c r="F563" s="69" t="str">
        <f>"14"</f>
        <v>14</v>
      </c>
      <c r="G563" s="69" t="s">
        <v>597</v>
      </c>
    </row>
    <row r="564" spans="1:7" ht="19.5" customHeight="1">
      <c r="A564" s="69">
        <v>563</v>
      </c>
      <c r="B564" s="69" t="s">
        <v>595</v>
      </c>
      <c r="C564" s="69" t="s">
        <v>599</v>
      </c>
      <c r="D564" s="69" t="str">
        <f>"202109122015"</f>
        <v>202109122015</v>
      </c>
      <c r="E564" s="69" t="str">
        <f t="shared" si="19"/>
        <v>20</v>
      </c>
      <c r="F564" s="69" t="str">
        <f>"15"</f>
        <v>15</v>
      </c>
      <c r="G564" s="69" t="s">
        <v>597</v>
      </c>
    </row>
    <row r="565" spans="1:7" ht="19.5" customHeight="1">
      <c r="A565" s="69">
        <v>564</v>
      </c>
      <c r="B565" s="69" t="s">
        <v>600</v>
      </c>
      <c r="C565" s="69" t="s">
        <v>601</v>
      </c>
      <c r="D565" s="69" t="str">
        <f>"202109122101"</f>
        <v>202109122101</v>
      </c>
      <c r="E565" s="69" t="str">
        <f aca="true" t="shared" si="20" ref="E565:E581">"21"</f>
        <v>21</v>
      </c>
      <c r="F565" s="69" t="str">
        <f>"01"</f>
        <v>01</v>
      </c>
      <c r="G565" s="69" t="s">
        <v>602</v>
      </c>
    </row>
    <row r="566" spans="1:7" ht="19.5" customHeight="1">
      <c r="A566" s="69">
        <v>565</v>
      </c>
      <c r="B566" s="69" t="s">
        <v>600</v>
      </c>
      <c r="C566" s="69" t="s">
        <v>603</v>
      </c>
      <c r="D566" s="69" t="str">
        <f>"202109122102"</f>
        <v>202109122102</v>
      </c>
      <c r="E566" s="69" t="str">
        <f t="shared" si="20"/>
        <v>21</v>
      </c>
      <c r="F566" s="69" t="str">
        <f>"02"</f>
        <v>02</v>
      </c>
      <c r="G566" s="69" t="s">
        <v>602</v>
      </c>
    </row>
    <row r="567" spans="1:7" ht="19.5" customHeight="1">
      <c r="A567" s="69">
        <v>566</v>
      </c>
      <c r="B567" s="69" t="s">
        <v>600</v>
      </c>
      <c r="C567" s="69" t="s">
        <v>604</v>
      </c>
      <c r="D567" s="69" t="str">
        <f>"202109122103"</f>
        <v>202109122103</v>
      </c>
      <c r="E567" s="69" t="str">
        <f t="shared" si="20"/>
        <v>21</v>
      </c>
      <c r="F567" s="69" t="str">
        <f>"03"</f>
        <v>03</v>
      </c>
      <c r="G567" s="69" t="s">
        <v>602</v>
      </c>
    </row>
    <row r="568" spans="1:7" ht="19.5" customHeight="1">
      <c r="A568" s="69">
        <v>567</v>
      </c>
      <c r="B568" s="69" t="s">
        <v>600</v>
      </c>
      <c r="C568" s="69" t="s">
        <v>605</v>
      </c>
      <c r="D568" s="69" t="str">
        <f>"202109122104"</f>
        <v>202109122104</v>
      </c>
      <c r="E568" s="69" t="str">
        <f t="shared" si="20"/>
        <v>21</v>
      </c>
      <c r="F568" s="69" t="str">
        <f>"04"</f>
        <v>04</v>
      </c>
      <c r="G568" s="69" t="s">
        <v>602</v>
      </c>
    </row>
    <row r="569" spans="1:7" ht="19.5" customHeight="1">
      <c r="A569" s="69">
        <v>568</v>
      </c>
      <c r="B569" s="69" t="s">
        <v>600</v>
      </c>
      <c r="C569" s="69" t="s">
        <v>606</v>
      </c>
      <c r="D569" s="69" t="str">
        <f>"202109122105"</f>
        <v>202109122105</v>
      </c>
      <c r="E569" s="69" t="str">
        <f t="shared" si="20"/>
        <v>21</v>
      </c>
      <c r="F569" s="69" t="str">
        <f>"05"</f>
        <v>05</v>
      </c>
      <c r="G569" s="69" t="s">
        <v>602</v>
      </c>
    </row>
    <row r="570" spans="1:7" ht="19.5" customHeight="1">
      <c r="A570" s="69">
        <v>569</v>
      </c>
      <c r="B570" s="69" t="s">
        <v>600</v>
      </c>
      <c r="C570" s="69" t="s">
        <v>607</v>
      </c>
      <c r="D570" s="69" t="str">
        <f>"202109122106"</f>
        <v>202109122106</v>
      </c>
      <c r="E570" s="69" t="str">
        <f t="shared" si="20"/>
        <v>21</v>
      </c>
      <c r="F570" s="69" t="str">
        <f>"06"</f>
        <v>06</v>
      </c>
      <c r="G570" s="69" t="s">
        <v>602</v>
      </c>
    </row>
    <row r="571" spans="1:7" ht="19.5" customHeight="1">
      <c r="A571" s="69">
        <v>570</v>
      </c>
      <c r="B571" s="69" t="s">
        <v>608</v>
      </c>
      <c r="C571" s="69" t="s">
        <v>609</v>
      </c>
      <c r="D571" s="69" t="str">
        <f>"202109122107"</f>
        <v>202109122107</v>
      </c>
      <c r="E571" s="69" t="str">
        <f t="shared" si="20"/>
        <v>21</v>
      </c>
      <c r="F571" s="69" t="str">
        <f>"07"</f>
        <v>07</v>
      </c>
      <c r="G571" s="69" t="s">
        <v>610</v>
      </c>
    </row>
    <row r="572" spans="1:7" ht="19.5" customHeight="1">
      <c r="A572" s="69">
        <v>571</v>
      </c>
      <c r="B572" s="69" t="s">
        <v>608</v>
      </c>
      <c r="C572" s="69" t="s">
        <v>611</v>
      </c>
      <c r="D572" s="69" t="str">
        <f>"202109122108"</f>
        <v>202109122108</v>
      </c>
      <c r="E572" s="69" t="str">
        <f t="shared" si="20"/>
        <v>21</v>
      </c>
      <c r="F572" s="69" t="str">
        <f>"08"</f>
        <v>08</v>
      </c>
      <c r="G572" s="69" t="s">
        <v>610</v>
      </c>
    </row>
    <row r="573" spans="1:7" ht="19.5" customHeight="1">
      <c r="A573" s="69">
        <v>572</v>
      </c>
      <c r="B573" s="69" t="s">
        <v>608</v>
      </c>
      <c r="C573" s="69" t="s">
        <v>612</v>
      </c>
      <c r="D573" s="69" t="str">
        <f>"202109122109"</f>
        <v>202109122109</v>
      </c>
      <c r="E573" s="69" t="str">
        <f t="shared" si="20"/>
        <v>21</v>
      </c>
      <c r="F573" s="69" t="str">
        <f>"09"</f>
        <v>09</v>
      </c>
      <c r="G573" s="69" t="s">
        <v>610</v>
      </c>
    </row>
    <row r="574" spans="1:7" ht="19.5" customHeight="1">
      <c r="A574" s="69">
        <v>573</v>
      </c>
      <c r="B574" s="69" t="s">
        <v>608</v>
      </c>
      <c r="C574" s="69" t="s">
        <v>613</v>
      </c>
      <c r="D574" s="69" t="str">
        <f>"202109122110"</f>
        <v>202109122110</v>
      </c>
      <c r="E574" s="69" t="str">
        <f t="shared" si="20"/>
        <v>21</v>
      </c>
      <c r="F574" s="69" t="str">
        <f>"10"</f>
        <v>10</v>
      </c>
      <c r="G574" s="69" t="s">
        <v>610</v>
      </c>
    </row>
    <row r="575" spans="1:7" ht="19.5" customHeight="1">
      <c r="A575" s="69">
        <v>574</v>
      </c>
      <c r="B575" s="69" t="s">
        <v>608</v>
      </c>
      <c r="C575" s="69" t="s">
        <v>614</v>
      </c>
      <c r="D575" s="69" t="str">
        <f>"202109122111"</f>
        <v>202109122111</v>
      </c>
      <c r="E575" s="69" t="str">
        <f t="shared" si="20"/>
        <v>21</v>
      </c>
      <c r="F575" s="69" t="str">
        <f>"11"</f>
        <v>11</v>
      </c>
      <c r="G575" s="69" t="s">
        <v>610</v>
      </c>
    </row>
    <row r="576" spans="1:7" ht="19.5" customHeight="1">
      <c r="A576" s="69">
        <v>575</v>
      </c>
      <c r="B576" s="69" t="s">
        <v>608</v>
      </c>
      <c r="C576" s="69" t="s">
        <v>615</v>
      </c>
      <c r="D576" s="69" t="str">
        <f>"202109122112"</f>
        <v>202109122112</v>
      </c>
      <c r="E576" s="69" t="str">
        <f t="shared" si="20"/>
        <v>21</v>
      </c>
      <c r="F576" s="69" t="str">
        <f>"12"</f>
        <v>12</v>
      </c>
      <c r="G576" s="69" t="s">
        <v>610</v>
      </c>
    </row>
    <row r="577" spans="1:7" ht="19.5" customHeight="1">
      <c r="A577" s="69">
        <v>576</v>
      </c>
      <c r="B577" s="69" t="s">
        <v>608</v>
      </c>
      <c r="C577" s="69" t="s">
        <v>616</v>
      </c>
      <c r="D577" s="69" t="str">
        <f>"202109122113"</f>
        <v>202109122113</v>
      </c>
      <c r="E577" s="69" t="str">
        <f t="shared" si="20"/>
        <v>21</v>
      </c>
      <c r="F577" s="69" t="str">
        <f>"13"</f>
        <v>13</v>
      </c>
      <c r="G577" s="69" t="s">
        <v>610</v>
      </c>
    </row>
    <row r="578" spans="1:7" ht="19.5" customHeight="1">
      <c r="A578" s="69">
        <v>577</v>
      </c>
      <c r="B578" s="69" t="s">
        <v>608</v>
      </c>
      <c r="C578" s="69" t="s">
        <v>617</v>
      </c>
      <c r="D578" s="69" t="str">
        <f>"202109122114"</f>
        <v>202109122114</v>
      </c>
      <c r="E578" s="69" t="str">
        <f t="shared" si="20"/>
        <v>21</v>
      </c>
      <c r="F578" s="69" t="str">
        <f>"14"</f>
        <v>14</v>
      </c>
      <c r="G578" s="69" t="s">
        <v>610</v>
      </c>
    </row>
    <row r="579" spans="1:7" ht="19.5" customHeight="1">
      <c r="A579" s="69">
        <v>578</v>
      </c>
      <c r="B579" s="69" t="s">
        <v>618</v>
      </c>
      <c r="C579" s="69" t="s">
        <v>619</v>
      </c>
      <c r="D579" s="69" t="str">
        <f>"202109122115"</f>
        <v>202109122115</v>
      </c>
      <c r="E579" s="69" t="str">
        <f t="shared" si="20"/>
        <v>21</v>
      </c>
      <c r="F579" s="69" t="str">
        <f>"15"</f>
        <v>15</v>
      </c>
      <c r="G579" s="69" t="s">
        <v>620</v>
      </c>
    </row>
    <row r="580" spans="1:7" ht="19.5" customHeight="1">
      <c r="A580" s="69">
        <v>579</v>
      </c>
      <c r="B580" s="69" t="s">
        <v>618</v>
      </c>
      <c r="C580" s="69" t="s">
        <v>621</v>
      </c>
      <c r="D580" s="69" t="str">
        <f>"202109122116"</f>
        <v>202109122116</v>
      </c>
      <c r="E580" s="69" t="str">
        <f t="shared" si="20"/>
        <v>21</v>
      </c>
      <c r="F580" s="69" t="str">
        <f>"16"</f>
        <v>16</v>
      </c>
      <c r="G580" s="69" t="s">
        <v>620</v>
      </c>
    </row>
    <row r="581" spans="1:7" ht="19.5" customHeight="1">
      <c r="A581" s="69">
        <v>580</v>
      </c>
      <c r="B581" s="69" t="s">
        <v>618</v>
      </c>
      <c r="C581" s="69" t="s">
        <v>622</v>
      </c>
      <c r="D581" s="69" t="str">
        <f>"202109122117"</f>
        <v>202109122117</v>
      </c>
      <c r="E581" s="69" t="str">
        <f t="shared" si="20"/>
        <v>21</v>
      </c>
      <c r="F581" s="69" t="str">
        <f>"17"</f>
        <v>17</v>
      </c>
      <c r="G581" s="69" t="s">
        <v>620</v>
      </c>
    </row>
    <row r="582" spans="1:7" ht="19.5" customHeight="1">
      <c r="A582" s="69">
        <v>581</v>
      </c>
      <c r="B582" s="69" t="s">
        <v>623</v>
      </c>
      <c r="C582" s="69" t="s">
        <v>624</v>
      </c>
      <c r="D582" s="69" t="str">
        <f>"202109122201"</f>
        <v>202109122201</v>
      </c>
      <c r="E582" s="69" t="str">
        <f aca="true" t="shared" si="21" ref="E582:E605">"22"</f>
        <v>22</v>
      </c>
      <c r="F582" s="69" t="str">
        <f>"01"</f>
        <v>01</v>
      </c>
      <c r="G582" s="69" t="s">
        <v>625</v>
      </c>
    </row>
    <row r="583" spans="1:7" ht="19.5" customHeight="1">
      <c r="A583" s="69">
        <v>582</v>
      </c>
      <c r="B583" s="69" t="s">
        <v>623</v>
      </c>
      <c r="C583" s="69" t="s">
        <v>626</v>
      </c>
      <c r="D583" s="69" t="str">
        <f>"202109122202"</f>
        <v>202109122202</v>
      </c>
      <c r="E583" s="69" t="str">
        <f t="shared" si="21"/>
        <v>22</v>
      </c>
      <c r="F583" s="69" t="str">
        <f>"02"</f>
        <v>02</v>
      </c>
      <c r="G583" s="69" t="s">
        <v>625</v>
      </c>
    </row>
    <row r="584" spans="1:7" ht="19.5" customHeight="1">
      <c r="A584" s="69">
        <v>583</v>
      </c>
      <c r="B584" s="69" t="s">
        <v>623</v>
      </c>
      <c r="C584" s="69" t="s">
        <v>627</v>
      </c>
      <c r="D584" s="69" t="str">
        <f>"202109122203"</f>
        <v>202109122203</v>
      </c>
      <c r="E584" s="69" t="str">
        <f t="shared" si="21"/>
        <v>22</v>
      </c>
      <c r="F584" s="69" t="str">
        <f>"03"</f>
        <v>03</v>
      </c>
      <c r="G584" s="69" t="s">
        <v>625</v>
      </c>
    </row>
    <row r="585" spans="1:7" ht="19.5" customHeight="1">
      <c r="A585" s="69">
        <v>584</v>
      </c>
      <c r="B585" s="69" t="s">
        <v>623</v>
      </c>
      <c r="C585" s="69" t="s">
        <v>52</v>
      </c>
      <c r="D585" s="69" t="str">
        <f>"202109122204"</f>
        <v>202109122204</v>
      </c>
      <c r="E585" s="69" t="str">
        <f t="shared" si="21"/>
        <v>22</v>
      </c>
      <c r="F585" s="69" t="str">
        <f>"04"</f>
        <v>04</v>
      </c>
      <c r="G585" s="69" t="s">
        <v>625</v>
      </c>
    </row>
    <row r="586" spans="1:7" ht="19.5" customHeight="1">
      <c r="A586" s="69">
        <v>585</v>
      </c>
      <c r="B586" s="69" t="s">
        <v>623</v>
      </c>
      <c r="C586" s="69" t="s">
        <v>628</v>
      </c>
      <c r="D586" s="69" t="str">
        <f>"202109122205"</f>
        <v>202109122205</v>
      </c>
      <c r="E586" s="69" t="str">
        <f t="shared" si="21"/>
        <v>22</v>
      </c>
      <c r="F586" s="69" t="str">
        <f>"05"</f>
        <v>05</v>
      </c>
      <c r="G586" s="69" t="s">
        <v>625</v>
      </c>
    </row>
    <row r="587" spans="1:7" ht="19.5" customHeight="1">
      <c r="A587" s="69">
        <v>586</v>
      </c>
      <c r="B587" s="69" t="s">
        <v>623</v>
      </c>
      <c r="C587" s="69" t="s">
        <v>629</v>
      </c>
      <c r="D587" s="69" t="str">
        <f>"202109122206"</f>
        <v>202109122206</v>
      </c>
      <c r="E587" s="69" t="str">
        <f t="shared" si="21"/>
        <v>22</v>
      </c>
      <c r="F587" s="69" t="str">
        <f>"06"</f>
        <v>06</v>
      </c>
      <c r="G587" s="69" t="s">
        <v>625</v>
      </c>
    </row>
    <row r="588" spans="1:7" ht="19.5" customHeight="1">
      <c r="A588" s="69">
        <v>587</v>
      </c>
      <c r="B588" s="69" t="s">
        <v>623</v>
      </c>
      <c r="C588" s="69" t="s">
        <v>630</v>
      </c>
      <c r="D588" s="69" t="str">
        <f>"202109122207"</f>
        <v>202109122207</v>
      </c>
      <c r="E588" s="69" t="str">
        <f t="shared" si="21"/>
        <v>22</v>
      </c>
      <c r="F588" s="69" t="str">
        <f>"07"</f>
        <v>07</v>
      </c>
      <c r="G588" s="69" t="s">
        <v>625</v>
      </c>
    </row>
    <row r="589" spans="1:7" ht="19.5" customHeight="1">
      <c r="A589" s="69">
        <v>588</v>
      </c>
      <c r="B589" s="69" t="s">
        <v>623</v>
      </c>
      <c r="C589" s="69" t="s">
        <v>631</v>
      </c>
      <c r="D589" s="69" t="str">
        <f>"202109122208"</f>
        <v>202109122208</v>
      </c>
      <c r="E589" s="69" t="str">
        <f t="shared" si="21"/>
        <v>22</v>
      </c>
      <c r="F589" s="69" t="str">
        <f>"08"</f>
        <v>08</v>
      </c>
      <c r="G589" s="69" t="s">
        <v>625</v>
      </c>
    </row>
    <row r="590" spans="1:7" ht="19.5" customHeight="1">
      <c r="A590" s="69">
        <v>589</v>
      </c>
      <c r="B590" s="69" t="s">
        <v>632</v>
      </c>
      <c r="C590" s="69" t="s">
        <v>633</v>
      </c>
      <c r="D590" s="69" t="str">
        <f>"202109122209"</f>
        <v>202109122209</v>
      </c>
      <c r="E590" s="69" t="str">
        <f t="shared" si="21"/>
        <v>22</v>
      </c>
      <c r="F590" s="69" t="str">
        <f>"09"</f>
        <v>09</v>
      </c>
      <c r="G590" s="69" t="s">
        <v>625</v>
      </c>
    </row>
    <row r="591" spans="1:7" ht="19.5" customHeight="1">
      <c r="A591" s="69">
        <v>590</v>
      </c>
      <c r="B591" s="69" t="s">
        <v>632</v>
      </c>
      <c r="C591" s="69" t="s">
        <v>634</v>
      </c>
      <c r="D591" s="69" t="str">
        <f>"202109122210"</f>
        <v>202109122210</v>
      </c>
      <c r="E591" s="69" t="str">
        <f t="shared" si="21"/>
        <v>22</v>
      </c>
      <c r="F591" s="69" t="str">
        <f>"10"</f>
        <v>10</v>
      </c>
      <c r="G591" s="69" t="s">
        <v>625</v>
      </c>
    </row>
    <row r="592" spans="1:7" ht="19.5" customHeight="1">
      <c r="A592" s="69">
        <v>591</v>
      </c>
      <c r="B592" s="69" t="s">
        <v>632</v>
      </c>
      <c r="C592" s="69" t="s">
        <v>635</v>
      </c>
      <c r="D592" s="69" t="str">
        <f>"202109122211"</f>
        <v>202109122211</v>
      </c>
      <c r="E592" s="69" t="str">
        <f t="shared" si="21"/>
        <v>22</v>
      </c>
      <c r="F592" s="69" t="str">
        <f>"11"</f>
        <v>11</v>
      </c>
      <c r="G592" s="69" t="s">
        <v>625</v>
      </c>
    </row>
    <row r="593" spans="1:7" s="30" customFormat="1" ht="19.5" customHeight="1">
      <c r="A593" s="70">
        <v>592</v>
      </c>
      <c r="B593" s="71" t="s">
        <v>636</v>
      </c>
      <c r="C593" s="71" t="s">
        <v>637</v>
      </c>
      <c r="D593" s="71" t="str">
        <f>"202109122212"</f>
        <v>202109122212</v>
      </c>
      <c r="E593" s="71" t="str">
        <f t="shared" si="21"/>
        <v>22</v>
      </c>
      <c r="F593" s="71" t="str">
        <f>"12"</f>
        <v>12</v>
      </c>
      <c r="G593" s="71" t="s">
        <v>638</v>
      </c>
    </row>
    <row r="594" spans="1:7" s="30" customFormat="1" ht="19.5" customHeight="1">
      <c r="A594" s="70">
        <v>593</v>
      </c>
      <c r="B594" s="71" t="s">
        <v>636</v>
      </c>
      <c r="C594" s="71" t="s">
        <v>639</v>
      </c>
      <c r="D594" s="71" t="str">
        <f>"202109122213"</f>
        <v>202109122213</v>
      </c>
      <c r="E594" s="71" t="str">
        <f t="shared" si="21"/>
        <v>22</v>
      </c>
      <c r="F594" s="71" t="str">
        <f>"13"</f>
        <v>13</v>
      </c>
      <c r="G594" s="71" t="s">
        <v>638</v>
      </c>
    </row>
    <row r="595" spans="1:7" s="30" customFormat="1" ht="19.5" customHeight="1">
      <c r="A595" s="70">
        <v>594</v>
      </c>
      <c r="B595" s="71" t="s">
        <v>636</v>
      </c>
      <c r="C595" s="71" t="s">
        <v>640</v>
      </c>
      <c r="D595" s="71" t="str">
        <f>"202109122214"</f>
        <v>202109122214</v>
      </c>
      <c r="E595" s="71" t="str">
        <f t="shared" si="21"/>
        <v>22</v>
      </c>
      <c r="F595" s="71" t="str">
        <f>"14"</f>
        <v>14</v>
      </c>
      <c r="G595" s="71" t="s">
        <v>638</v>
      </c>
    </row>
    <row r="596" spans="1:7" s="30" customFormat="1" ht="19.5" customHeight="1">
      <c r="A596" s="70">
        <v>595</v>
      </c>
      <c r="B596" s="71" t="s">
        <v>636</v>
      </c>
      <c r="C596" s="71" t="s">
        <v>641</v>
      </c>
      <c r="D596" s="71" t="str">
        <f>"202109122215"</f>
        <v>202109122215</v>
      </c>
      <c r="E596" s="71" t="str">
        <f t="shared" si="21"/>
        <v>22</v>
      </c>
      <c r="F596" s="71" t="str">
        <f>"15"</f>
        <v>15</v>
      </c>
      <c r="G596" s="71" t="s">
        <v>638</v>
      </c>
    </row>
    <row r="597" spans="1:7" s="30" customFormat="1" ht="19.5" customHeight="1">
      <c r="A597" s="70">
        <v>596</v>
      </c>
      <c r="B597" s="71" t="s">
        <v>636</v>
      </c>
      <c r="C597" s="71" t="s">
        <v>642</v>
      </c>
      <c r="D597" s="71" t="str">
        <f>"202109122216"</f>
        <v>202109122216</v>
      </c>
      <c r="E597" s="71" t="str">
        <f t="shared" si="21"/>
        <v>22</v>
      </c>
      <c r="F597" s="71" t="str">
        <f>"16"</f>
        <v>16</v>
      </c>
      <c r="G597" s="71" t="s">
        <v>638</v>
      </c>
    </row>
    <row r="598" spans="1:7" s="30" customFormat="1" ht="19.5" customHeight="1">
      <c r="A598" s="70">
        <v>597</v>
      </c>
      <c r="B598" s="71" t="s">
        <v>636</v>
      </c>
      <c r="C598" s="71" t="s">
        <v>643</v>
      </c>
      <c r="D598" s="71" t="str">
        <f>"202109122217"</f>
        <v>202109122217</v>
      </c>
      <c r="E598" s="71" t="str">
        <f t="shared" si="21"/>
        <v>22</v>
      </c>
      <c r="F598" s="71" t="str">
        <f>"17"</f>
        <v>17</v>
      </c>
      <c r="G598" s="71" t="s">
        <v>638</v>
      </c>
    </row>
    <row r="599" spans="1:7" s="30" customFormat="1" ht="19.5" customHeight="1">
      <c r="A599" s="70">
        <v>598</v>
      </c>
      <c r="B599" s="71" t="s">
        <v>636</v>
      </c>
      <c r="C599" s="71" t="s">
        <v>644</v>
      </c>
      <c r="D599" s="71" t="str">
        <f>"202109122218"</f>
        <v>202109122218</v>
      </c>
      <c r="E599" s="71" t="str">
        <f t="shared" si="21"/>
        <v>22</v>
      </c>
      <c r="F599" s="71" t="str">
        <f>"18"</f>
        <v>18</v>
      </c>
      <c r="G599" s="71" t="s">
        <v>638</v>
      </c>
    </row>
    <row r="600" spans="1:7" ht="19.5" customHeight="1">
      <c r="A600" s="69">
        <v>599</v>
      </c>
      <c r="B600" s="69" t="s">
        <v>645</v>
      </c>
      <c r="C600" s="69" t="s">
        <v>646</v>
      </c>
      <c r="D600" s="69" t="str">
        <f>"202109122219"</f>
        <v>202109122219</v>
      </c>
      <c r="E600" s="69" t="str">
        <f t="shared" si="21"/>
        <v>22</v>
      </c>
      <c r="F600" s="69" t="str">
        <f>"19"</f>
        <v>19</v>
      </c>
      <c r="G600" s="69" t="s">
        <v>647</v>
      </c>
    </row>
    <row r="601" spans="1:7" ht="19.5" customHeight="1">
      <c r="A601" s="69">
        <v>600</v>
      </c>
      <c r="B601" s="69" t="s">
        <v>645</v>
      </c>
      <c r="C601" s="69" t="s">
        <v>648</v>
      </c>
      <c r="D601" s="69" t="str">
        <f>"202109122220"</f>
        <v>202109122220</v>
      </c>
      <c r="E601" s="69" t="str">
        <f t="shared" si="21"/>
        <v>22</v>
      </c>
      <c r="F601" s="69" t="str">
        <f>"20"</f>
        <v>20</v>
      </c>
      <c r="G601" s="69" t="s">
        <v>647</v>
      </c>
    </row>
    <row r="602" spans="1:7" ht="19.5" customHeight="1">
      <c r="A602" s="69">
        <v>601</v>
      </c>
      <c r="B602" s="69" t="s">
        <v>645</v>
      </c>
      <c r="C602" s="69" t="s">
        <v>649</v>
      </c>
      <c r="D602" s="69" t="str">
        <f>"202109122221"</f>
        <v>202109122221</v>
      </c>
      <c r="E602" s="69" t="str">
        <f t="shared" si="21"/>
        <v>22</v>
      </c>
      <c r="F602" s="69" t="str">
        <f>"21"</f>
        <v>21</v>
      </c>
      <c r="G602" s="69" t="s">
        <v>647</v>
      </c>
    </row>
    <row r="603" spans="1:7" ht="19.5" customHeight="1">
      <c r="A603" s="69">
        <v>602</v>
      </c>
      <c r="B603" s="69" t="s">
        <v>645</v>
      </c>
      <c r="C603" s="69" t="s">
        <v>650</v>
      </c>
      <c r="D603" s="69" t="str">
        <f>"202109122222"</f>
        <v>202109122222</v>
      </c>
      <c r="E603" s="69" t="str">
        <f t="shared" si="21"/>
        <v>22</v>
      </c>
      <c r="F603" s="69" t="str">
        <f>"22"</f>
        <v>22</v>
      </c>
      <c r="G603" s="69" t="s">
        <v>647</v>
      </c>
    </row>
    <row r="604" spans="1:7" ht="19.5" customHeight="1">
      <c r="A604" s="69">
        <v>603</v>
      </c>
      <c r="B604" s="69" t="s">
        <v>645</v>
      </c>
      <c r="C604" s="69" t="s">
        <v>651</v>
      </c>
      <c r="D604" s="69" t="str">
        <f>"202109122223"</f>
        <v>202109122223</v>
      </c>
      <c r="E604" s="69" t="str">
        <f t="shared" si="21"/>
        <v>22</v>
      </c>
      <c r="F604" s="69" t="str">
        <f>"23"</f>
        <v>23</v>
      </c>
      <c r="G604" s="69" t="s">
        <v>647</v>
      </c>
    </row>
    <row r="605" spans="1:7" ht="19.5" customHeight="1">
      <c r="A605" s="69">
        <v>604</v>
      </c>
      <c r="B605" s="69" t="s">
        <v>645</v>
      </c>
      <c r="C605" s="69" t="s">
        <v>652</v>
      </c>
      <c r="D605" s="69" t="str">
        <f>"202109122224"</f>
        <v>202109122224</v>
      </c>
      <c r="E605" s="69" t="str">
        <f t="shared" si="21"/>
        <v>22</v>
      </c>
      <c r="F605" s="69" t="str">
        <f>"24"</f>
        <v>24</v>
      </c>
      <c r="G605" s="69" t="s">
        <v>647</v>
      </c>
    </row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</sheetData>
  <sheetProtection/>
  <printOptions/>
  <pageMargins left="0.5118055555555555" right="0.75" top="0.19652777777777777" bottom="0.19652777777777777" header="0.03888888888888889" footer="0.118055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SheetLayoutView="100" workbookViewId="0" topLeftCell="A1">
      <selection activeCell="A6" sqref="A6:IV6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8" width="8.421875" style="0" customWidth="1"/>
    <col min="9" max="9" width="14.421875" style="0" customWidth="1"/>
  </cols>
  <sheetData>
    <row r="1" spans="1:9" ht="75.75" customHeight="1">
      <c r="A1" s="7" t="s">
        <v>718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45" customHeight="1">
      <c r="A2" s="9">
        <v>1</v>
      </c>
      <c r="B2" s="10" t="s">
        <v>736</v>
      </c>
      <c r="C2" s="10" t="s">
        <v>507</v>
      </c>
      <c r="D2" s="10" t="s">
        <v>737</v>
      </c>
      <c r="E2" s="10" t="s">
        <v>500</v>
      </c>
      <c r="F2" s="11">
        <v>72.2</v>
      </c>
      <c r="G2" s="11">
        <v>74.6666666666667</v>
      </c>
      <c r="H2" s="11">
        <f>F2*50%+G2*50%</f>
        <v>73.43333333333335</v>
      </c>
      <c r="I2" s="9" t="s">
        <v>665</v>
      </c>
    </row>
    <row r="3" spans="1:9" ht="45" customHeight="1">
      <c r="A3" s="9">
        <v>2</v>
      </c>
      <c r="B3" s="10" t="s">
        <v>736</v>
      </c>
      <c r="C3" s="10" t="s">
        <v>501</v>
      </c>
      <c r="D3" s="10" t="s">
        <v>738</v>
      </c>
      <c r="E3" s="10" t="s">
        <v>500</v>
      </c>
      <c r="F3" s="11">
        <v>69.5</v>
      </c>
      <c r="G3" s="11">
        <v>76.1666666666667</v>
      </c>
      <c r="H3" s="11">
        <f>F3*50%+G3*50%</f>
        <v>72.83333333333334</v>
      </c>
      <c r="I3" s="9" t="s">
        <v>665</v>
      </c>
    </row>
    <row r="4" spans="1:9" ht="45" customHeight="1">
      <c r="A4" s="9">
        <v>3</v>
      </c>
      <c r="B4" s="10" t="s">
        <v>736</v>
      </c>
      <c r="C4" s="10" t="s">
        <v>502</v>
      </c>
      <c r="D4" s="10" t="s">
        <v>739</v>
      </c>
      <c r="E4" s="10" t="s">
        <v>500</v>
      </c>
      <c r="F4" s="11">
        <v>61.3</v>
      </c>
      <c r="G4" s="11">
        <v>81</v>
      </c>
      <c r="H4" s="11">
        <f>F4*50%+G4*50%</f>
        <v>71.15</v>
      </c>
      <c r="I4" s="9" t="s">
        <v>667</v>
      </c>
    </row>
    <row r="5" spans="1:9" ht="45" customHeight="1">
      <c r="A5" s="9">
        <v>4</v>
      </c>
      <c r="B5" s="10" t="s">
        <v>736</v>
      </c>
      <c r="C5" s="10" t="s">
        <v>503</v>
      </c>
      <c r="D5" s="10" t="s">
        <v>740</v>
      </c>
      <c r="E5" s="10" t="s">
        <v>500</v>
      </c>
      <c r="F5" s="11">
        <v>60.4</v>
      </c>
      <c r="G5" s="11">
        <v>72.6666666666667</v>
      </c>
      <c r="H5" s="11">
        <f>F5*50%+G5*50%</f>
        <v>66.53333333333335</v>
      </c>
      <c r="I5" s="9" t="s">
        <v>667</v>
      </c>
    </row>
    <row r="6" spans="1:9" s="32" customFormat="1" ht="45" customHeight="1">
      <c r="A6" s="33">
        <v>5</v>
      </c>
      <c r="B6" s="10" t="s">
        <v>736</v>
      </c>
      <c r="C6" s="10" t="s">
        <v>505</v>
      </c>
      <c r="D6" s="10" t="s">
        <v>741</v>
      </c>
      <c r="E6" s="10" t="s">
        <v>500</v>
      </c>
      <c r="F6" s="34">
        <v>63.5</v>
      </c>
      <c r="G6" s="35" t="s">
        <v>683</v>
      </c>
      <c r="H6" s="35" t="s">
        <v>683</v>
      </c>
      <c r="I6" s="10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2" sqref="A2:A6"/>
    </sheetView>
  </sheetViews>
  <sheetFormatPr defaultColWidth="9.00390625" defaultRowHeight="15"/>
  <cols>
    <col min="1" max="1" width="4.8515625" style="0" customWidth="1"/>
    <col min="2" max="2" width="18.421875" style="0" customWidth="1"/>
    <col min="3" max="3" width="6.28125" style="0" customWidth="1"/>
    <col min="4" max="4" width="12.140625" style="0" customWidth="1"/>
    <col min="5" max="5" width="13.140625" style="0" customWidth="1"/>
    <col min="6" max="9" width="8.421875" style="0" customWidth="1"/>
  </cols>
  <sheetData>
    <row r="1" spans="1:9" ht="75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45" customHeight="1">
      <c r="A2" s="12">
        <v>1</v>
      </c>
      <c r="B2" s="5" t="s">
        <v>742</v>
      </c>
      <c r="C2" s="5" t="s">
        <v>318</v>
      </c>
      <c r="D2" s="5" t="s">
        <v>743</v>
      </c>
      <c r="E2" s="5" t="s">
        <v>500</v>
      </c>
      <c r="F2" s="13">
        <v>64.8</v>
      </c>
      <c r="G2" s="13">
        <v>79.3333333333333</v>
      </c>
      <c r="H2" s="13">
        <f>F2*50%+G2*50%</f>
        <v>72.06666666666665</v>
      </c>
      <c r="I2" s="12" t="s">
        <v>665</v>
      </c>
    </row>
    <row r="3" spans="1:9" s="14" customFormat="1" ht="45" customHeight="1">
      <c r="A3" s="12">
        <v>2</v>
      </c>
      <c r="B3" s="5" t="s">
        <v>742</v>
      </c>
      <c r="C3" s="5" t="s">
        <v>522</v>
      </c>
      <c r="D3" s="5" t="s">
        <v>744</v>
      </c>
      <c r="E3" s="5" t="s">
        <v>500</v>
      </c>
      <c r="F3" s="13">
        <v>61.5</v>
      </c>
      <c r="G3" s="13">
        <v>79.5</v>
      </c>
      <c r="H3" s="13">
        <f>F3*50%+G3*50%</f>
        <v>70.5</v>
      </c>
      <c r="I3" s="12" t="s">
        <v>665</v>
      </c>
    </row>
    <row r="4" spans="1:9" s="14" customFormat="1" ht="45" customHeight="1">
      <c r="A4" s="12">
        <v>3</v>
      </c>
      <c r="B4" s="5" t="s">
        <v>742</v>
      </c>
      <c r="C4" s="5" t="s">
        <v>526</v>
      </c>
      <c r="D4" s="5" t="s">
        <v>745</v>
      </c>
      <c r="E4" s="5" t="s">
        <v>500</v>
      </c>
      <c r="F4" s="13">
        <v>61</v>
      </c>
      <c r="G4" s="13">
        <v>79.8333333333333</v>
      </c>
      <c r="H4" s="13">
        <f>F4*50%+G4*50%</f>
        <v>70.41666666666666</v>
      </c>
      <c r="I4" s="12" t="s">
        <v>665</v>
      </c>
    </row>
    <row r="5" spans="1:9" s="14" customFormat="1" ht="45" customHeight="1">
      <c r="A5" s="12">
        <v>4</v>
      </c>
      <c r="B5" s="5" t="s">
        <v>742</v>
      </c>
      <c r="C5" s="5" t="s">
        <v>523</v>
      </c>
      <c r="D5" s="5" t="s">
        <v>746</v>
      </c>
      <c r="E5" s="5" t="s">
        <v>500</v>
      </c>
      <c r="F5" s="13">
        <v>59.9</v>
      </c>
      <c r="G5" s="13">
        <v>72.8333333333333</v>
      </c>
      <c r="H5" s="13">
        <f>F5*50%+G5*50%</f>
        <v>66.36666666666665</v>
      </c>
      <c r="I5" s="12" t="s">
        <v>667</v>
      </c>
    </row>
    <row r="6" spans="1:9" s="14" customFormat="1" ht="45" customHeight="1">
      <c r="A6" s="12">
        <v>5</v>
      </c>
      <c r="B6" s="5" t="s">
        <v>742</v>
      </c>
      <c r="C6" s="5" t="s">
        <v>530</v>
      </c>
      <c r="D6" s="5" t="s">
        <v>747</v>
      </c>
      <c r="E6" s="5" t="s">
        <v>500</v>
      </c>
      <c r="F6" s="13">
        <v>72</v>
      </c>
      <c r="G6" s="13">
        <v>58.5</v>
      </c>
      <c r="H6" s="13">
        <f>F6*50%+G6*50%</f>
        <v>65.25</v>
      </c>
      <c r="I6" s="12" t="s">
        <v>667</v>
      </c>
    </row>
  </sheetData>
  <sheetProtection/>
  <printOptions horizontalCentered="1"/>
  <pageMargins left="0.03888888888888889" right="0.15694444444444444" top="0.4722222222222222" bottom="0.275" header="0.2361111111111111" footer="0.5"/>
  <pageSetup horizontalDpi="600" verticalDpi="600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M12" sqref="M12"/>
    </sheetView>
  </sheetViews>
  <sheetFormatPr defaultColWidth="9.00390625" defaultRowHeight="15"/>
  <cols>
    <col min="1" max="1" width="4.8515625" style="0" customWidth="1"/>
    <col min="2" max="2" width="10.00390625" style="0" customWidth="1"/>
    <col min="3" max="3" width="8.28125" style="0" customWidth="1"/>
    <col min="4" max="4" width="12.140625" style="0" customWidth="1"/>
    <col min="5" max="9" width="8.421875" style="0" customWidth="1"/>
  </cols>
  <sheetData>
    <row r="1" spans="1:9" ht="103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45" customHeight="1">
      <c r="A2" s="12">
        <v>1</v>
      </c>
      <c r="B2" s="5" t="s">
        <v>748</v>
      </c>
      <c r="C2" s="5" t="s">
        <v>385</v>
      </c>
      <c r="D2" s="5" t="s">
        <v>749</v>
      </c>
      <c r="E2" s="5" t="s">
        <v>377</v>
      </c>
      <c r="F2" s="13">
        <v>70.2</v>
      </c>
      <c r="G2" s="13">
        <v>74</v>
      </c>
      <c r="H2" s="13">
        <f aca="true" t="shared" si="0" ref="H2:H10">F2*50%+G2*50%</f>
        <v>72.1</v>
      </c>
      <c r="I2" s="12" t="s">
        <v>665</v>
      </c>
    </row>
    <row r="3" spans="1:9" s="14" customFormat="1" ht="45" customHeight="1">
      <c r="A3" s="12">
        <v>2</v>
      </c>
      <c r="B3" s="5" t="s">
        <v>748</v>
      </c>
      <c r="C3" s="5" t="s">
        <v>383</v>
      </c>
      <c r="D3" s="5" t="s">
        <v>750</v>
      </c>
      <c r="E3" s="5" t="s">
        <v>377</v>
      </c>
      <c r="F3" s="13">
        <v>67.8</v>
      </c>
      <c r="G3" s="13">
        <v>75</v>
      </c>
      <c r="H3" s="13">
        <f t="shared" si="0"/>
        <v>71.4</v>
      </c>
      <c r="I3" s="12" t="s">
        <v>665</v>
      </c>
    </row>
    <row r="4" spans="1:9" s="14" customFormat="1" ht="45" customHeight="1">
      <c r="A4" s="12">
        <v>3</v>
      </c>
      <c r="B4" s="5" t="s">
        <v>748</v>
      </c>
      <c r="C4" s="5" t="s">
        <v>395</v>
      </c>
      <c r="D4" s="5" t="s">
        <v>751</v>
      </c>
      <c r="E4" s="5" t="s">
        <v>377</v>
      </c>
      <c r="F4" s="13">
        <v>74.7</v>
      </c>
      <c r="G4" s="13">
        <v>66.3333333333333</v>
      </c>
      <c r="H4" s="13">
        <f t="shared" si="0"/>
        <v>70.51666666666665</v>
      </c>
      <c r="I4" s="12" t="s">
        <v>665</v>
      </c>
    </row>
    <row r="5" spans="1:9" s="14" customFormat="1" ht="45" customHeight="1">
      <c r="A5" s="12">
        <v>4</v>
      </c>
      <c r="B5" s="5" t="s">
        <v>748</v>
      </c>
      <c r="C5" s="5" t="s">
        <v>416</v>
      </c>
      <c r="D5" s="5" t="s">
        <v>752</v>
      </c>
      <c r="E5" s="5" t="s">
        <v>377</v>
      </c>
      <c r="F5" s="13">
        <v>70.2</v>
      </c>
      <c r="G5" s="13">
        <v>70.6666666666667</v>
      </c>
      <c r="H5" s="13">
        <f t="shared" si="0"/>
        <v>70.43333333333335</v>
      </c>
      <c r="I5" s="12" t="s">
        <v>667</v>
      </c>
    </row>
    <row r="6" spans="1:9" s="14" customFormat="1" ht="45" customHeight="1">
      <c r="A6" s="12">
        <v>5</v>
      </c>
      <c r="B6" s="5" t="s">
        <v>748</v>
      </c>
      <c r="C6" s="5" t="s">
        <v>394</v>
      </c>
      <c r="D6" s="5" t="s">
        <v>753</v>
      </c>
      <c r="E6" s="5" t="s">
        <v>377</v>
      </c>
      <c r="F6" s="13">
        <v>70.3</v>
      </c>
      <c r="G6" s="13">
        <v>69</v>
      </c>
      <c r="H6" s="13">
        <f t="shared" si="0"/>
        <v>69.65</v>
      </c>
      <c r="I6" s="12" t="s">
        <v>667</v>
      </c>
    </row>
    <row r="7" spans="1:9" s="14" customFormat="1" ht="45" customHeight="1">
      <c r="A7" s="12">
        <v>6</v>
      </c>
      <c r="B7" s="5" t="s">
        <v>748</v>
      </c>
      <c r="C7" s="5" t="s">
        <v>387</v>
      </c>
      <c r="D7" s="5" t="s">
        <v>754</v>
      </c>
      <c r="E7" s="5" t="s">
        <v>377</v>
      </c>
      <c r="F7" s="13">
        <v>68</v>
      </c>
      <c r="G7" s="13">
        <v>70.3333333333333</v>
      </c>
      <c r="H7" s="13">
        <f t="shared" si="0"/>
        <v>69.16666666666666</v>
      </c>
      <c r="I7" s="12" t="s">
        <v>667</v>
      </c>
    </row>
    <row r="8" spans="1:9" s="14" customFormat="1" ht="45" customHeight="1">
      <c r="A8" s="12">
        <v>7</v>
      </c>
      <c r="B8" s="5" t="s">
        <v>748</v>
      </c>
      <c r="C8" s="5" t="s">
        <v>417</v>
      </c>
      <c r="D8" s="5" t="s">
        <v>755</v>
      </c>
      <c r="E8" s="5" t="s">
        <v>377</v>
      </c>
      <c r="F8" s="13">
        <v>68.9</v>
      </c>
      <c r="G8" s="13">
        <v>67</v>
      </c>
      <c r="H8" s="13">
        <f t="shared" si="0"/>
        <v>67.95</v>
      </c>
      <c r="I8" s="12" t="s">
        <v>667</v>
      </c>
    </row>
    <row r="9" spans="1:9" s="14" customFormat="1" ht="45" customHeight="1">
      <c r="A9" s="12">
        <v>8</v>
      </c>
      <c r="B9" s="5" t="s">
        <v>748</v>
      </c>
      <c r="C9" s="5" t="s">
        <v>397</v>
      </c>
      <c r="D9" s="5" t="s">
        <v>756</v>
      </c>
      <c r="E9" s="5" t="s">
        <v>377</v>
      </c>
      <c r="F9" s="13">
        <v>67</v>
      </c>
      <c r="G9" s="13">
        <v>68.6666666666667</v>
      </c>
      <c r="H9" s="13">
        <f t="shared" si="0"/>
        <v>67.83333333333334</v>
      </c>
      <c r="I9" s="12" t="s">
        <v>667</v>
      </c>
    </row>
    <row r="10" spans="1:9" s="14" customFormat="1" ht="45" customHeight="1">
      <c r="A10" s="12">
        <v>9</v>
      </c>
      <c r="B10" s="5" t="s">
        <v>748</v>
      </c>
      <c r="C10" s="5" t="s">
        <v>411</v>
      </c>
      <c r="D10" s="5" t="s">
        <v>757</v>
      </c>
      <c r="E10" s="5" t="s">
        <v>377</v>
      </c>
      <c r="F10" s="13">
        <v>72.4</v>
      </c>
      <c r="G10" s="13">
        <v>56</v>
      </c>
      <c r="H10" s="13">
        <f t="shared" si="0"/>
        <v>64.2</v>
      </c>
      <c r="I10" s="12" t="s">
        <v>667</v>
      </c>
    </row>
    <row r="11" s="14" customFormat="1" ht="45" customHeight="1"/>
  </sheetData>
  <sheetProtection/>
  <printOptions horizontalCentered="1"/>
  <pageMargins left="0.03888888888888889" right="0.3145833333333333" top="1" bottom="1" header="0.5" footer="0.5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D12" sqref="D12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7.8515625" style="0" customWidth="1"/>
    <col min="4" max="4" width="12.140625" style="0" customWidth="1"/>
    <col min="5" max="5" width="9.421875" style="0" customWidth="1"/>
    <col min="6" max="9" width="8.421875" style="0" customWidth="1"/>
  </cols>
  <sheetData>
    <row r="1" spans="1:9" ht="36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ht="45" customHeight="1">
      <c r="A2" s="12">
        <v>1</v>
      </c>
      <c r="B2" s="5" t="s">
        <v>758</v>
      </c>
      <c r="C2" s="5" t="s">
        <v>431</v>
      </c>
      <c r="D2" s="5" t="s">
        <v>759</v>
      </c>
      <c r="E2" s="5" t="s">
        <v>424</v>
      </c>
      <c r="F2" s="12">
        <v>70.3</v>
      </c>
      <c r="G2" s="13">
        <v>73.3333333333333</v>
      </c>
      <c r="H2" s="13">
        <f>F2*50%+G2*50%</f>
        <v>71.81666666666665</v>
      </c>
      <c r="I2" s="13" t="s">
        <v>665</v>
      </c>
    </row>
    <row r="3" spans="1:9" ht="45" customHeight="1">
      <c r="A3" s="12">
        <v>2</v>
      </c>
      <c r="B3" s="5" t="s">
        <v>758</v>
      </c>
      <c r="C3" s="5" t="s">
        <v>423</v>
      </c>
      <c r="D3" s="5" t="s">
        <v>760</v>
      </c>
      <c r="E3" s="5" t="s">
        <v>424</v>
      </c>
      <c r="F3" s="12">
        <v>72.4</v>
      </c>
      <c r="G3" s="13">
        <v>67.6666666666667</v>
      </c>
      <c r="H3" s="13">
        <f>F3*50%+G3*50%</f>
        <v>70.03333333333336</v>
      </c>
      <c r="I3" s="13" t="s">
        <v>667</v>
      </c>
    </row>
    <row r="4" spans="1:9" ht="45" customHeight="1">
      <c r="A4" s="12">
        <v>3</v>
      </c>
      <c r="B4" s="5" t="s">
        <v>758</v>
      </c>
      <c r="C4" s="5" t="s">
        <v>430</v>
      </c>
      <c r="D4" s="5" t="s">
        <v>761</v>
      </c>
      <c r="E4" s="5" t="s">
        <v>424</v>
      </c>
      <c r="F4" s="12">
        <v>72.9</v>
      </c>
      <c r="G4" s="13">
        <v>60</v>
      </c>
      <c r="H4" s="13">
        <f>F4*50%+G4*50%</f>
        <v>66.45</v>
      </c>
      <c r="I4" s="13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A2" sqref="A2:A4"/>
    </sheetView>
  </sheetViews>
  <sheetFormatPr defaultColWidth="9.00390625" defaultRowHeight="15"/>
  <cols>
    <col min="1" max="1" width="4.8515625" style="0" customWidth="1"/>
    <col min="2" max="2" width="10.57421875" style="0" customWidth="1"/>
    <col min="3" max="3" width="6.28125" style="0" customWidth="1"/>
    <col min="4" max="4" width="12.140625" style="0" customWidth="1"/>
    <col min="5" max="5" width="9.421875" style="0" customWidth="1"/>
    <col min="6" max="6" width="8.421875" style="0" customWidth="1"/>
    <col min="8" max="8" width="12.57421875" style="0" bestFit="1" customWidth="1"/>
  </cols>
  <sheetData>
    <row r="1" spans="1:9" ht="54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45" customHeight="1">
      <c r="A2" s="12">
        <v>1</v>
      </c>
      <c r="B2" s="5" t="s">
        <v>762</v>
      </c>
      <c r="C2" s="5" t="s">
        <v>371</v>
      </c>
      <c r="D2" s="5" t="s">
        <v>763</v>
      </c>
      <c r="E2" s="5" t="s">
        <v>346</v>
      </c>
      <c r="F2" s="13">
        <v>79.1</v>
      </c>
      <c r="G2" s="31">
        <v>74.3333333333333</v>
      </c>
      <c r="H2" s="31">
        <f>F2*50%+G2*50%</f>
        <v>76.71666666666664</v>
      </c>
      <c r="I2" s="31" t="s">
        <v>665</v>
      </c>
    </row>
    <row r="3" spans="1:9" s="14" customFormat="1" ht="45" customHeight="1">
      <c r="A3" s="12">
        <v>2</v>
      </c>
      <c r="B3" s="5" t="s">
        <v>762</v>
      </c>
      <c r="C3" s="5" t="s">
        <v>353</v>
      </c>
      <c r="D3" s="5" t="s">
        <v>764</v>
      </c>
      <c r="E3" s="5" t="s">
        <v>346</v>
      </c>
      <c r="F3" s="13">
        <v>73.5</v>
      </c>
      <c r="G3" s="31">
        <v>69.3333333333333</v>
      </c>
      <c r="H3" s="31">
        <f>F3*50%+G3*50%</f>
        <v>71.41666666666666</v>
      </c>
      <c r="I3" s="31" t="s">
        <v>667</v>
      </c>
    </row>
    <row r="4" spans="1:9" s="14" customFormat="1" ht="45" customHeight="1">
      <c r="A4" s="12">
        <v>3</v>
      </c>
      <c r="B4" s="5" t="s">
        <v>762</v>
      </c>
      <c r="C4" s="5" t="s">
        <v>366</v>
      </c>
      <c r="D4" s="5" t="s">
        <v>765</v>
      </c>
      <c r="E4" s="5" t="s">
        <v>346</v>
      </c>
      <c r="F4" s="13">
        <v>75</v>
      </c>
      <c r="G4" s="31">
        <v>67</v>
      </c>
      <c r="H4" s="31">
        <f>F4*50%+G4*50%</f>
        <v>71</v>
      </c>
      <c r="I4" s="31" t="s">
        <v>667</v>
      </c>
    </row>
  </sheetData>
  <sheetProtection/>
  <printOptions horizontalCentered="1"/>
  <pageMargins left="0.7513888888888889" right="0.7513888888888889" top="0.5902777777777778" bottom="0.5118055555555555" header="0.275" footer="0.5"/>
  <pageSetup horizontalDpi="600" verticalDpi="600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15.00390625" style="0" customWidth="1"/>
    <col min="3" max="3" width="7.8515625" style="0" customWidth="1"/>
    <col min="4" max="4" width="12.140625" style="0" customWidth="1"/>
    <col min="5" max="5" width="9.421875" style="0" customWidth="1"/>
    <col min="6" max="6" width="8.421875" style="0" customWidth="1"/>
    <col min="7" max="7" width="12.00390625" style="0" customWidth="1"/>
    <col min="8" max="8" width="11.57421875" style="0" customWidth="1"/>
    <col min="9" max="9" width="18.8515625" style="0" customWidth="1"/>
  </cols>
  <sheetData>
    <row r="1" spans="1:9" ht="45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54.75" customHeight="1">
      <c r="A2" s="12">
        <v>1</v>
      </c>
      <c r="B2" s="5" t="s">
        <v>766</v>
      </c>
      <c r="C2" s="5" t="s">
        <v>574</v>
      </c>
      <c r="D2" s="5" t="s">
        <v>767</v>
      </c>
      <c r="E2" s="5" t="s">
        <v>561</v>
      </c>
      <c r="F2" s="13">
        <v>66.2</v>
      </c>
      <c r="G2" s="13">
        <v>73.3333333333333</v>
      </c>
      <c r="H2" s="13">
        <f>F2*50%+G2*50%</f>
        <v>69.76666666666665</v>
      </c>
      <c r="I2" s="12" t="s">
        <v>665</v>
      </c>
    </row>
    <row r="3" spans="1:9" s="14" customFormat="1" ht="54.75" customHeight="1">
      <c r="A3" s="12">
        <v>2</v>
      </c>
      <c r="B3" s="5" t="s">
        <v>766</v>
      </c>
      <c r="C3" s="5" t="s">
        <v>566</v>
      </c>
      <c r="D3" s="5" t="s">
        <v>768</v>
      </c>
      <c r="E3" s="5" t="s">
        <v>561</v>
      </c>
      <c r="F3" s="13">
        <v>59.6</v>
      </c>
      <c r="G3" s="13">
        <v>73.3333333333333</v>
      </c>
      <c r="H3" s="13">
        <f>F3*50%+G3*50%</f>
        <v>66.46666666666665</v>
      </c>
      <c r="I3" s="12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5.00390625" style="0" customWidth="1"/>
    <col min="2" max="2" width="14.421875" style="0" customWidth="1"/>
    <col min="7" max="8" width="13.140625" style="0" customWidth="1"/>
    <col min="9" max="9" width="18.140625" style="0" customWidth="1"/>
  </cols>
  <sheetData>
    <row r="1" spans="1:9" ht="58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54.75" customHeight="1">
      <c r="A2" s="12">
        <v>1</v>
      </c>
      <c r="B2" s="5" t="s">
        <v>769</v>
      </c>
      <c r="C2" s="5" t="s">
        <v>581</v>
      </c>
      <c r="D2" s="5" t="s">
        <v>770</v>
      </c>
      <c r="E2" s="5" t="s">
        <v>561</v>
      </c>
      <c r="F2" s="13">
        <v>71.1</v>
      </c>
      <c r="G2" s="13">
        <v>82.8333333333333</v>
      </c>
      <c r="H2" s="13">
        <f>F2*50%+G2*50%</f>
        <v>76.96666666666664</v>
      </c>
      <c r="I2" s="12" t="s">
        <v>665</v>
      </c>
    </row>
    <row r="3" spans="1:9" s="14" customFormat="1" ht="54.75" customHeight="1">
      <c r="A3" s="12">
        <v>2</v>
      </c>
      <c r="B3" s="5" t="s">
        <v>769</v>
      </c>
      <c r="C3" s="5" t="s">
        <v>579</v>
      </c>
      <c r="D3" s="5" t="s">
        <v>771</v>
      </c>
      <c r="E3" s="5" t="s">
        <v>561</v>
      </c>
      <c r="F3" s="13">
        <v>65.2</v>
      </c>
      <c r="G3" s="13">
        <v>75.6666666666667</v>
      </c>
      <c r="H3" s="13">
        <f>F3*50%+G3*50%</f>
        <v>70.43333333333335</v>
      </c>
      <c r="I3" s="12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SheetLayoutView="100" workbookViewId="0" topLeftCell="A1">
      <selection activeCell="I30" sqref="I30"/>
    </sheetView>
  </sheetViews>
  <sheetFormatPr defaultColWidth="9.00390625" defaultRowHeight="15"/>
  <cols>
    <col min="1" max="1" width="4.8515625" style="0" customWidth="1"/>
    <col min="2" max="2" width="14.421875" style="0" customWidth="1"/>
    <col min="3" max="3" width="6.28125" style="0" customWidth="1"/>
    <col min="4" max="4" width="12.140625" style="0" customWidth="1"/>
    <col min="5" max="5" width="9.421875" style="0" customWidth="1"/>
    <col min="6" max="6" width="8.421875" style="0" customWidth="1"/>
    <col min="7" max="7" width="15.28125" style="0" customWidth="1"/>
    <col min="8" max="8" width="16.421875" style="0" customWidth="1"/>
    <col min="9" max="9" width="21.140625" style="0" customWidth="1"/>
  </cols>
  <sheetData>
    <row r="1" spans="1:9" ht="8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s="30" customFormat="1" ht="49.5" customHeight="1">
      <c r="A2" s="12">
        <v>1</v>
      </c>
      <c r="B2" s="5" t="s">
        <v>772</v>
      </c>
      <c r="C2" s="5" t="s">
        <v>584</v>
      </c>
      <c r="D2" s="5" t="s">
        <v>773</v>
      </c>
      <c r="E2" s="5" t="s">
        <v>561</v>
      </c>
      <c r="F2" s="13">
        <v>64.7</v>
      </c>
      <c r="G2" s="13">
        <v>76</v>
      </c>
      <c r="H2" s="13">
        <f>F2*50%+G2*50%</f>
        <v>70.35</v>
      </c>
      <c r="I2" s="12" t="s">
        <v>665</v>
      </c>
    </row>
    <row r="3" spans="1:9" ht="49.5" customHeight="1">
      <c r="A3" s="12">
        <v>2</v>
      </c>
      <c r="B3" s="5" t="s">
        <v>772</v>
      </c>
      <c r="C3" s="5" t="s">
        <v>594</v>
      </c>
      <c r="D3" s="5" t="s">
        <v>774</v>
      </c>
      <c r="E3" s="5" t="s">
        <v>561</v>
      </c>
      <c r="F3" s="13">
        <v>61.7</v>
      </c>
      <c r="G3" s="13">
        <v>77.1666666666667</v>
      </c>
      <c r="H3" s="13">
        <f>F3*50%+G3*50%</f>
        <v>69.43333333333335</v>
      </c>
      <c r="I3" s="12" t="s">
        <v>665</v>
      </c>
    </row>
    <row r="4" spans="1:9" ht="49.5" customHeight="1">
      <c r="A4" s="12">
        <v>3</v>
      </c>
      <c r="B4" s="5" t="s">
        <v>772</v>
      </c>
      <c r="C4" s="5" t="s">
        <v>585</v>
      </c>
      <c r="D4" s="5" t="s">
        <v>775</v>
      </c>
      <c r="E4" s="5" t="s">
        <v>561</v>
      </c>
      <c r="F4" s="13">
        <v>56.8</v>
      </c>
      <c r="G4" s="13">
        <v>73</v>
      </c>
      <c r="H4" s="13">
        <f>F4*50%+G4*50%</f>
        <v>64.9</v>
      </c>
      <c r="I4" s="12" t="s">
        <v>667</v>
      </c>
    </row>
    <row r="5" spans="1:9" ht="49.5" customHeight="1">
      <c r="A5" s="12">
        <v>4</v>
      </c>
      <c r="B5" s="5" t="s">
        <v>772</v>
      </c>
      <c r="C5" s="5" t="s">
        <v>589</v>
      </c>
      <c r="D5" s="5" t="s">
        <v>776</v>
      </c>
      <c r="E5" s="5" t="s">
        <v>561</v>
      </c>
      <c r="F5" s="13">
        <v>56.7</v>
      </c>
      <c r="G5" s="13">
        <v>72</v>
      </c>
      <c r="H5" s="13">
        <f>F5*50%+G5*50%</f>
        <v>64.35</v>
      </c>
      <c r="I5" s="12" t="s">
        <v>667</v>
      </c>
    </row>
    <row r="6" spans="1:9" ht="49.5" customHeight="1">
      <c r="A6" s="12">
        <v>5</v>
      </c>
      <c r="B6" s="5" t="s">
        <v>772</v>
      </c>
      <c r="C6" s="5" t="s">
        <v>590</v>
      </c>
      <c r="D6" s="5" t="s">
        <v>777</v>
      </c>
      <c r="E6" s="5" t="s">
        <v>561</v>
      </c>
      <c r="F6" s="13">
        <v>55.2</v>
      </c>
      <c r="G6" s="13" t="s">
        <v>778</v>
      </c>
      <c r="H6" s="13" t="s">
        <v>683</v>
      </c>
      <c r="I6" s="12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D12" sqref="D12"/>
    </sheetView>
  </sheetViews>
  <sheetFormatPr defaultColWidth="9.00390625" defaultRowHeight="15"/>
  <cols>
    <col min="1" max="1" width="4.8515625" style="0" customWidth="1"/>
    <col min="2" max="2" width="15.28125" style="0" customWidth="1"/>
    <col min="3" max="3" width="6.28125" style="0" customWidth="1"/>
    <col min="4" max="4" width="12.140625" style="0" customWidth="1"/>
    <col min="5" max="5" width="11.28125" style="0" customWidth="1"/>
    <col min="6" max="6" width="8.421875" style="0" customWidth="1"/>
    <col min="7" max="7" width="14.57421875" style="0" customWidth="1"/>
    <col min="8" max="8" width="14.00390625" style="0" customWidth="1"/>
    <col min="9" max="9" width="17.140625" style="0" customWidth="1"/>
  </cols>
  <sheetData>
    <row r="1" spans="1:9" ht="33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ht="123" customHeight="1">
      <c r="A2" s="12">
        <v>1</v>
      </c>
      <c r="B2" s="5" t="s">
        <v>779</v>
      </c>
      <c r="C2" s="5" t="s">
        <v>626</v>
      </c>
      <c r="D2" s="5" t="s">
        <v>780</v>
      </c>
      <c r="E2" s="5" t="s">
        <v>625</v>
      </c>
      <c r="F2" s="13">
        <v>83.9</v>
      </c>
      <c r="G2" s="13">
        <v>74.3333333333333</v>
      </c>
      <c r="H2" s="13">
        <f>F2*50%+G2*50%</f>
        <v>79.11666666666665</v>
      </c>
      <c r="I2" s="12" t="s">
        <v>665</v>
      </c>
    </row>
  </sheetData>
  <sheetProtection/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B18" sqref="B17:B18"/>
    </sheetView>
  </sheetViews>
  <sheetFormatPr defaultColWidth="9.00390625" defaultRowHeight="15" customHeight="1"/>
  <cols>
    <col min="1" max="1" width="4.8515625" style="0" customWidth="1"/>
    <col min="2" max="2" width="15.28125" style="0" customWidth="1"/>
    <col min="3" max="3" width="6.28125" style="0" customWidth="1"/>
    <col min="4" max="4" width="12.140625" style="0" customWidth="1"/>
    <col min="5" max="5" width="11.28125" style="0" customWidth="1"/>
    <col min="6" max="9" width="8.421875" style="0" customWidth="1"/>
  </cols>
  <sheetData>
    <row r="1" spans="1:9" ht="99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ht="54.75" customHeight="1">
      <c r="A2" s="12">
        <v>1</v>
      </c>
      <c r="B2" s="5" t="s">
        <v>781</v>
      </c>
      <c r="C2" s="5" t="s">
        <v>633</v>
      </c>
      <c r="D2" s="5" t="s">
        <v>782</v>
      </c>
      <c r="E2" s="5" t="s">
        <v>625</v>
      </c>
      <c r="F2" s="12">
        <v>52.2</v>
      </c>
      <c r="G2" s="13">
        <v>80.3333333333333</v>
      </c>
      <c r="H2" s="13">
        <f>F2*50%+G2*50%</f>
        <v>66.26666666666665</v>
      </c>
      <c r="I2" s="13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4">
      <selection activeCell="B15" sqref="B15"/>
    </sheetView>
  </sheetViews>
  <sheetFormatPr defaultColWidth="9.00390625" defaultRowHeight="15"/>
  <cols>
    <col min="1" max="1" width="5.57421875" style="0" customWidth="1"/>
    <col min="2" max="2" width="29.421875" style="0" customWidth="1"/>
    <col min="3" max="3" width="4.7109375" style="0" customWidth="1"/>
    <col min="4" max="4" width="10.8515625" style="0" customWidth="1"/>
    <col min="5" max="5" width="9.57421875" style="0" customWidth="1"/>
    <col min="6" max="6" width="18.57421875" style="44" customWidth="1"/>
    <col min="7" max="7" width="21.57421875" style="45" customWidth="1"/>
    <col min="8" max="8" width="12.421875" style="1" customWidth="1"/>
    <col min="9" max="9" width="6.421875" style="0" customWidth="1"/>
  </cols>
  <sheetData>
    <row r="1" spans="1:9" ht="36" customHeight="1">
      <c r="A1" s="46" t="s">
        <v>653</v>
      </c>
      <c r="B1" s="47"/>
      <c r="C1" s="47"/>
      <c r="D1" s="47"/>
      <c r="E1" s="47"/>
      <c r="F1" s="47"/>
      <c r="G1" s="47"/>
      <c r="H1" s="47"/>
      <c r="I1" s="47"/>
    </row>
    <row r="2" spans="1:9" s="14" customFormat="1" ht="70.5" customHeight="1">
      <c r="A2" s="48" t="s">
        <v>0</v>
      </c>
      <c r="B2" s="49" t="s">
        <v>654</v>
      </c>
      <c r="C2" s="49" t="s">
        <v>655</v>
      </c>
      <c r="D2" s="49" t="s">
        <v>2</v>
      </c>
      <c r="E2" s="49" t="s">
        <v>656</v>
      </c>
      <c r="F2" s="50" t="s">
        <v>657</v>
      </c>
      <c r="G2" s="51" t="s">
        <v>658</v>
      </c>
      <c r="H2" s="52" t="s">
        <v>659</v>
      </c>
      <c r="I2" s="50" t="s">
        <v>660</v>
      </c>
    </row>
    <row r="3" spans="1:9" ht="48" customHeight="1">
      <c r="A3" s="53">
        <v>1</v>
      </c>
      <c r="B3" s="54" t="s">
        <v>661</v>
      </c>
      <c r="C3" s="54" t="s">
        <v>662</v>
      </c>
      <c r="D3" s="54" t="s">
        <v>663</v>
      </c>
      <c r="E3" s="55" t="s">
        <v>664</v>
      </c>
      <c r="F3" s="56">
        <v>77.17</v>
      </c>
      <c r="G3" s="57"/>
      <c r="H3" s="58" t="s">
        <v>665</v>
      </c>
      <c r="I3" s="58"/>
    </row>
    <row r="4" spans="1:9" ht="48" customHeight="1">
      <c r="A4" s="53">
        <v>2</v>
      </c>
      <c r="B4" s="54" t="s">
        <v>661</v>
      </c>
      <c r="C4" s="54" t="s">
        <v>662</v>
      </c>
      <c r="D4" s="54" t="s">
        <v>666</v>
      </c>
      <c r="E4" s="55" t="s">
        <v>664</v>
      </c>
      <c r="F4" s="59">
        <v>72.67</v>
      </c>
      <c r="G4" s="57"/>
      <c r="H4" s="58" t="s">
        <v>667</v>
      </c>
      <c r="I4" s="58"/>
    </row>
    <row r="5" spans="1:9" ht="48" customHeight="1">
      <c r="A5" s="53">
        <v>3</v>
      </c>
      <c r="B5" s="54" t="s">
        <v>668</v>
      </c>
      <c r="C5" s="54" t="s">
        <v>669</v>
      </c>
      <c r="D5" s="54" t="s">
        <v>670</v>
      </c>
      <c r="E5" s="55" t="s">
        <v>664</v>
      </c>
      <c r="F5" s="56">
        <v>72.83</v>
      </c>
      <c r="G5" s="60" t="s">
        <v>671</v>
      </c>
      <c r="H5" s="58" t="s">
        <v>665</v>
      </c>
      <c r="I5" s="58"/>
    </row>
    <row r="6" spans="1:9" ht="48" customHeight="1">
      <c r="A6" s="53">
        <v>4</v>
      </c>
      <c r="B6" s="54" t="s">
        <v>672</v>
      </c>
      <c r="C6" s="54" t="s">
        <v>669</v>
      </c>
      <c r="D6" s="54" t="s">
        <v>673</v>
      </c>
      <c r="E6" s="55" t="s">
        <v>664</v>
      </c>
      <c r="F6" s="56">
        <v>63.33</v>
      </c>
      <c r="G6" s="60" t="s">
        <v>674</v>
      </c>
      <c r="H6" s="58" t="s">
        <v>665</v>
      </c>
      <c r="I6" s="58"/>
    </row>
    <row r="7" spans="1:9" ht="48" customHeight="1">
      <c r="A7" s="53">
        <v>5</v>
      </c>
      <c r="B7" s="54" t="s">
        <v>675</v>
      </c>
      <c r="C7" s="54" t="s">
        <v>669</v>
      </c>
      <c r="D7" s="54" t="s">
        <v>676</v>
      </c>
      <c r="E7" s="55" t="s">
        <v>664</v>
      </c>
      <c r="F7" s="56">
        <v>71.83333333333333</v>
      </c>
      <c r="G7" s="57"/>
      <c r="H7" s="58" t="s">
        <v>665</v>
      </c>
      <c r="I7" s="58"/>
    </row>
    <row r="8" spans="1:9" ht="48" customHeight="1">
      <c r="A8" s="53">
        <v>6</v>
      </c>
      <c r="B8" s="54" t="s">
        <v>675</v>
      </c>
      <c r="C8" s="54" t="s">
        <v>669</v>
      </c>
      <c r="D8" s="54" t="s">
        <v>677</v>
      </c>
      <c r="E8" s="55" t="s">
        <v>664</v>
      </c>
      <c r="F8" s="56">
        <v>71.66666666666667</v>
      </c>
      <c r="G8" s="57"/>
      <c r="H8" s="58" t="s">
        <v>667</v>
      </c>
      <c r="I8" s="58"/>
    </row>
    <row r="9" spans="1:9" ht="48" customHeight="1">
      <c r="A9" s="53">
        <v>7</v>
      </c>
      <c r="B9" s="54" t="s">
        <v>675</v>
      </c>
      <c r="C9" s="54" t="s">
        <v>669</v>
      </c>
      <c r="D9" s="54" t="s">
        <v>678</v>
      </c>
      <c r="E9" s="55" t="s">
        <v>664</v>
      </c>
      <c r="F9" s="56">
        <v>61</v>
      </c>
      <c r="G9" s="57"/>
      <c r="H9" s="58" t="s">
        <v>667</v>
      </c>
      <c r="I9" s="58"/>
    </row>
    <row r="10" spans="1:9" ht="48" customHeight="1">
      <c r="A10" s="53">
        <v>8</v>
      </c>
      <c r="B10" s="54" t="s">
        <v>679</v>
      </c>
      <c r="C10" s="54" t="s">
        <v>662</v>
      </c>
      <c r="D10" s="54" t="s">
        <v>680</v>
      </c>
      <c r="E10" s="55" t="s">
        <v>664</v>
      </c>
      <c r="F10" s="61">
        <v>81.33</v>
      </c>
      <c r="G10" s="60" t="s">
        <v>671</v>
      </c>
      <c r="H10" s="58" t="s">
        <v>665</v>
      </c>
      <c r="I10" s="58"/>
    </row>
    <row r="11" spans="1:9" ht="48" customHeight="1">
      <c r="A11" s="53">
        <v>9</v>
      </c>
      <c r="B11" s="54" t="s">
        <v>681</v>
      </c>
      <c r="C11" s="54" t="s">
        <v>662</v>
      </c>
      <c r="D11" s="54" t="s">
        <v>682</v>
      </c>
      <c r="E11" s="55" t="s">
        <v>664</v>
      </c>
      <c r="F11" s="62" t="s">
        <v>683</v>
      </c>
      <c r="G11" s="57" t="s">
        <v>683</v>
      </c>
      <c r="H11" s="58" t="s">
        <v>667</v>
      </c>
      <c r="I11" s="58"/>
    </row>
    <row r="12" spans="1:9" ht="48" customHeight="1">
      <c r="A12" s="53">
        <v>10</v>
      </c>
      <c r="B12" s="54" t="s">
        <v>684</v>
      </c>
      <c r="C12" s="54" t="s">
        <v>662</v>
      </c>
      <c r="D12" s="54" t="s">
        <v>685</v>
      </c>
      <c r="E12" s="55" t="s">
        <v>664</v>
      </c>
      <c r="F12" s="62" t="s">
        <v>683</v>
      </c>
      <c r="G12" s="57" t="s">
        <v>683</v>
      </c>
      <c r="H12" s="58" t="s">
        <v>667</v>
      </c>
      <c r="I12" s="58"/>
    </row>
    <row r="13" spans="1:9" s="39" customFormat="1" ht="48" customHeight="1">
      <c r="A13" s="53">
        <v>11</v>
      </c>
      <c r="B13" s="54" t="s">
        <v>684</v>
      </c>
      <c r="C13" s="54" t="s">
        <v>662</v>
      </c>
      <c r="D13" s="54" t="s">
        <v>686</v>
      </c>
      <c r="E13" s="55" t="s">
        <v>664</v>
      </c>
      <c r="F13" s="62" t="s">
        <v>683</v>
      </c>
      <c r="G13" s="60" t="s">
        <v>683</v>
      </c>
      <c r="H13" s="63" t="s">
        <v>667</v>
      </c>
      <c r="I13" s="66"/>
    </row>
    <row r="14" spans="1:9" ht="48" customHeight="1">
      <c r="A14" s="53">
        <v>12</v>
      </c>
      <c r="B14" s="54" t="s">
        <v>684</v>
      </c>
      <c r="C14" s="54" t="s">
        <v>662</v>
      </c>
      <c r="D14" s="54" t="s">
        <v>687</v>
      </c>
      <c r="E14" s="55" t="s">
        <v>664</v>
      </c>
      <c r="F14" s="61">
        <v>59.67</v>
      </c>
      <c r="G14" s="60" t="s">
        <v>688</v>
      </c>
      <c r="H14" s="58" t="s">
        <v>667</v>
      </c>
      <c r="I14" s="58"/>
    </row>
    <row r="15" spans="1:9" s="30" customFormat="1" ht="48" customHeight="1">
      <c r="A15" s="53">
        <v>13</v>
      </c>
      <c r="B15" s="54" t="s">
        <v>689</v>
      </c>
      <c r="C15" s="54" t="s">
        <v>662</v>
      </c>
      <c r="D15" s="54" t="s">
        <v>690</v>
      </c>
      <c r="E15" s="55" t="s">
        <v>664</v>
      </c>
      <c r="F15" s="56">
        <v>79.6666666666667</v>
      </c>
      <c r="G15" s="60" t="s">
        <v>671</v>
      </c>
      <c r="H15" s="63" t="s">
        <v>665</v>
      </c>
      <c r="I15" s="58"/>
    </row>
    <row r="16" spans="1:9" s="30" customFormat="1" ht="48" customHeight="1">
      <c r="A16" s="53">
        <v>14</v>
      </c>
      <c r="B16" s="54" t="s">
        <v>689</v>
      </c>
      <c r="C16" s="54" t="s">
        <v>669</v>
      </c>
      <c r="D16" s="54" t="s">
        <v>691</v>
      </c>
      <c r="E16" s="55" t="s">
        <v>664</v>
      </c>
      <c r="F16" s="64">
        <v>78</v>
      </c>
      <c r="G16" s="60" t="s">
        <v>671</v>
      </c>
      <c r="H16" s="63" t="s">
        <v>665</v>
      </c>
      <c r="I16" s="58"/>
    </row>
    <row r="17" spans="1:9" ht="48" customHeight="1">
      <c r="A17" s="53">
        <v>15</v>
      </c>
      <c r="B17" s="54" t="s">
        <v>692</v>
      </c>
      <c r="C17" s="54" t="s">
        <v>662</v>
      </c>
      <c r="D17" s="54" t="s">
        <v>693</v>
      </c>
      <c r="E17" s="55" t="s">
        <v>664</v>
      </c>
      <c r="F17" s="64">
        <v>74</v>
      </c>
      <c r="G17" s="60" t="s">
        <v>671</v>
      </c>
      <c r="H17" s="58" t="s">
        <v>665</v>
      </c>
      <c r="I17" s="58"/>
    </row>
    <row r="18" spans="1:9" s="30" customFormat="1" ht="48" customHeight="1">
      <c r="A18" s="53">
        <v>16</v>
      </c>
      <c r="B18" s="54" t="s">
        <v>694</v>
      </c>
      <c r="C18" s="54" t="s">
        <v>662</v>
      </c>
      <c r="D18" s="54" t="s">
        <v>695</v>
      </c>
      <c r="E18" s="55" t="s">
        <v>664</v>
      </c>
      <c r="F18" s="64">
        <v>72.17</v>
      </c>
      <c r="G18" s="60" t="s">
        <v>674</v>
      </c>
      <c r="H18" s="63" t="s">
        <v>665</v>
      </c>
      <c r="I18" s="58"/>
    </row>
    <row r="19" spans="1:9" s="30" customFormat="1" ht="48" customHeight="1">
      <c r="A19" s="53">
        <v>17</v>
      </c>
      <c r="B19" s="54" t="s">
        <v>694</v>
      </c>
      <c r="C19" s="54" t="s">
        <v>662</v>
      </c>
      <c r="D19" s="54" t="s">
        <v>696</v>
      </c>
      <c r="E19" s="55" t="s">
        <v>664</v>
      </c>
      <c r="F19" s="56">
        <v>73.83</v>
      </c>
      <c r="G19" s="60" t="s">
        <v>674</v>
      </c>
      <c r="H19" s="63" t="s">
        <v>665</v>
      </c>
      <c r="I19" s="58"/>
    </row>
    <row r="20" spans="1:9" s="30" customFormat="1" ht="48" customHeight="1">
      <c r="A20" s="53">
        <v>18</v>
      </c>
      <c r="B20" s="54" t="s">
        <v>697</v>
      </c>
      <c r="C20" s="54" t="s">
        <v>669</v>
      </c>
      <c r="D20" s="54" t="s">
        <v>698</v>
      </c>
      <c r="E20" s="55" t="s">
        <v>664</v>
      </c>
      <c r="F20" s="56">
        <v>60.166666666666664</v>
      </c>
      <c r="G20" s="60" t="s">
        <v>699</v>
      </c>
      <c r="H20" s="63" t="s">
        <v>665</v>
      </c>
      <c r="I20" s="58"/>
    </row>
    <row r="21" spans="1:9" s="30" customFormat="1" ht="48" customHeight="1">
      <c r="A21" s="53">
        <v>19</v>
      </c>
      <c r="B21" s="54" t="s">
        <v>697</v>
      </c>
      <c r="C21" s="54" t="s">
        <v>669</v>
      </c>
      <c r="D21" s="54" t="s">
        <v>700</v>
      </c>
      <c r="E21" s="55" t="s">
        <v>664</v>
      </c>
      <c r="F21" s="56">
        <v>67</v>
      </c>
      <c r="G21" s="60" t="s">
        <v>674</v>
      </c>
      <c r="H21" s="63" t="s">
        <v>665</v>
      </c>
      <c r="I21" s="58"/>
    </row>
    <row r="22" spans="1:9" ht="48" customHeight="1">
      <c r="A22" s="53">
        <v>20</v>
      </c>
      <c r="B22" s="54" t="s">
        <v>701</v>
      </c>
      <c r="C22" s="54" t="s">
        <v>662</v>
      </c>
      <c r="D22" s="54" t="s">
        <v>702</v>
      </c>
      <c r="E22" s="55" t="s">
        <v>664</v>
      </c>
      <c r="F22" s="65" t="s">
        <v>683</v>
      </c>
      <c r="G22" s="57" t="s">
        <v>683</v>
      </c>
      <c r="H22" s="58" t="s">
        <v>667</v>
      </c>
      <c r="I22" s="58"/>
    </row>
    <row r="23" spans="1:9" ht="48" customHeight="1">
      <c r="A23" s="53">
        <v>21</v>
      </c>
      <c r="B23" s="54" t="s">
        <v>701</v>
      </c>
      <c r="C23" s="54" t="s">
        <v>662</v>
      </c>
      <c r="D23" s="54" t="s">
        <v>703</v>
      </c>
      <c r="E23" s="55" t="s">
        <v>664</v>
      </c>
      <c r="F23" s="65" t="s">
        <v>683</v>
      </c>
      <c r="G23" s="57" t="s">
        <v>683</v>
      </c>
      <c r="H23" s="58" t="s">
        <v>704</v>
      </c>
      <c r="I23" s="58"/>
    </row>
    <row r="24" spans="1:9" ht="48" customHeight="1">
      <c r="A24" s="53">
        <v>22</v>
      </c>
      <c r="B24" s="54" t="s">
        <v>701</v>
      </c>
      <c r="C24" s="54" t="s">
        <v>662</v>
      </c>
      <c r="D24" s="54" t="s">
        <v>705</v>
      </c>
      <c r="E24" s="55" t="s">
        <v>664</v>
      </c>
      <c r="F24" s="65" t="s">
        <v>683</v>
      </c>
      <c r="G24" s="57" t="s">
        <v>683</v>
      </c>
      <c r="H24" s="58" t="s">
        <v>667</v>
      </c>
      <c r="I24" s="58"/>
    </row>
  </sheetData>
  <sheetProtection/>
  <autoFilter ref="A2:I24"/>
  <mergeCells count="1">
    <mergeCell ref="A1:I1"/>
  </mergeCells>
  <printOptions/>
  <pageMargins left="0.39305555555555555" right="0.19652777777777777" top="0.07847222222222222" bottom="0.11805555555555555" header="0.03888888888888889" footer="0.1180555555555555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17.8515625" style="0" customWidth="1"/>
    <col min="3" max="3" width="6.28125" style="0" customWidth="1"/>
    <col min="4" max="4" width="12.140625" style="0" customWidth="1"/>
    <col min="5" max="5" width="14.8515625" style="0" customWidth="1"/>
    <col min="6" max="9" width="8.421875" style="0" customWidth="1"/>
  </cols>
  <sheetData>
    <row r="1" spans="1:9" ht="33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81" customHeight="1">
      <c r="A2" s="9">
        <v>1</v>
      </c>
      <c r="B2" s="10" t="s">
        <v>783</v>
      </c>
      <c r="C2" s="10" t="s">
        <v>622</v>
      </c>
      <c r="D2" s="10" t="s">
        <v>784</v>
      </c>
      <c r="E2" s="10" t="s">
        <v>620</v>
      </c>
      <c r="F2" s="11">
        <v>20.5</v>
      </c>
      <c r="G2" s="11">
        <v>69.6666666666667</v>
      </c>
      <c r="H2" s="11">
        <f>F2*50%+G2*50%</f>
        <v>45.08333333333335</v>
      </c>
      <c r="I2" s="11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I1" sqref="G1:I1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6.28125" style="0" customWidth="1"/>
    <col min="4" max="4" width="12.140625" style="0" customWidth="1"/>
    <col min="5" max="5" width="14.8515625" style="0" customWidth="1"/>
    <col min="6" max="9" width="8.421875" style="0" customWidth="1"/>
  </cols>
  <sheetData>
    <row r="1" spans="1:9" ht="36">
      <c r="A1" s="8" t="s">
        <v>0</v>
      </c>
      <c r="B1" s="8" t="s">
        <v>1</v>
      </c>
      <c r="C1" s="8" t="s">
        <v>2</v>
      </c>
      <c r="D1" s="8" t="s">
        <v>3</v>
      </c>
      <c r="E1" s="8" t="s">
        <v>6</v>
      </c>
      <c r="F1" s="8" t="s">
        <v>706</v>
      </c>
      <c r="G1" s="8" t="s">
        <v>707</v>
      </c>
      <c r="H1" s="8" t="s">
        <v>708</v>
      </c>
      <c r="I1" s="8" t="s">
        <v>659</v>
      </c>
    </row>
    <row r="2" spans="1:9" ht="49.5" customHeight="1">
      <c r="A2" s="20">
        <v>1</v>
      </c>
      <c r="B2" s="21" t="s">
        <v>785</v>
      </c>
      <c r="C2" s="21" t="s">
        <v>640</v>
      </c>
      <c r="D2" s="21" t="s">
        <v>786</v>
      </c>
      <c r="E2" s="21" t="s">
        <v>638</v>
      </c>
      <c r="F2" s="22">
        <v>60.9</v>
      </c>
      <c r="G2" s="22">
        <v>79.8333333333333</v>
      </c>
      <c r="H2" s="22">
        <f>F2*50%+G2*50%</f>
        <v>70.36666666666665</v>
      </c>
      <c r="I2" s="20" t="s">
        <v>665</v>
      </c>
    </row>
    <row r="3" spans="1:9" ht="49.5" customHeight="1">
      <c r="A3" s="20">
        <v>2</v>
      </c>
      <c r="B3" s="21" t="s">
        <v>785</v>
      </c>
      <c r="C3" s="21" t="s">
        <v>644</v>
      </c>
      <c r="D3" s="21" t="s">
        <v>787</v>
      </c>
      <c r="E3" s="21" t="s">
        <v>638</v>
      </c>
      <c r="F3" s="22">
        <v>56.8</v>
      </c>
      <c r="G3" s="22">
        <v>75.5</v>
      </c>
      <c r="H3" s="22">
        <f>F3*50%+G3*50%</f>
        <v>66.15</v>
      </c>
      <c r="I3" s="20" t="s">
        <v>665</v>
      </c>
    </row>
    <row r="4" spans="1:9" ht="49.5" customHeight="1">
      <c r="A4" s="20">
        <v>3</v>
      </c>
      <c r="B4" s="21" t="s">
        <v>785</v>
      </c>
      <c r="C4" s="21" t="s">
        <v>642</v>
      </c>
      <c r="D4" s="21" t="s">
        <v>788</v>
      </c>
      <c r="E4" s="21" t="s">
        <v>638</v>
      </c>
      <c r="F4" s="22">
        <v>53.8</v>
      </c>
      <c r="G4" s="22">
        <v>78</v>
      </c>
      <c r="H4" s="22">
        <f>F4*50%+G4*50%</f>
        <v>65.9</v>
      </c>
      <c r="I4" s="20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B17" sqref="B17"/>
    </sheetView>
  </sheetViews>
  <sheetFormatPr defaultColWidth="9.00390625" defaultRowHeight="15"/>
  <cols>
    <col min="1" max="1" width="4.8515625" style="0" customWidth="1"/>
    <col min="2" max="2" width="18.8515625" style="0" customWidth="1"/>
    <col min="3" max="3" width="6.28125" style="0" customWidth="1"/>
    <col min="4" max="4" width="12.140625" style="0" customWidth="1"/>
    <col min="5" max="5" width="14.8515625" style="0" customWidth="1"/>
    <col min="6" max="9" width="8.421875" style="0" customWidth="1"/>
  </cols>
  <sheetData>
    <row r="1" spans="1:9" ht="5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8" t="s">
        <v>707</v>
      </c>
      <c r="H1" s="8" t="s">
        <v>708</v>
      </c>
      <c r="I1" s="8" t="s">
        <v>659</v>
      </c>
    </row>
    <row r="2" spans="1:9" ht="82.5" customHeight="1">
      <c r="A2" s="12">
        <v>1</v>
      </c>
      <c r="B2" s="5" t="s">
        <v>789</v>
      </c>
      <c r="C2" s="5" t="s">
        <v>652</v>
      </c>
      <c r="D2" s="5" t="s">
        <v>790</v>
      </c>
      <c r="E2" s="5" t="s">
        <v>647</v>
      </c>
      <c r="F2" s="13">
        <v>32.2</v>
      </c>
      <c r="G2" s="13">
        <v>81</v>
      </c>
      <c r="H2" s="13">
        <f>F2*50%+G2*50%</f>
        <v>56.6</v>
      </c>
      <c r="I2" s="12" t="s">
        <v>665</v>
      </c>
    </row>
    <row r="3" spans="1:9" ht="121.5" customHeight="1">
      <c r="A3" s="12">
        <v>2</v>
      </c>
      <c r="B3" s="5" t="s">
        <v>789</v>
      </c>
      <c r="C3" s="5" t="s">
        <v>649</v>
      </c>
      <c r="D3" s="5" t="s">
        <v>791</v>
      </c>
      <c r="E3" s="5" t="s">
        <v>647</v>
      </c>
      <c r="F3" s="13">
        <v>30.7</v>
      </c>
      <c r="G3" s="13">
        <v>81.3333333333333</v>
      </c>
      <c r="H3" s="13">
        <f>F3*50%+G3*50%</f>
        <v>56.01666666666665</v>
      </c>
      <c r="I3" s="12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A2" sqref="A2:A4"/>
    </sheetView>
  </sheetViews>
  <sheetFormatPr defaultColWidth="9.00390625" defaultRowHeight="15"/>
  <cols>
    <col min="1" max="1" width="3.421875" style="28" customWidth="1"/>
    <col min="2" max="2" width="6.57421875" style="28" customWidth="1"/>
    <col min="3" max="3" width="6.28125" style="28" customWidth="1"/>
    <col min="4" max="4" width="8.421875" style="28" customWidth="1"/>
    <col min="5" max="5" width="7.28125" style="28" customWidth="1"/>
    <col min="6" max="6" width="7.57421875" style="28" customWidth="1"/>
    <col min="7" max="9" width="17.421875" style="28" customWidth="1"/>
    <col min="10" max="10" width="10.140625" style="28" customWidth="1"/>
    <col min="11" max="16384" width="9.00390625" style="28" customWidth="1"/>
  </cols>
  <sheetData>
    <row r="1" spans="1:9" ht="11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8" t="s">
        <v>707</v>
      </c>
      <c r="H1" s="8" t="s">
        <v>708</v>
      </c>
      <c r="I1" s="8" t="s">
        <v>659</v>
      </c>
    </row>
    <row r="2" spans="1:9" ht="49.5" customHeight="1">
      <c r="A2" s="12">
        <v>1</v>
      </c>
      <c r="B2" s="5" t="s">
        <v>792</v>
      </c>
      <c r="C2" s="5" t="s">
        <v>19</v>
      </c>
      <c r="D2" s="5" t="s">
        <v>793</v>
      </c>
      <c r="E2" s="5" t="s">
        <v>9</v>
      </c>
      <c r="F2" s="13">
        <v>71.2</v>
      </c>
      <c r="G2" s="13">
        <v>78.5</v>
      </c>
      <c r="H2" s="13">
        <f>F2*50%+G2*50%</f>
        <v>74.85</v>
      </c>
      <c r="I2" s="12" t="s">
        <v>665</v>
      </c>
    </row>
    <row r="3" spans="1:9" ht="49.5" customHeight="1">
      <c r="A3" s="12">
        <v>2</v>
      </c>
      <c r="B3" s="5" t="s">
        <v>792</v>
      </c>
      <c r="C3" s="5" t="s">
        <v>12</v>
      </c>
      <c r="D3" s="5" t="s">
        <v>794</v>
      </c>
      <c r="E3" s="5" t="s">
        <v>9</v>
      </c>
      <c r="F3" s="13">
        <v>65.2</v>
      </c>
      <c r="G3" s="13">
        <v>71.6666666666667</v>
      </c>
      <c r="H3" s="13">
        <f>F3*50%+G3*50%</f>
        <v>68.43333333333335</v>
      </c>
      <c r="I3" s="12" t="s">
        <v>665</v>
      </c>
    </row>
    <row r="4" spans="1:9" s="27" customFormat="1" ht="49.5" customHeight="1">
      <c r="A4" s="12">
        <v>3</v>
      </c>
      <c r="B4" s="5" t="s">
        <v>792</v>
      </c>
      <c r="C4" s="5" t="s">
        <v>18</v>
      </c>
      <c r="D4" s="5" t="s">
        <v>795</v>
      </c>
      <c r="E4" s="5" t="s">
        <v>9</v>
      </c>
      <c r="F4" s="6">
        <v>68.3</v>
      </c>
      <c r="G4" s="29" t="s">
        <v>683</v>
      </c>
      <c r="H4" s="6" t="s">
        <v>683</v>
      </c>
      <c r="I4" s="5" t="s">
        <v>667</v>
      </c>
    </row>
  </sheetData>
  <sheetProtection/>
  <printOptions/>
  <pageMargins left="0.2361111111111111" right="0.19652777777777777" top="1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13.421875" style="0" customWidth="1"/>
    <col min="3" max="3" width="6.28125" style="0" customWidth="1"/>
    <col min="4" max="4" width="9.28125" style="0" customWidth="1"/>
    <col min="5" max="5" width="8.00390625" style="0" customWidth="1"/>
    <col min="6" max="6" width="9.421875" style="0" customWidth="1"/>
    <col min="7" max="9" width="11.00390625" style="0" customWidth="1"/>
  </cols>
  <sheetData>
    <row r="1" spans="1:9" ht="102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6</v>
      </c>
      <c r="F1" s="24" t="s">
        <v>706</v>
      </c>
      <c r="G1" s="21" t="s">
        <v>707</v>
      </c>
      <c r="H1" s="21" t="s">
        <v>708</v>
      </c>
      <c r="I1" s="21" t="s">
        <v>659</v>
      </c>
    </row>
    <row r="2" spans="1:9" s="23" customFormat="1" ht="30" customHeight="1">
      <c r="A2" s="25">
        <v>1</v>
      </c>
      <c r="B2" s="21" t="s">
        <v>796</v>
      </c>
      <c r="C2" s="21" t="s">
        <v>54</v>
      </c>
      <c r="D2" s="21" t="s">
        <v>797</v>
      </c>
      <c r="E2" s="21" t="s">
        <v>9</v>
      </c>
      <c r="F2" s="26">
        <v>75.1</v>
      </c>
      <c r="G2" s="26">
        <v>76.3333333333333</v>
      </c>
      <c r="H2" s="26">
        <f aca="true" t="shared" si="0" ref="H2:H11">F2*50%+G2*50%</f>
        <v>75.71666666666664</v>
      </c>
      <c r="I2" s="21" t="s">
        <v>665</v>
      </c>
    </row>
    <row r="3" spans="1:9" s="14" customFormat="1" ht="30" customHeight="1">
      <c r="A3" s="25">
        <v>2</v>
      </c>
      <c r="B3" s="21" t="s">
        <v>796</v>
      </c>
      <c r="C3" s="21" t="s">
        <v>36</v>
      </c>
      <c r="D3" s="21" t="s">
        <v>798</v>
      </c>
      <c r="E3" s="21" t="s">
        <v>9</v>
      </c>
      <c r="F3" s="26">
        <v>68.9</v>
      </c>
      <c r="G3" s="26">
        <v>81.5</v>
      </c>
      <c r="H3" s="26">
        <f t="shared" si="0"/>
        <v>75.2</v>
      </c>
      <c r="I3" s="21" t="s">
        <v>665</v>
      </c>
    </row>
    <row r="4" spans="1:9" s="14" customFormat="1" ht="30" customHeight="1">
      <c r="A4" s="25">
        <v>3</v>
      </c>
      <c r="B4" s="21" t="s">
        <v>796</v>
      </c>
      <c r="C4" s="21" t="s">
        <v>38</v>
      </c>
      <c r="D4" s="21" t="s">
        <v>799</v>
      </c>
      <c r="E4" s="21" t="s">
        <v>9</v>
      </c>
      <c r="F4" s="26">
        <v>73.8</v>
      </c>
      <c r="G4" s="26">
        <v>74.5</v>
      </c>
      <c r="H4" s="26">
        <f t="shared" si="0"/>
        <v>74.15</v>
      </c>
      <c r="I4" s="21" t="s">
        <v>665</v>
      </c>
    </row>
    <row r="5" spans="1:9" s="14" customFormat="1" ht="30" customHeight="1">
      <c r="A5" s="25">
        <v>4</v>
      </c>
      <c r="B5" s="21" t="s">
        <v>796</v>
      </c>
      <c r="C5" s="21" t="s">
        <v>60</v>
      </c>
      <c r="D5" s="21" t="s">
        <v>800</v>
      </c>
      <c r="E5" s="21" t="s">
        <v>9</v>
      </c>
      <c r="F5" s="26">
        <v>72.3</v>
      </c>
      <c r="G5" s="26">
        <v>75.1666666666667</v>
      </c>
      <c r="H5" s="26">
        <f t="shared" si="0"/>
        <v>73.73333333333335</v>
      </c>
      <c r="I5" s="21" t="s">
        <v>665</v>
      </c>
    </row>
    <row r="6" spans="1:9" s="14" customFormat="1" ht="30" customHeight="1">
      <c r="A6" s="25">
        <v>5</v>
      </c>
      <c r="B6" s="21" t="s">
        <v>796</v>
      </c>
      <c r="C6" s="21" t="s">
        <v>37</v>
      </c>
      <c r="D6" s="21" t="s">
        <v>801</v>
      </c>
      <c r="E6" s="21" t="s">
        <v>9</v>
      </c>
      <c r="F6" s="26">
        <v>74.7</v>
      </c>
      <c r="G6" s="26">
        <v>72.5</v>
      </c>
      <c r="H6" s="26">
        <f t="shared" si="0"/>
        <v>73.6</v>
      </c>
      <c r="I6" s="21" t="s">
        <v>667</v>
      </c>
    </row>
    <row r="7" spans="1:9" s="14" customFormat="1" ht="30" customHeight="1">
      <c r="A7" s="25">
        <v>6</v>
      </c>
      <c r="B7" s="21" t="s">
        <v>796</v>
      </c>
      <c r="C7" s="21" t="s">
        <v>56</v>
      </c>
      <c r="D7" s="21" t="s">
        <v>802</v>
      </c>
      <c r="E7" s="21" t="s">
        <v>9</v>
      </c>
      <c r="F7" s="26">
        <v>70.2</v>
      </c>
      <c r="G7" s="26">
        <v>74.6666666666667</v>
      </c>
      <c r="H7" s="26">
        <f t="shared" si="0"/>
        <v>72.43333333333335</v>
      </c>
      <c r="I7" s="21" t="s">
        <v>667</v>
      </c>
    </row>
    <row r="8" spans="1:9" s="23" customFormat="1" ht="30" customHeight="1">
      <c r="A8" s="25">
        <v>7</v>
      </c>
      <c r="B8" s="21" t="s">
        <v>796</v>
      </c>
      <c r="C8" s="21" t="s">
        <v>68</v>
      </c>
      <c r="D8" s="21" t="s">
        <v>803</v>
      </c>
      <c r="E8" s="21" t="s">
        <v>9</v>
      </c>
      <c r="F8" s="26">
        <v>67.2</v>
      </c>
      <c r="G8" s="26">
        <v>77.5</v>
      </c>
      <c r="H8" s="26">
        <f t="shared" si="0"/>
        <v>72.35</v>
      </c>
      <c r="I8" s="21" t="s">
        <v>667</v>
      </c>
    </row>
    <row r="9" spans="1:9" s="23" customFormat="1" ht="30" customHeight="1">
      <c r="A9" s="25">
        <v>8</v>
      </c>
      <c r="B9" s="21" t="s">
        <v>796</v>
      </c>
      <c r="C9" s="21" t="s">
        <v>32</v>
      </c>
      <c r="D9" s="21" t="s">
        <v>804</v>
      </c>
      <c r="E9" s="21" t="s">
        <v>9</v>
      </c>
      <c r="F9" s="26">
        <v>73.8</v>
      </c>
      <c r="G9" s="26">
        <v>70.3333333333333</v>
      </c>
      <c r="H9" s="26">
        <f t="shared" si="0"/>
        <v>72.06666666666665</v>
      </c>
      <c r="I9" s="21" t="s">
        <v>667</v>
      </c>
    </row>
    <row r="10" spans="1:9" s="14" customFormat="1" ht="30" customHeight="1">
      <c r="A10" s="25">
        <v>9</v>
      </c>
      <c r="B10" s="21" t="s">
        <v>796</v>
      </c>
      <c r="C10" s="21" t="s">
        <v>29</v>
      </c>
      <c r="D10" s="21" t="s">
        <v>805</v>
      </c>
      <c r="E10" s="21" t="s">
        <v>9</v>
      </c>
      <c r="F10" s="26">
        <v>68.3</v>
      </c>
      <c r="G10" s="26">
        <v>75.3333333333333</v>
      </c>
      <c r="H10" s="26">
        <f t="shared" si="0"/>
        <v>71.81666666666665</v>
      </c>
      <c r="I10" s="21" t="s">
        <v>667</v>
      </c>
    </row>
    <row r="11" spans="1:9" s="14" customFormat="1" ht="30" customHeight="1">
      <c r="A11" s="25">
        <v>10</v>
      </c>
      <c r="B11" s="21" t="s">
        <v>796</v>
      </c>
      <c r="C11" s="21" t="s">
        <v>53</v>
      </c>
      <c r="D11" s="21" t="s">
        <v>806</v>
      </c>
      <c r="E11" s="21" t="s">
        <v>9</v>
      </c>
      <c r="F11" s="26">
        <v>67.2</v>
      </c>
      <c r="G11" s="26">
        <v>74.3333333333333</v>
      </c>
      <c r="H11" s="26">
        <f t="shared" si="0"/>
        <v>70.76666666666665</v>
      </c>
      <c r="I11" s="21" t="s">
        <v>667</v>
      </c>
    </row>
  </sheetData>
  <sheetProtection/>
  <printOptions/>
  <pageMargins left="0.275" right="0.03888888888888889" top="0.5506944444444445" bottom="0.07847222222222222" header="0.3145833333333333" footer="0.15694444444444444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G6" sqref="G6"/>
    </sheetView>
  </sheetViews>
  <sheetFormatPr defaultColWidth="9.00390625" defaultRowHeight="15"/>
  <cols>
    <col min="1" max="1" width="4.8515625" style="1" customWidth="1"/>
    <col min="2" max="2" width="8.57421875" style="1" customWidth="1"/>
    <col min="3" max="3" width="7.8515625" style="1" customWidth="1"/>
    <col min="4" max="4" width="6.421875" style="1" customWidth="1"/>
    <col min="5" max="5" width="16.00390625" style="1" customWidth="1"/>
    <col min="6" max="6" width="18.00390625" style="1" customWidth="1"/>
    <col min="7" max="7" width="13.57421875" style="1" customWidth="1"/>
    <col min="8" max="8" width="12.7109375" style="1" customWidth="1"/>
    <col min="9" max="9" width="17.7109375" style="1" customWidth="1"/>
    <col min="10" max="10" width="28.140625" style="1" customWidth="1"/>
    <col min="11" max="16384" width="9.00390625" style="1" customWidth="1"/>
  </cols>
  <sheetData>
    <row r="1" spans="1:9" ht="37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6</v>
      </c>
      <c r="F1" s="17" t="s">
        <v>706</v>
      </c>
      <c r="G1" s="17" t="s">
        <v>707</v>
      </c>
      <c r="H1" s="17" t="s">
        <v>708</v>
      </c>
      <c r="I1" s="17" t="s">
        <v>659</v>
      </c>
    </row>
    <row r="2" spans="1:9" s="18" customFormat="1" ht="34.5" customHeight="1">
      <c r="A2" s="20">
        <v>1</v>
      </c>
      <c r="B2" s="21" t="s">
        <v>807</v>
      </c>
      <c r="C2" s="21" t="s">
        <v>101</v>
      </c>
      <c r="D2" s="21" t="s">
        <v>808</v>
      </c>
      <c r="E2" s="21" t="s">
        <v>9</v>
      </c>
      <c r="F2" s="22">
        <v>69.8</v>
      </c>
      <c r="G2" s="22">
        <v>78</v>
      </c>
      <c r="H2" s="22">
        <f>F2*50%+G2*50%</f>
        <v>73.9</v>
      </c>
      <c r="I2" s="20" t="s">
        <v>665</v>
      </c>
    </row>
    <row r="3" spans="1:9" s="18" customFormat="1" ht="34.5" customHeight="1">
      <c r="A3" s="20">
        <v>2</v>
      </c>
      <c r="B3" s="21" t="s">
        <v>807</v>
      </c>
      <c r="C3" s="21" t="s">
        <v>109</v>
      </c>
      <c r="D3" s="21" t="s">
        <v>809</v>
      </c>
      <c r="E3" s="21" t="s">
        <v>9</v>
      </c>
      <c r="F3" s="22">
        <v>56.2</v>
      </c>
      <c r="G3" s="22">
        <v>78</v>
      </c>
      <c r="H3" s="22">
        <f>F3*50%+G3*50%</f>
        <v>67.1</v>
      </c>
      <c r="I3" s="20" t="s">
        <v>665</v>
      </c>
    </row>
    <row r="4" spans="1:9" s="18" customFormat="1" ht="34.5" customHeight="1">
      <c r="A4" s="20">
        <v>3</v>
      </c>
      <c r="B4" s="21" t="s">
        <v>807</v>
      </c>
      <c r="C4" s="21" t="s">
        <v>104</v>
      </c>
      <c r="D4" s="21" t="s">
        <v>810</v>
      </c>
      <c r="E4" s="21" t="s">
        <v>9</v>
      </c>
      <c r="F4" s="22">
        <v>57.7</v>
      </c>
      <c r="G4" s="22">
        <v>70</v>
      </c>
      <c r="H4" s="22">
        <f>F4*50%+G4*50%</f>
        <v>63.85</v>
      </c>
      <c r="I4" s="20" t="s">
        <v>665</v>
      </c>
    </row>
    <row r="5" spans="1:9" s="18" customFormat="1" ht="34.5" customHeight="1">
      <c r="A5" s="20">
        <v>4</v>
      </c>
      <c r="B5" s="21" t="s">
        <v>807</v>
      </c>
      <c r="C5" s="21" t="s">
        <v>107</v>
      </c>
      <c r="D5" s="21" t="s">
        <v>811</v>
      </c>
      <c r="E5" s="21" t="s">
        <v>9</v>
      </c>
      <c r="F5" s="22">
        <v>57.7</v>
      </c>
      <c r="G5" s="22">
        <v>69.8333333333333</v>
      </c>
      <c r="H5" s="22">
        <f>F5*50%+G5*50%</f>
        <v>63.76666666666665</v>
      </c>
      <c r="I5" s="20" t="s">
        <v>665</v>
      </c>
    </row>
    <row r="6" spans="1:9" s="19" customFormat="1" ht="34.5" customHeight="1">
      <c r="A6" s="20">
        <v>5</v>
      </c>
      <c r="B6" s="21" t="s">
        <v>807</v>
      </c>
      <c r="C6" s="21" t="s">
        <v>73</v>
      </c>
      <c r="D6" s="21" t="s">
        <v>812</v>
      </c>
      <c r="E6" s="21" t="s">
        <v>9</v>
      </c>
      <c r="F6" s="22">
        <v>62.9</v>
      </c>
      <c r="G6" s="22" t="s">
        <v>683</v>
      </c>
      <c r="H6" s="22" t="s">
        <v>683</v>
      </c>
      <c r="I6" s="20" t="s">
        <v>667</v>
      </c>
    </row>
  </sheetData>
  <sheetProtection/>
  <printOptions/>
  <pageMargins left="0.275" right="0.07847222222222222" top="0.5506944444444445" bottom="0.4722222222222222" header="0.3541666666666667" footer="0.19652777777777777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1" customWidth="1"/>
    <col min="2" max="2" width="7.8515625" style="1" customWidth="1"/>
    <col min="3" max="3" width="6.28125" style="1" customWidth="1"/>
    <col min="4" max="4" width="5.28125" style="1" customWidth="1"/>
    <col min="5" max="5" width="13.28125" style="1" customWidth="1"/>
    <col min="6" max="6" width="9.140625" style="1" customWidth="1"/>
    <col min="7" max="8" width="9.421875" style="1" customWidth="1"/>
    <col min="9" max="9" width="20.140625" style="1" customWidth="1"/>
    <col min="10" max="16384" width="9.00390625" style="1" customWidth="1"/>
  </cols>
  <sheetData>
    <row r="1" spans="1:9" ht="40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17" t="s">
        <v>707</v>
      </c>
      <c r="H1" s="17" t="s">
        <v>708</v>
      </c>
      <c r="I1" s="17" t="s">
        <v>659</v>
      </c>
    </row>
    <row r="2" spans="1:9" ht="34.5" customHeight="1">
      <c r="A2" s="12">
        <v>1</v>
      </c>
      <c r="B2" s="5" t="s">
        <v>813</v>
      </c>
      <c r="C2" s="5" t="s">
        <v>154</v>
      </c>
      <c r="D2" s="5" t="s">
        <v>814</v>
      </c>
      <c r="E2" s="5" t="s">
        <v>9</v>
      </c>
      <c r="F2" s="13">
        <v>66.3</v>
      </c>
      <c r="G2" s="13">
        <v>86.1666666666667</v>
      </c>
      <c r="H2" s="13">
        <f aca="true" t="shared" si="0" ref="H2:H13">F2*50%+G2*50%</f>
        <v>76.23333333333335</v>
      </c>
      <c r="I2" s="12" t="s">
        <v>665</v>
      </c>
    </row>
    <row r="3" spans="1:9" ht="34.5" customHeight="1">
      <c r="A3" s="12">
        <v>2</v>
      </c>
      <c r="B3" s="5" t="s">
        <v>813</v>
      </c>
      <c r="C3" s="5" t="s">
        <v>166</v>
      </c>
      <c r="D3" s="5" t="s">
        <v>815</v>
      </c>
      <c r="E3" s="5" t="s">
        <v>9</v>
      </c>
      <c r="F3" s="13">
        <v>60.2</v>
      </c>
      <c r="G3" s="13">
        <v>84.1666666666667</v>
      </c>
      <c r="H3" s="13">
        <f t="shared" si="0"/>
        <v>72.18333333333335</v>
      </c>
      <c r="I3" s="12" t="s">
        <v>665</v>
      </c>
    </row>
    <row r="4" spans="1:9" ht="34.5" customHeight="1">
      <c r="A4" s="12">
        <v>3</v>
      </c>
      <c r="B4" s="5" t="s">
        <v>813</v>
      </c>
      <c r="C4" s="5" t="s">
        <v>124</v>
      </c>
      <c r="D4" s="5" t="s">
        <v>816</v>
      </c>
      <c r="E4" s="5" t="s">
        <v>9</v>
      </c>
      <c r="F4" s="13">
        <v>53.9</v>
      </c>
      <c r="G4" s="13">
        <v>84</v>
      </c>
      <c r="H4" s="13">
        <f t="shared" si="0"/>
        <v>68.95</v>
      </c>
      <c r="I4" s="12" t="s">
        <v>665</v>
      </c>
    </row>
    <row r="5" spans="1:9" ht="34.5" customHeight="1">
      <c r="A5" s="12">
        <v>4</v>
      </c>
      <c r="B5" s="5" t="s">
        <v>813</v>
      </c>
      <c r="C5" s="5" t="s">
        <v>151</v>
      </c>
      <c r="D5" s="5" t="s">
        <v>817</v>
      </c>
      <c r="E5" s="5" t="s">
        <v>9</v>
      </c>
      <c r="F5" s="13">
        <v>55.2</v>
      </c>
      <c r="G5" s="13">
        <v>79.3333333333333</v>
      </c>
      <c r="H5" s="13">
        <f t="shared" si="0"/>
        <v>67.26666666666665</v>
      </c>
      <c r="I5" s="12" t="s">
        <v>665</v>
      </c>
    </row>
    <row r="6" spans="1:9" ht="34.5" customHeight="1">
      <c r="A6" s="12">
        <v>5</v>
      </c>
      <c r="B6" s="5" t="s">
        <v>813</v>
      </c>
      <c r="C6" s="5" t="s">
        <v>130</v>
      </c>
      <c r="D6" s="5" t="s">
        <v>818</v>
      </c>
      <c r="E6" s="5" t="s">
        <v>9</v>
      </c>
      <c r="F6" s="13">
        <v>50.8</v>
      </c>
      <c r="G6" s="13">
        <v>83.5</v>
      </c>
      <c r="H6" s="13">
        <f t="shared" si="0"/>
        <v>67.15</v>
      </c>
      <c r="I6" s="12" t="s">
        <v>667</v>
      </c>
    </row>
    <row r="7" spans="1:9" ht="34.5" customHeight="1">
      <c r="A7" s="12">
        <v>6</v>
      </c>
      <c r="B7" s="5" t="s">
        <v>813</v>
      </c>
      <c r="C7" s="5" t="s">
        <v>125</v>
      </c>
      <c r="D7" s="5" t="s">
        <v>819</v>
      </c>
      <c r="E7" s="5" t="s">
        <v>9</v>
      </c>
      <c r="F7" s="13">
        <v>52.6</v>
      </c>
      <c r="G7" s="13">
        <v>80.1666666666667</v>
      </c>
      <c r="H7" s="13">
        <f t="shared" si="0"/>
        <v>66.38333333333335</v>
      </c>
      <c r="I7" s="12" t="s">
        <v>667</v>
      </c>
    </row>
    <row r="8" spans="1:9" ht="34.5" customHeight="1">
      <c r="A8" s="12">
        <v>7</v>
      </c>
      <c r="B8" s="5" t="s">
        <v>813</v>
      </c>
      <c r="C8" s="5" t="s">
        <v>150</v>
      </c>
      <c r="D8" s="5" t="s">
        <v>820</v>
      </c>
      <c r="E8" s="5" t="s">
        <v>9</v>
      </c>
      <c r="F8" s="13">
        <v>51.6</v>
      </c>
      <c r="G8" s="13">
        <v>79</v>
      </c>
      <c r="H8" s="13">
        <f t="shared" si="0"/>
        <v>65.3</v>
      </c>
      <c r="I8" s="12" t="s">
        <v>667</v>
      </c>
    </row>
    <row r="9" spans="1:9" ht="34.5" customHeight="1">
      <c r="A9" s="12">
        <v>8</v>
      </c>
      <c r="B9" s="5" t="s">
        <v>813</v>
      </c>
      <c r="C9" s="5" t="s">
        <v>127</v>
      </c>
      <c r="D9" s="5" t="s">
        <v>821</v>
      </c>
      <c r="E9" s="5" t="s">
        <v>9</v>
      </c>
      <c r="F9" s="13">
        <v>54.2</v>
      </c>
      <c r="G9" s="13">
        <v>75.6666666666667</v>
      </c>
      <c r="H9" s="13">
        <f t="shared" si="0"/>
        <v>64.93333333333335</v>
      </c>
      <c r="I9" s="12" t="s">
        <v>667</v>
      </c>
    </row>
    <row r="10" spans="1:9" ht="34.5" customHeight="1">
      <c r="A10" s="12">
        <v>9</v>
      </c>
      <c r="B10" s="5" t="s">
        <v>813</v>
      </c>
      <c r="C10" s="5" t="s">
        <v>139</v>
      </c>
      <c r="D10" s="5" t="s">
        <v>822</v>
      </c>
      <c r="E10" s="5" t="s">
        <v>9</v>
      </c>
      <c r="F10" s="13">
        <v>52.7</v>
      </c>
      <c r="G10" s="13">
        <v>75.6666666666667</v>
      </c>
      <c r="H10" s="13">
        <f t="shared" si="0"/>
        <v>64.18333333333335</v>
      </c>
      <c r="I10" s="12" t="s">
        <v>667</v>
      </c>
    </row>
    <row r="11" spans="1:9" ht="34.5" customHeight="1">
      <c r="A11" s="12">
        <v>10</v>
      </c>
      <c r="B11" s="5" t="s">
        <v>813</v>
      </c>
      <c r="C11" s="5" t="s">
        <v>175</v>
      </c>
      <c r="D11" s="5" t="s">
        <v>823</v>
      </c>
      <c r="E11" s="5" t="s">
        <v>9</v>
      </c>
      <c r="F11" s="13">
        <v>55.8</v>
      </c>
      <c r="G11" s="13">
        <v>71.8333333333333</v>
      </c>
      <c r="H11" s="13">
        <f t="shared" si="0"/>
        <v>63.81666666666665</v>
      </c>
      <c r="I11" s="12" t="s">
        <v>667</v>
      </c>
    </row>
    <row r="12" spans="1:9" ht="34.5" customHeight="1">
      <c r="A12" s="12">
        <v>11</v>
      </c>
      <c r="B12" s="5" t="s">
        <v>813</v>
      </c>
      <c r="C12" s="5" t="s">
        <v>160</v>
      </c>
      <c r="D12" s="5" t="s">
        <v>824</v>
      </c>
      <c r="E12" s="5" t="s">
        <v>9</v>
      </c>
      <c r="F12" s="13">
        <v>54.7</v>
      </c>
      <c r="G12" s="13">
        <v>72</v>
      </c>
      <c r="H12" s="13">
        <f t="shared" si="0"/>
        <v>63.35</v>
      </c>
      <c r="I12" s="12" t="s">
        <v>667</v>
      </c>
    </row>
    <row r="13" spans="1:9" ht="34.5" customHeight="1">
      <c r="A13" s="12">
        <v>12</v>
      </c>
      <c r="B13" s="5" t="s">
        <v>813</v>
      </c>
      <c r="C13" s="5" t="s">
        <v>129</v>
      </c>
      <c r="D13" s="5" t="s">
        <v>825</v>
      </c>
      <c r="E13" s="5" t="s">
        <v>9</v>
      </c>
      <c r="F13" s="13">
        <v>50.7</v>
      </c>
      <c r="G13" s="13">
        <v>74.1666666666667</v>
      </c>
      <c r="H13" s="13">
        <f t="shared" si="0"/>
        <v>62.43333333333335</v>
      </c>
      <c r="I13" s="12" t="s">
        <v>667</v>
      </c>
    </row>
  </sheetData>
  <sheetProtection/>
  <printOptions/>
  <pageMargins left="0.275" right="0.15694444444444444" top="0.2361111111111111" bottom="0.2361111111111111" header="0" footer="0.03888888888888889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6.421875" style="0" customWidth="1"/>
    <col min="3" max="3" width="6.28125" style="0" customWidth="1"/>
    <col min="4" max="4" width="7.00390625" style="0" customWidth="1"/>
    <col min="5" max="5" width="8.57421875" style="0" customWidth="1"/>
    <col min="6" max="6" width="10.140625" style="0" customWidth="1"/>
    <col min="7" max="7" width="8.8515625" style="0" customWidth="1"/>
    <col min="8" max="8" width="9.57421875" style="0" customWidth="1"/>
    <col min="9" max="9" width="9.8515625" style="0" customWidth="1"/>
  </cols>
  <sheetData>
    <row r="1" spans="1:9" ht="78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30" customHeight="1">
      <c r="A2" s="4">
        <v>1</v>
      </c>
      <c r="B2" s="5" t="s">
        <v>826</v>
      </c>
      <c r="C2" s="5" t="s">
        <v>239</v>
      </c>
      <c r="D2" s="5" t="s">
        <v>827</v>
      </c>
      <c r="E2" s="5" t="s">
        <v>9</v>
      </c>
      <c r="F2" s="6">
        <v>77.4</v>
      </c>
      <c r="G2" s="6">
        <v>87.3333333333333</v>
      </c>
      <c r="H2" s="6">
        <f aca="true" t="shared" si="0" ref="H2:H13">F2*50%+G2*50%</f>
        <v>82.36666666666665</v>
      </c>
      <c r="I2" s="4" t="s">
        <v>665</v>
      </c>
    </row>
    <row r="3" spans="1:9" s="14" customFormat="1" ht="30" customHeight="1">
      <c r="A3" s="4">
        <v>2</v>
      </c>
      <c r="B3" s="5" t="s">
        <v>826</v>
      </c>
      <c r="C3" s="5" t="s">
        <v>201</v>
      </c>
      <c r="D3" s="5" t="s">
        <v>828</v>
      </c>
      <c r="E3" s="5" t="s">
        <v>9</v>
      </c>
      <c r="F3" s="6">
        <v>75.4</v>
      </c>
      <c r="G3" s="6">
        <v>88.8333333333333</v>
      </c>
      <c r="H3" s="6">
        <f t="shared" si="0"/>
        <v>82.11666666666665</v>
      </c>
      <c r="I3" s="4" t="s">
        <v>665</v>
      </c>
    </row>
    <row r="4" spans="1:9" s="14" customFormat="1" ht="30" customHeight="1">
      <c r="A4" s="4">
        <v>3</v>
      </c>
      <c r="B4" s="5" t="s">
        <v>826</v>
      </c>
      <c r="C4" s="5" t="s">
        <v>227</v>
      </c>
      <c r="D4" s="5" t="s">
        <v>829</v>
      </c>
      <c r="E4" s="5" t="s">
        <v>9</v>
      </c>
      <c r="F4" s="6">
        <v>75.7</v>
      </c>
      <c r="G4" s="6">
        <v>83.1666666666667</v>
      </c>
      <c r="H4" s="6">
        <f t="shared" si="0"/>
        <v>79.43333333333335</v>
      </c>
      <c r="I4" s="4" t="s">
        <v>665</v>
      </c>
    </row>
    <row r="5" spans="1:9" s="14" customFormat="1" ht="30" customHeight="1">
      <c r="A5" s="4">
        <v>4</v>
      </c>
      <c r="B5" s="5" t="s">
        <v>826</v>
      </c>
      <c r="C5" s="5" t="s">
        <v>261</v>
      </c>
      <c r="D5" s="5" t="s">
        <v>830</v>
      </c>
      <c r="E5" s="5" t="s">
        <v>9</v>
      </c>
      <c r="F5" s="6">
        <v>75.8</v>
      </c>
      <c r="G5" s="6">
        <v>82</v>
      </c>
      <c r="H5" s="6">
        <f t="shared" si="0"/>
        <v>78.9</v>
      </c>
      <c r="I5" s="4" t="s">
        <v>665</v>
      </c>
    </row>
    <row r="6" spans="1:9" s="14" customFormat="1" ht="30" customHeight="1">
      <c r="A6" s="4">
        <v>5</v>
      </c>
      <c r="B6" s="5" t="s">
        <v>826</v>
      </c>
      <c r="C6" s="5" t="s">
        <v>264</v>
      </c>
      <c r="D6" s="5" t="s">
        <v>831</v>
      </c>
      <c r="E6" s="5" t="s">
        <v>9</v>
      </c>
      <c r="F6" s="6">
        <v>74.8</v>
      </c>
      <c r="G6" s="6">
        <v>79.5</v>
      </c>
      <c r="H6" s="6">
        <f t="shared" si="0"/>
        <v>77.15</v>
      </c>
      <c r="I6" s="4" t="s">
        <v>667</v>
      </c>
    </row>
    <row r="7" spans="1:9" s="14" customFormat="1" ht="30" customHeight="1">
      <c r="A7" s="4">
        <v>6</v>
      </c>
      <c r="B7" s="5" t="s">
        <v>826</v>
      </c>
      <c r="C7" s="5" t="s">
        <v>185</v>
      </c>
      <c r="D7" s="5" t="s">
        <v>832</v>
      </c>
      <c r="E7" s="5" t="s">
        <v>9</v>
      </c>
      <c r="F7" s="6">
        <v>73.4</v>
      </c>
      <c r="G7" s="6">
        <v>80</v>
      </c>
      <c r="H7" s="6">
        <f t="shared" si="0"/>
        <v>76.7</v>
      </c>
      <c r="I7" s="4" t="s">
        <v>667</v>
      </c>
    </row>
    <row r="8" spans="1:9" s="14" customFormat="1" ht="30" customHeight="1">
      <c r="A8" s="4">
        <v>7</v>
      </c>
      <c r="B8" s="5" t="s">
        <v>826</v>
      </c>
      <c r="C8" s="5" t="s">
        <v>219</v>
      </c>
      <c r="D8" s="5" t="s">
        <v>833</v>
      </c>
      <c r="E8" s="5" t="s">
        <v>9</v>
      </c>
      <c r="F8" s="6">
        <v>71.7</v>
      </c>
      <c r="G8" s="6">
        <v>79.8333333333333</v>
      </c>
      <c r="H8" s="6">
        <f t="shared" si="0"/>
        <v>75.76666666666665</v>
      </c>
      <c r="I8" s="4" t="s">
        <v>667</v>
      </c>
    </row>
    <row r="9" spans="1:9" s="14" customFormat="1" ht="30" customHeight="1">
      <c r="A9" s="4">
        <v>8</v>
      </c>
      <c r="B9" s="5" t="s">
        <v>826</v>
      </c>
      <c r="C9" s="5" t="s">
        <v>250</v>
      </c>
      <c r="D9" s="5" t="s">
        <v>834</v>
      </c>
      <c r="E9" s="5" t="s">
        <v>9</v>
      </c>
      <c r="F9" s="6">
        <v>74.3</v>
      </c>
      <c r="G9" s="6">
        <v>76.6666666666667</v>
      </c>
      <c r="H9" s="6">
        <f t="shared" si="0"/>
        <v>75.48333333333335</v>
      </c>
      <c r="I9" s="4" t="s">
        <v>667</v>
      </c>
    </row>
    <row r="10" spans="1:9" s="14" customFormat="1" ht="30" customHeight="1">
      <c r="A10" s="4">
        <v>9</v>
      </c>
      <c r="B10" s="5" t="s">
        <v>826</v>
      </c>
      <c r="C10" s="5" t="s">
        <v>188</v>
      </c>
      <c r="D10" s="5" t="s">
        <v>835</v>
      </c>
      <c r="E10" s="5" t="s">
        <v>9</v>
      </c>
      <c r="F10" s="6">
        <v>73.3</v>
      </c>
      <c r="G10" s="6">
        <v>75.6666666666667</v>
      </c>
      <c r="H10" s="6">
        <f t="shared" si="0"/>
        <v>74.48333333333335</v>
      </c>
      <c r="I10" s="4" t="s">
        <v>667</v>
      </c>
    </row>
    <row r="11" spans="1:9" s="14" customFormat="1" ht="30" customHeight="1">
      <c r="A11" s="4">
        <v>10</v>
      </c>
      <c r="B11" s="5" t="s">
        <v>826</v>
      </c>
      <c r="C11" s="5" t="s">
        <v>203</v>
      </c>
      <c r="D11" s="5" t="s">
        <v>836</v>
      </c>
      <c r="E11" s="5" t="s">
        <v>9</v>
      </c>
      <c r="F11" s="6">
        <v>71.2</v>
      </c>
      <c r="G11" s="6">
        <v>77.5</v>
      </c>
      <c r="H11" s="6">
        <f t="shared" si="0"/>
        <v>74.35</v>
      </c>
      <c r="I11" s="4" t="s">
        <v>667</v>
      </c>
    </row>
    <row r="12" spans="1:9" s="15" customFormat="1" ht="30" customHeight="1">
      <c r="A12" s="4">
        <v>11</v>
      </c>
      <c r="B12" s="5" t="s">
        <v>826</v>
      </c>
      <c r="C12" s="5" t="s">
        <v>212</v>
      </c>
      <c r="D12" s="5" t="s">
        <v>837</v>
      </c>
      <c r="E12" s="5" t="s">
        <v>9</v>
      </c>
      <c r="F12" s="6">
        <v>73.7</v>
      </c>
      <c r="G12" s="6">
        <v>74.6666666666667</v>
      </c>
      <c r="H12" s="6">
        <f t="shared" si="0"/>
        <v>74.18333333333335</v>
      </c>
      <c r="I12" s="4" t="s">
        <v>667</v>
      </c>
    </row>
    <row r="13" spans="1:9" s="16" customFormat="1" ht="30" customHeight="1">
      <c r="A13" s="4">
        <v>12</v>
      </c>
      <c r="B13" s="5" t="s">
        <v>826</v>
      </c>
      <c r="C13" s="5" t="s">
        <v>248</v>
      </c>
      <c r="D13" s="5" t="s">
        <v>838</v>
      </c>
      <c r="E13" s="5" t="s">
        <v>9</v>
      </c>
      <c r="F13" s="6">
        <v>72.8</v>
      </c>
      <c r="G13" s="6">
        <v>68.8333333333333</v>
      </c>
      <c r="H13" s="6">
        <f t="shared" si="0"/>
        <v>70.81666666666665</v>
      </c>
      <c r="I13" s="4" t="s">
        <v>667</v>
      </c>
    </row>
  </sheetData>
  <sheetProtection/>
  <printOptions/>
  <pageMargins left="0.3541666666666667" right="0.19652777777777777" top="0.4326388888888889" bottom="0.19652777777777777" header="0.275" footer="0.2361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G17" sqref="G17"/>
    </sheetView>
  </sheetViews>
  <sheetFormatPr defaultColWidth="9.00390625" defaultRowHeight="15"/>
  <cols>
    <col min="1" max="1" width="4.8515625" style="0" customWidth="1"/>
    <col min="2" max="2" width="14.00390625" style="0" customWidth="1"/>
    <col min="3" max="3" width="6.28125" style="0" customWidth="1"/>
    <col min="4" max="4" width="12.140625" style="0" customWidth="1"/>
    <col min="5" max="5" width="9.7109375" style="0" customWidth="1"/>
    <col min="6" max="9" width="8.421875" style="0" customWidth="1"/>
  </cols>
  <sheetData>
    <row r="1" spans="1:9" ht="36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8" t="s">
        <v>707</v>
      </c>
      <c r="H1" s="8" t="s">
        <v>708</v>
      </c>
      <c r="I1" s="8" t="s">
        <v>659</v>
      </c>
    </row>
    <row r="2" spans="1:9" s="14" customFormat="1" ht="45" customHeight="1">
      <c r="A2" s="12">
        <v>1</v>
      </c>
      <c r="B2" s="5" t="s">
        <v>839</v>
      </c>
      <c r="C2" s="5" t="s">
        <v>331</v>
      </c>
      <c r="D2" s="5" t="s">
        <v>840</v>
      </c>
      <c r="E2" s="5" t="s">
        <v>326</v>
      </c>
      <c r="F2" s="12">
        <v>63</v>
      </c>
      <c r="G2" s="13">
        <v>85.3333333333333</v>
      </c>
      <c r="H2" s="13">
        <f>F2*50%+G2*50%</f>
        <v>74.16666666666666</v>
      </c>
      <c r="I2" s="13" t="s">
        <v>665</v>
      </c>
    </row>
    <row r="3" spans="1:9" s="14" customFormat="1" ht="45" customHeight="1">
      <c r="A3" s="12">
        <v>2</v>
      </c>
      <c r="B3" s="5" t="s">
        <v>839</v>
      </c>
      <c r="C3" s="5" t="s">
        <v>341</v>
      </c>
      <c r="D3" s="5" t="s">
        <v>841</v>
      </c>
      <c r="E3" s="5" t="s">
        <v>326</v>
      </c>
      <c r="F3" s="12">
        <v>61.8</v>
      </c>
      <c r="G3" s="13">
        <v>82</v>
      </c>
      <c r="H3" s="13">
        <f>F3*50%+G3*50%</f>
        <v>71.9</v>
      </c>
      <c r="I3" s="13" t="s">
        <v>667</v>
      </c>
    </row>
    <row r="4" spans="1:9" s="14" customFormat="1" ht="45" customHeight="1">
      <c r="A4" s="12">
        <v>3</v>
      </c>
      <c r="B4" s="5" t="s">
        <v>839</v>
      </c>
      <c r="C4" s="5" t="s">
        <v>340</v>
      </c>
      <c r="D4" s="5" t="s">
        <v>842</v>
      </c>
      <c r="E4" s="5" t="s">
        <v>326</v>
      </c>
      <c r="F4" s="12">
        <v>57.4</v>
      </c>
      <c r="G4" s="13">
        <v>75.6666666666667</v>
      </c>
      <c r="H4" s="13">
        <f>F4*50%+G4*50%</f>
        <v>66.53333333333335</v>
      </c>
      <c r="I4" s="13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2.140625" style="0" customWidth="1"/>
    <col min="5" max="5" width="13.140625" style="0" customWidth="1"/>
    <col min="6" max="9" width="8.421875" style="0" customWidth="1"/>
  </cols>
  <sheetData>
    <row r="1" spans="1:9" ht="46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8" t="s">
        <v>707</v>
      </c>
      <c r="H1" s="8" t="s">
        <v>708</v>
      </c>
      <c r="I1" s="8" t="s">
        <v>659</v>
      </c>
    </row>
    <row r="2" spans="1:9" ht="45" customHeight="1">
      <c r="A2" s="12">
        <v>1</v>
      </c>
      <c r="B2" s="5" t="s">
        <v>843</v>
      </c>
      <c r="C2" s="5" t="s">
        <v>482</v>
      </c>
      <c r="D2" s="5" t="s">
        <v>844</v>
      </c>
      <c r="E2" s="5" t="s">
        <v>475</v>
      </c>
      <c r="F2" s="13">
        <v>63</v>
      </c>
      <c r="G2" s="13">
        <v>77</v>
      </c>
      <c r="H2" s="13">
        <f>F2*50%+G2*50%</f>
        <v>70</v>
      </c>
      <c r="I2" s="13" t="s">
        <v>665</v>
      </c>
    </row>
    <row r="3" spans="1:9" ht="45" customHeight="1">
      <c r="A3" s="12">
        <v>2</v>
      </c>
      <c r="B3" s="5" t="s">
        <v>843</v>
      </c>
      <c r="C3" s="5" t="s">
        <v>481</v>
      </c>
      <c r="D3" s="5" t="s">
        <v>845</v>
      </c>
      <c r="E3" s="5" t="s">
        <v>475</v>
      </c>
      <c r="F3" s="13">
        <v>57.7</v>
      </c>
      <c r="G3" s="13">
        <v>73</v>
      </c>
      <c r="H3" s="13">
        <f>F3*50%+G3*50%</f>
        <v>65.35</v>
      </c>
      <c r="I3" s="13" t="s">
        <v>667</v>
      </c>
    </row>
    <row r="4" spans="1:9" ht="45" customHeight="1">
      <c r="A4" s="12">
        <v>3</v>
      </c>
      <c r="B4" s="5" t="s">
        <v>843</v>
      </c>
      <c r="C4" s="5" t="s">
        <v>474</v>
      </c>
      <c r="D4" s="5" t="s">
        <v>846</v>
      </c>
      <c r="E4" s="5" t="s">
        <v>475</v>
      </c>
      <c r="F4" s="13">
        <v>57</v>
      </c>
      <c r="G4" s="13">
        <v>64.6666666666667</v>
      </c>
      <c r="H4" s="13">
        <f>F4*50%+G4*50%</f>
        <v>60.83333333333335</v>
      </c>
      <c r="I4" s="13" t="s">
        <v>847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K1" sqref="K1"/>
    </sheetView>
  </sheetViews>
  <sheetFormatPr defaultColWidth="9.00390625" defaultRowHeight="15"/>
  <cols>
    <col min="1" max="1" width="3.421875" style="0" customWidth="1"/>
    <col min="2" max="2" width="15.421875" style="0" customWidth="1"/>
    <col min="3" max="3" width="6.28125" style="0" customWidth="1"/>
    <col min="4" max="4" width="12.140625" style="0" customWidth="1"/>
    <col min="5" max="5" width="18.421875" style="0" customWidth="1"/>
    <col min="6" max="6" width="8.421875" style="0" customWidth="1"/>
    <col min="7" max="7" width="10.57421875" style="0" customWidth="1"/>
    <col min="8" max="8" width="10.00390625" style="0" customWidth="1"/>
    <col min="9" max="9" width="16.00390625" style="1" customWidth="1"/>
  </cols>
  <sheetData>
    <row r="1" spans="1:9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87" customHeight="1">
      <c r="A2" s="12">
        <v>1</v>
      </c>
      <c r="B2" s="5" t="s">
        <v>709</v>
      </c>
      <c r="C2" s="5" t="s">
        <v>443</v>
      </c>
      <c r="D2" s="5" t="s">
        <v>710</v>
      </c>
      <c r="E2" s="5" t="s">
        <v>441</v>
      </c>
      <c r="F2" s="13">
        <v>48.2</v>
      </c>
      <c r="G2" s="31">
        <v>62.6666666666667</v>
      </c>
      <c r="H2" s="31">
        <f>F2*50%+G2*50%</f>
        <v>55.43333333333335</v>
      </c>
      <c r="I2" s="43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4.8515625" style="0" customWidth="1"/>
    <col min="2" max="2" width="12.421875" style="0" customWidth="1"/>
    <col min="3" max="3" width="6.28125" style="0" customWidth="1"/>
    <col min="4" max="4" width="12.140625" style="0" customWidth="1"/>
    <col min="5" max="5" width="14.8515625" style="0" customWidth="1"/>
    <col min="6" max="8" width="8.421875" style="0" customWidth="1"/>
    <col min="9" max="9" width="12.8515625" style="0" customWidth="1"/>
  </cols>
  <sheetData>
    <row r="1" spans="1:9" ht="40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8" t="s">
        <v>707</v>
      </c>
      <c r="H1" s="8" t="s">
        <v>708</v>
      </c>
      <c r="I1" s="8" t="s">
        <v>659</v>
      </c>
    </row>
    <row r="2" spans="1:9" ht="30" customHeight="1">
      <c r="A2" s="9">
        <v>1</v>
      </c>
      <c r="B2" s="10" t="s">
        <v>848</v>
      </c>
      <c r="C2" s="10" t="s">
        <v>604</v>
      </c>
      <c r="D2" s="10" t="s">
        <v>849</v>
      </c>
      <c r="E2" s="10" t="s">
        <v>602</v>
      </c>
      <c r="F2" s="9">
        <v>61.4</v>
      </c>
      <c r="G2" s="11">
        <v>63.5</v>
      </c>
      <c r="H2" s="11">
        <f>F2*50%+G2*50%</f>
        <v>62.45</v>
      </c>
      <c r="I2" s="11" t="s">
        <v>665</v>
      </c>
    </row>
  </sheetData>
  <sheetProtection/>
  <printOptions/>
  <pageMargins left="0.75" right="0.75" top="1" bottom="1" header="0.5" footer="0.5"/>
  <pageSetup fitToHeight="1" fitToWidth="1" orientation="portrait" paperSize="9" scale="84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J22" sqref="J22"/>
    </sheetView>
  </sheetViews>
  <sheetFormatPr defaultColWidth="9.00390625" defaultRowHeight="15"/>
  <cols>
    <col min="1" max="1" width="4.8515625" style="0" customWidth="1"/>
    <col min="2" max="2" width="8.421875" style="0" customWidth="1"/>
    <col min="3" max="3" width="6.28125" style="0" customWidth="1"/>
    <col min="4" max="4" width="12.140625" style="0" customWidth="1"/>
    <col min="5" max="5" width="8.8515625" style="0" customWidth="1"/>
    <col min="6" max="8" width="8.421875" style="0" customWidth="1"/>
    <col min="9" max="9" width="17.57421875" style="0" customWidth="1"/>
  </cols>
  <sheetData>
    <row r="1" spans="1:9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s="1" customFormat="1" ht="45" customHeight="1">
      <c r="A2" s="4">
        <v>1</v>
      </c>
      <c r="B2" s="5" t="s">
        <v>850</v>
      </c>
      <c r="C2" s="5" t="s">
        <v>488</v>
      </c>
      <c r="D2" s="5" t="s">
        <v>851</v>
      </c>
      <c r="E2" s="5" t="s">
        <v>486</v>
      </c>
      <c r="F2" s="6">
        <v>65.9</v>
      </c>
      <c r="G2" s="6">
        <v>70.6666666666667</v>
      </c>
      <c r="H2" s="6">
        <f>F2*50%+G2*50%</f>
        <v>68.28333333333336</v>
      </c>
      <c r="I2" s="4" t="s">
        <v>665</v>
      </c>
    </row>
    <row r="3" spans="1:9" s="1" customFormat="1" ht="45" customHeight="1">
      <c r="A3" s="4">
        <v>2</v>
      </c>
      <c r="B3" s="5" t="s">
        <v>850</v>
      </c>
      <c r="C3" s="5" t="s">
        <v>36</v>
      </c>
      <c r="D3" s="5" t="s">
        <v>852</v>
      </c>
      <c r="E3" s="5" t="s">
        <v>486</v>
      </c>
      <c r="F3" s="6">
        <v>60.8</v>
      </c>
      <c r="G3" s="6">
        <v>72.6666666666667</v>
      </c>
      <c r="H3" s="6">
        <f>F3*50%+G3*50%</f>
        <v>66.73333333333335</v>
      </c>
      <c r="I3" s="4" t="s">
        <v>667</v>
      </c>
    </row>
    <row r="4" spans="1:9" s="2" customFormat="1" ht="45" customHeight="1">
      <c r="A4" s="4">
        <v>3</v>
      </c>
      <c r="B4" s="5" t="s">
        <v>850</v>
      </c>
      <c r="C4" s="5" t="s">
        <v>495</v>
      </c>
      <c r="D4" s="5" t="s">
        <v>853</v>
      </c>
      <c r="E4" s="5" t="s">
        <v>486</v>
      </c>
      <c r="F4" s="6">
        <v>58.8</v>
      </c>
      <c r="G4" s="6">
        <v>67.3333333333333</v>
      </c>
      <c r="H4" s="6">
        <f>F4*50%+G4*50%</f>
        <v>63.06666666666665</v>
      </c>
      <c r="I4" s="4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SheetLayoutView="100" workbookViewId="0" topLeftCell="A1">
      <selection activeCell="D4" sqref="D4"/>
    </sheetView>
  </sheetViews>
  <sheetFormatPr defaultColWidth="9.00390625" defaultRowHeight="15"/>
  <cols>
    <col min="1" max="1" width="4.28125" style="0" customWidth="1"/>
    <col min="2" max="2" width="20.7109375" style="0" customWidth="1"/>
    <col min="3" max="3" width="9.28125" style="0" customWidth="1"/>
    <col min="4" max="4" width="14.57421875" style="0" customWidth="1"/>
    <col min="5" max="5" width="13.140625" style="0" customWidth="1"/>
    <col min="6" max="8" width="9.00390625" style="0" customWidth="1"/>
    <col min="9" max="9" width="12.28125" style="0" customWidth="1"/>
  </cols>
  <sheetData>
    <row r="1" spans="1:9" ht="24">
      <c r="A1" s="7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45" customHeight="1">
      <c r="A2" s="9">
        <v>1</v>
      </c>
      <c r="B2" s="10" t="s">
        <v>711</v>
      </c>
      <c r="C2" s="10" t="s">
        <v>551</v>
      </c>
      <c r="D2" s="10" t="s">
        <v>712</v>
      </c>
      <c r="E2" s="10" t="s">
        <v>539</v>
      </c>
      <c r="F2" s="11">
        <v>52.4</v>
      </c>
      <c r="G2" s="11">
        <v>74.3333333333333</v>
      </c>
      <c r="H2" s="11">
        <f>F2*50%+G2*50%</f>
        <v>63.366666666666646</v>
      </c>
      <c r="I2" s="9" t="s">
        <v>665</v>
      </c>
    </row>
    <row r="3" spans="1:9" ht="45" customHeight="1">
      <c r="A3" s="9">
        <v>2</v>
      </c>
      <c r="B3" s="10" t="s">
        <v>711</v>
      </c>
      <c r="C3" s="10" t="s">
        <v>548</v>
      </c>
      <c r="D3" s="10" t="s">
        <v>713</v>
      </c>
      <c r="E3" s="10" t="s">
        <v>539</v>
      </c>
      <c r="F3" s="11">
        <v>53.9</v>
      </c>
      <c r="G3" s="11">
        <v>70.5</v>
      </c>
      <c r="H3" s="11">
        <f>F3*50%+G3*50%</f>
        <v>62.2</v>
      </c>
      <c r="I3" s="9" t="s">
        <v>665</v>
      </c>
    </row>
    <row r="4" spans="1:9" ht="45" customHeight="1">
      <c r="A4" s="9">
        <v>3</v>
      </c>
      <c r="B4" s="10" t="s">
        <v>711</v>
      </c>
      <c r="C4" s="10" t="s">
        <v>546</v>
      </c>
      <c r="D4" s="10" t="s">
        <v>714</v>
      </c>
      <c r="E4" s="10" t="s">
        <v>539</v>
      </c>
      <c r="F4" s="11">
        <v>46.3</v>
      </c>
      <c r="G4" s="11">
        <v>76.1666666666667</v>
      </c>
      <c r="H4" s="11">
        <f>F4*50%+G4*50%</f>
        <v>61.23333333333335</v>
      </c>
      <c r="I4" s="9" t="s">
        <v>667</v>
      </c>
    </row>
    <row r="5" spans="1:9" ht="45" customHeight="1">
      <c r="A5" s="9">
        <v>4</v>
      </c>
      <c r="B5" s="10" t="s">
        <v>711</v>
      </c>
      <c r="C5" s="10" t="s">
        <v>543</v>
      </c>
      <c r="D5" s="10" t="s">
        <v>715</v>
      </c>
      <c r="E5" s="10" t="s">
        <v>539</v>
      </c>
      <c r="F5" s="11">
        <v>44.7</v>
      </c>
      <c r="G5" s="11">
        <v>66.6666666666667</v>
      </c>
      <c r="H5" s="11">
        <f>F5*50%+G5*50%</f>
        <v>55.68333333333335</v>
      </c>
      <c r="I5" s="9" t="s">
        <v>667</v>
      </c>
    </row>
    <row r="6" spans="1:9" s="38" customFormat="1" ht="45" customHeight="1">
      <c r="A6" s="9">
        <v>5</v>
      </c>
      <c r="B6" s="10" t="s">
        <v>711</v>
      </c>
      <c r="C6" s="10" t="s">
        <v>542</v>
      </c>
      <c r="D6" s="10" t="s">
        <v>716</v>
      </c>
      <c r="E6" s="10" t="s">
        <v>539</v>
      </c>
      <c r="F6" s="11">
        <v>44.6</v>
      </c>
      <c r="G6" s="11">
        <v>64.6666666666667</v>
      </c>
      <c r="H6" s="11">
        <f>F6*50%+G6*50%</f>
        <v>54.633333333333354</v>
      </c>
      <c r="I6" s="9" t="s">
        <v>667</v>
      </c>
    </row>
    <row r="7" spans="1:9" s="39" customFormat="1" ht="45" customHeight="1">
      <c r="A7" s="40">
        <v>6</v>
      </c>
      <c r="B7" s="24" t="s">
        <v>711</v>
      </c>
      <c r="C7" s="24" t="s">
        <v>541</v>
      </c>
      <c r="D7" s="24" t="s">
        <v>717</v>
      </c>
      <c r="E7" s="24" t="s">
        <v>539</v>
      </c>
      <c r="F7" s="41">
        <v>47.3</v>
      </c>
      <c r="G7" s="42" t="s">
        <v>683</v>
      </c>
      <c r="H7" s="42" t="s">
        <v>683</v>
      </c>
      <c r="I7" s="9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SheetLayoutView="100" workbookViewId="0" topLeftCell="A1">
      <selection activeCell="A2" sqref="A2:A3"/>
    </sheetView>
  </sheetViews>
  <sheetFormatPr defaultColWidth="9.00390625" defaultRowHeight="15"/>
  <cols>
    <col min="1" max="1" width="5.0039062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8" width="8.421875" style="0" customWidth="1"/>
    <col min="9" max="9" width="12.00390625" style="0" customWidth="1"/>
  </cols>
  <sheetData>
    <row r="1" spans="1:9" ht="58.5" customHeight="1">
      <c r="A1" s="7" t="s">
        <v>718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49.5" customHeight="1">
      <c r="A2" s="9">
        <v>1</v>
      </c>
      <c r="B2" s="10" t="s">
        <v>719</v>
      </c>
      <c r="C2" s="10" t="s">
        <v>556</v>
      </c>
      <c r="D2" s="10" t="s">
        <v>720</v>
      </c>
      <c r="E2" s="10" t="s">
        <v>539</v>
      </c>
      <c r="F2" s="11">
        <v>58.4</v>
      </c>
      <c r="G2" s="11">
        <v>76.5</v>
      </c>
      <c r="H2" s="11">
        <f>F2*50%+G2*50%</f>
        <v>67.45</v>
      </c>
      <c r="I2" s="9" t="s">
        <v>665</v>
      </c>
    </row>
    <row r="3" spans="1:9" ht="49.5" customHeight="1">
      <c r="A3" s="9">
        <v>2</v>
      </c>
      <c r="B3" s="10" t="s">
        <v>719</v>
      </c>
      <c r="C3" s="10" t="s">
        <v>558</v>
      </c>
      <c r="D3" s="10" t="s">
        <v>721</v>
      </c>
      <c r="E3" s="10" t="s">
        <v>539</v>
      </c>
      <c r="F3" s="11">
        <v>59.4</v>
      </c>
      <c r="G3" s="11">
        <v>71.6666666666667</v>
      </c>
      <c r="H3" s="11">
        <f>F3*50%+G3*50%</f>
        <v>65.53333333333335</v>
      </c>
      <c r="I3" s="9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6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3.140625" style="0" customWidth="1"/>
    <col min="6" max="6" width="8.421875" style="0" customWidth="1"/>
    <col min="7" max="7" width="12.8515625" style="0" customWidth="1"/>
    <col min="8" max="8" width="8.421875" style="0" customWidth="1"/>
    <col min="9" max="9" width="11.28125" style="0" customWidth="1"/>
  </cols>
  <sheetData>
    <row r="1" spans="1:9" s="14" customFormat="1" ht="51" customHeight="1">
      <c r="A1" s="3" t="s">
        <v>718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57" customHeight="1">
      <c r="A2" s="12">
        <v>1</v>
      </c>
      <c r="B2" s="5" t="s">
        <v>722</v>
      </c>
      <c r="C2" s="5" t="s">
        <v>457</v>
      </c>
      <c r="D2" s="5" t="s">
        <v>723</v>
      </c>
      <c r="E2" s="5" t="s">
        <v>448</v>
      </c>
      <c r="F2" s="13">
        <v>61.7</v>
      </c>
      <c r="G2" s="13">
        <v>80.8333333333333</v>
      </c>
      <c r="H2" s="13">
        <f>F2*50%+G2*50%</f>
        <v>71.26666666666665</v>
      </c>
      <c r="I2" s="12" t="s">
        <v>665</v>
      </c>
    </row>
    <row r="3" spans="1:9" s="14" customFormat="1" ht="45.75" customHeight="1">
      <c r="A3" s="12">
        <v>2</v>
      </c>
      <c r="B3" s="5" t="s">
        <v>722</v>
      </c>
      <c r="C3" s="5" t="s">
        <v>449</v>
      </c>
      <c r="D3" s="5" t="s">
        <v>724</v>
      </c>
      <c r="E3" s="5" t="s">
        <v>448</v>
      </c>
      <c r="F3" s="13">
        <v>61.2</v>
      </c>
      <c r="G3" s="13">
        <v>66.3333333333333</v>
      </c>
      <c r="H3" s="13">
        <f>F3*50%+G3*50%</f>
        <v>63.76666666666665</v>
      </c>
      <c r="I3" s="12" t="s">
        <v>667</v>
      </c>
    </row>
    <row r="4" spans="1:9" s="14" customFormat="1" ht="66" customHeight="1">
      <c r="A4" s="12">
        <v>3</v>
      </c>
      <c r="B4" s="5" t="s">
        <v>722</v>
      </c>
      <c r="C4" s="5" t="s">
        <v>450</v>
      </c>
      <c r="D4" s="5" t="s">
        <v>725</v>
      </c>
      <c r="E4" s="5" t="s">
        <v>448</v>
      </c>
      <c r="F4" s="13">
        <v>56.1</v>
      </c>
      <c r="G4" s="13">
        <v>65.1666666666667</v>
      </c>
      <c r="H4" s="13">
        <f>F4*50%+G4*50%</f>
        <v>60.633333333333354</v>
      </c>
      <c r="I4" s="12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6.57421875" style="0" customWidth="1"/>
    <col min="2" max="2" width="17.8515625" style="0" customWidth="1"/>
    <col min="3" max="3" width="6.28125" style="0" customWidth="1"/>
    <col min="4" max="4" width="12.140625" style="0" customWidth="1"/>
    <col min="5" max="5" width="13.140625" style="0" customWidth="1"/>
    <col min="6" max="8" width="8.57421875" style="0" customWidth="1"/>
    <col min="9" max="9" width="16.421875" style="0" customWidth="1"/>
  </cols>
  <sheetData>
    <row r="1" spans="1:9" ht="55.5" customHeight="1">
      <c r="A1" s="7" t="s">
        <v>718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s="14" customFormat="1" ht="69" customHeight="1">
      <c r="A2" s="12">
        <v>1</v>
      </c>
      <c r="B2" s="5" t="s">
        <v>726</v>
      </c>
      <c r="C2" s="5" t="s">
        <v>472</v>
      </c>
      <c r="D2" s="5" t="s">
        <v>727</v>
      </c>
      <c r="E2" s="5" t="s">
        <v>448</v>
      </c>
      <c r="F2" s="13">
        <v>66.3</v>
      </c>
      <c r="G2" s="13">
        <v>71.6666666666667</v>
      </c>
      <c r="H2" s="13">
        <f>F2*50%+G2*50%</f>
        <v>68.98333333333335</v>
      </c>
      <c r="I2" s="12" t="s">
        <v>665</v>
      </c>
    </row>
    <row r="3" spans="1:9" s="14" customFormat="1" ht="69" customHeight="1">
      <c r="A3" s="12">
        <v>2</v>
      </c>
      <c r="B3" s="5" t="s">
        <v>726</v>
      </c>
      <c r="C3" s="5" t="s">
        <v>465</v>
      </c>
      <c r="D3" s="5" t="s">
        <v>728</v>
      </c>
      <c r="E3" s="5" t="s">
        <v>448</v>
      </c>
      <c r="F3" s="13">
        <v>59.8</v>
      </c>
      <c r="G3" s="13">
        <v>76.6666666666667</v>
      </c>
      <c r="H3" s="13">
        <f>F3*50%+G3*50%</f>
        <v>68.23333333333335</v>
      </c>
      <c r="I3" s="12" t="s">
        <v>667</v>
      </c>
    </row>
    <row r="4" spans="1:9" s="36" customFormat="1" ht="69" customHeight="1">
      <c r="A4" s="25">
        <v>3</v>
      </c>
      <c r="B4" s="21" t="s">
        <v>726</v>
      </c>
      <c r="C4" s="21" t="s">
        <v>466</v>
      </c>
      <c r="D4" s="21" t="s">
        <v>729</v>
      </c>
      <c r="E4" s="21" t="s">
        <v>448</v>
      </c>
      <c r="F4" s="26">
        <v>63.8</v>
      </c>
      <c r="G4" s="37" t="s">
        <v>683</v>
      </c>
      <c r="H4" s="37" t="s">
        <v>683</v>
      </c>
      <c r="I4" s="21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SheetLayoutView="100" workbookViewId="0" topLeftCell="A1">
      <selection activeCell="J1" sqref="J1:J65536"/>
    </sheetView>
  </sheetViews>
  <sheetFormatPr defaultColWidth="9.00390625" defaultRowHeight="15"/>
  <cols>
    <col min="1" max="1" width="10.57421875" style="0" customWidth="1"/>
    <col min="2" max="2" width="20.7109375" style="0" customWidth="1"/>
    <col min="3" max="3" width="6.28125" style="0" customWidth="1"/>
    <col min="4" max="4" width="12.140625" style="0" customWidth="1"/>
    <col min="5" max="5" width="16.57421875" style="0" customWidth="1"/>
    <col min="6" max="8" width="8.421875" style="0" customWidth="1"/>
    <col min="9" max="9" width="20.7109375" style="0" customWidth="1"/>
  </cols>
  <sheetData>
    <row r="1" spans="1:9" ht="54.75" customHeight="1">
      <c r="A1" s="7" t="s">
        <v>718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55.5" customHeight="1">
      <c r="A2" s="9">
        <v>1</v>
      </c>
      <c r="B2" s="10" t="s">
        <v>730</v>
      </c>
      <c r="C2" s="10" t="s">
        <v>598</v>
      </c>
      <c r="D2" s="10" t="s">
        <v>731</v>
      </c>
      <c r="E2" s="10" t="s">
        <v>597</v>
      </c>
      <c r="F2" s="9">
        <v>54.5</v>
      </c>
      <c r="G2" s="9">
        <v>77</v>
      </c>
      <c r="H2" s="9">
        <f>F2*50%+G2*50%</f>
        <v>65.75</v>
      </c>
      <c r="I2" s="9" t="s">
        <v>665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SheetLayoutView="100" workbookViewId="0" topLeftCell="A1">
      <selection activeCell="A4" sqref="A4:IV4"/>
    </sheetView>
  </sheetViews>
  <sheetFormatPr defaultColWidth="9.00390625" defaultRowHeight="15"/>
  <cols>
    <col min="1" max="1" width="6.57421875" style="0" customWidth="1"/>
    <col min="2" max="2" width="21.7109375" style="0" customWidth="1"/>
    <col min="3" max="3" width="6.28125" style="0" customWidth="1"/>
    <col min="4" max="4" width="12.140625" style="0" customWidth="1"/>
    <col min="5" max="5" width="13.140625" style="0" customWidth="1"/>
    <col min="6" max="8" width="8.421875" style="0" customWidth="1"/>
    <col min="9" max="9" width="13.421875" style="0" customWidth="1"/>
  </cols>
  <sheetData>
    <row r="1" spans="1:9" ht="48.75" customHeight="1">
      <c r="A1" s="7" t="s">
        <v>718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706</v>
      </c>
      <c r="G1" s="3" t="s">
        <v>707</v>
      </c>
      <c r="H1" s="3" t="s">
        <v>708</v>
      </c>
      <c r="I1" s="3" t="s">
        <v>659</v>
      </c>
    </row>
    <row r="2" spans="1:9" ht="72" customHeight="1">
      <c r="A2" s="9">
        <v>1</v>
      </c>
      <c r="B2" s="10" t="s">
        <v>732</v>
      </c>
      <c r="C2" s="10" t="s">
        <v>609</v>
      </c>
      <c r="D2" s="10" t="s">
        <v>733</v>
      </c>
      <c r="E2" s="10" t="s">
        <v>610</v>
      </c>
      <c r="F2" s="11">
        <v>61.6</v>
      </c>
      <c r="G2" s="11">
        <v>74</v>
      </c>
      <c r="H2" s="11">
        <f>F2*50%+G2*50%</f>
        <v>67.8</v>
      </c>
      <c r="I2" s="9" t="s">
        <v>665</v>
      </c>
    </row>
    <row r="3" spans="1:9" ht="75" customHeight="1">
      <c r="A3" s="9">
        <v>2</v>
      </c>
      <c r="B3" s="10" t="s">
        <v>732</v>
      </c>
      <c r="C3" s="10" t="s">
        <v>617</v>
      </c>
      <c r="D3" s="10" t="s">
        <v>734</v>
      </c>
      <c r="E3" s="10" t="s">
        <v>610</v>
      </c>
      <c r="F3" s="11">
        <v>49</v>
      </c>
      <c r="G3" s="11">
        <v>78.3333333333333</v>
      </c>
      <c r="H3" s="11">
        <f>F3*50%+G3*50%</f>
        <v>63.66666666666665</v>
      </c>
      <c r="I3" s="9" t="s">
        <v>665</v>
      </c>
    </row>
    <row r="4" spans="1:9" s="32" customFormat="1" ht="69" customHeight="1">
      <c r="A4" s="33">
        <v>3</v>
      </c>
      <c r="B4" s="10" t="s">
        <v>732</v>
      </c>
      <c r="C4" s="10" t="s">
        <v>615</v>
      </c>
      <c r="D4" s="10" t="s">
        <v>735</v>
      </c>
      <c r="E4" s="10" t="s">
        <v>610</v>
      </c>
      <c r="F4" s="34">
        <v>48.9</v>
      </c>
      <c r="G4" s="35" t="s">
        <v>683</v>
      </c>
      <c r="H4" s="35" t="s">
        <v>683</v>
      </c>
      <c r="I4" s="10" t="s">
        <v>667</v>
      </c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ivy</cp:lastModifiedBy>
  <dcterms:created xsi:type="dcterms:W3CDTF">2021-09-06T04:01:16Z</dcterms:created>
  <dcterms:modified xsi:type="dcterms:W3CDTF">2021-10-12T01:40:49Z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51A9BECE0E3A478191876650E0E28A40</vt:lpwstr>
  </property>
  <property fmtid="{D5CDD505-2E9C-101B-9397-08002B2CF9AE}" pid="4" name="KSOProductBuildV">
    <vt:lpwstr>2052-11.1.0.10938</vt:lpwstr>
  </property>
  <property fmtid="{D5CDD505-2E9C-101B-9397-08002B2CF9AE}" pid="5" name="KSOReadingLayo">
    <vt:bool>true</vt:bool>
  </property>
</Properties>
</file>